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efeitura\Duplicação saída para Uiraúna\Licitação NIEMAIA\"/>
    </mc:Choice>
  </mc:AlternateContent>
  <xr:revisionPtr revIDLastSave="0" documentId="13_ncr:1_{B3F8BF46-95DE-40FC-A05F-5A6B06986972}" xr6:coauthVersionLast="47" xr6:coauthVersionMax="47" xr10:uidLastSave="{00000000-0000-0000-0000-000000000000}"/>
  <bookViews>
    <workbookView xWindow="-120" yWindow="-120" windowWidth="20730" windowHeight="11160" tabRatio="767" xr2:uid="{00000000-000D-0000-FFFF-FFFF00000000}"/>
  </bookViews>
  <sheets>
    <sheet name="BM04" sheetId="17" r:id="rId1"/>
    <sheet name="MEM04" sheetId="9" r:id="rId2"/>
    <sheet name="RESUMO BMS" sheetId="18" r:id="rId3"/>
    <sheet name="ATESTADO" sheetId="19" r:id="rId4"/>
  </sheets>
  <definedNames>
    <definedName name="_xlnm.Print_Area" localSheetId="3">ATESTADO!$A$1:$D$63</definedName>
    <definedName name="_xlnm.Print_Area" localSheetId="0">'BM04'!$A$1:$J$73</definedName>
    <definedName name="_xlnm.Print_Area" localSheetId="1">'MEM04'!$A$1:$I$505</definedName>
    <definedName name="_xlnm.Print_Area" localSheetId="2">'RESUMO BMS'!$A$1:$Q$64</definedName>
    <definedName name="_xlnm.Print_Titles" localSheetId="3">ATESTADO!$1:$2</definedName>
    <definedName name="_xlnm.Print_Titles" localSheetId="0">'BM04'!$11:$12</definedName>
    <definedName name="_xlnm.Print_Titles" localSheetId="1">'MEM04'!$1:$1</definedName>
    <definedName name="_xlnm.Print_Titles" localSheetId="2">'RESUMO BMS'!$2:$3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6" i="17" l="1"/>
  <c r="H46" i="19" l="1"/>
  <c r="F46" i="19"/>
  <c r="L46" i="19"/>
  <c r="H45" i="19"/>
  <c r="J45" i="19" s="1"/>
  <c r="K45" i="19" s="1"/>
  <c r="F45" i="19"/>
  <c r="L45" i="19"/>
  <c r="H44" i="19"/>
  <c r="F44" i="19"/>
  <c r="L44" i="19"/>
  <c r="J43" i="19"/>
  <c r="K43" i="19" s="1"/>
  <c r="H43" i="19"/>
  <c r="F43" i="19"/>
  <c r="L43" i="19"/>
  <c r="H42" i="19"/>
  <c r="J42" i="19" s="1"/>
  <c r="K42" i="19" s="1"/>
  <c r="F42" i="19"/>
  <c r="L42" i="19"/>
  <c r="H41" i="19"/>
  <c r="F41" i="19"/>
  <c r="L41" i="19"/>
  <c r="H40" i="19"/>
  <c r="J40" i="19" s="1"/>
  <c r="K40" i="19" s="1"/>
  <c r="F40" i="19"/>
  <c r="L40" i="19"/>
  <c r="H39" i="19"/>
  <c r="F39" i="19"/>
  <c r="L39" i="19"/>
  <c r="H38" i="19"/>
  <c r="J38" i="19" s="1"/>
  <c r="K38" i="19" s="1"/>
  <c r="F38" i="19"/>
  <c r="L38" i="19"/>
  <c r="H37" i="19"/>
  <c r="F37" i="19"/>
  <c r="L37" i="19"/>
  <c r="H36" i="19"/>
  <c r="J36" i="19" s="1"/>
  <c r="K36" i="19" s="1"/>
  <c r="F36" i="19"/>
  <c r="L36" i="19"/>
  <c r="H35" i="19"/>
  <c r="F35" i="19"/>
  <c r="L35" i="19"/>
  <c r="H34" i="19"/>
  <c r="J34" i="19" s="1"/>
  <c r="K34" i="19" s="1"/>
  <c r="F34" i="19"/>
  <c r="L34" i="19"/>
  <c r="H32" i="19"/>
  <c r="J32" i="19" s="1"/>
  <c r="K32" i="19" s="1"/>
  <c r="F32" i="19"/>
  <c r="L32" i="19"/>
  <c r="H31" i="19"/>
  <c r="J31" i="19" s="1"/>
  <c r="K31" i="19" s="1"/>
  <c r="F31" i="19"/>
  <c r="L31" i="19"/>
  <c r="H30" i="19"/>
  <c r="J30" i="19" s="1"/>
  <c r="K30" i="19" s="1"/>
  <c r="F30" i="19"/>
  <c r="L30" i="19"/>
  <c r="H29" i="19"/>
  <c r="J29" i="19" s="1"/>
  <c r="K29" i="19" s="1"/>
  <c r="F29" i="19"/>
  <c r="H27" i="19"/>
  <c r="J27" i="19" s="1"/>
  <c r="K27" i="19" s="1"/>
  <c r="L27" i="19"/>
  <c r="H26" i="19"/>
  <c r="J26" i="19" s="1"/>
  <c r="K26" i="19" s="1"/>
  <c r="L26" i="19"/>
  <c r="F26" i="19"/>
  <c r="H25" i="19"/>
  <c r="J25" i="19" s="1"/>
  <c r="K25" i="19" s="1"/>
  <c r="L25" i="19"/>
  <c r="H24" i="19"/>
  <c r="F24" i="19"/>
  <c r="L24" i="19"/>
  <c r="H23" i="19"/>
  <c r="J23" i="19" s="1"/>
  <c r="K23" i="19" s="1"/>
  <c r="F23" i="19"/>
  <c r="L23" i="19"/>
  <c r="H22" i="19"/>
  <c r="J22" i="19" s="1"/>
  <c r="K22" i="19" s="1"/>
  <c r="F22" i="19"/>
  <c r="L22" i="19"/>
  <c r="H21" i="19"/>
  <c r="J21" i="19" s="1"/>
  <c r="K21" i="19" s="1"/>
  <c r="F21" i="19"/>
  <c r="L21" i="19"/>
  <c r="H20" i="19"/>
  <c r="J20" i="19" s="1"/>
  <c r="K20" i="19" s="1"/>
  <c r="F20" i="19"/>
  <c r="L20" i="19"/>
  <c r="H19" i="19"/>
  <c r="J19" i="19" s="1"/>
  <c r="K19" i="19" s="1"/>
  <c r="F19" i="19"/>
  <c r="L19" i="19"/>
  <c r="H18" i="19"/>
  <c r="J18" i="19" s="1"/>
  <c r="K18" i="19" s="1"/>
  <c r="F18" i="19"/>
  <c r="L18" i="19"/>
  <c r="H17" i="19"/>
  <c r="J17" i="19" s="1"/>
  <c r="K17" i="19" s="1"/>
  <c r="F17" i="19"/>
  <c r="L17" i="19"/>
  <c r="H16" i="19"/>
  <c r="J16" i="19" s="1"/>
  <c r="K16" i="19" s="1"/>
  <c r="F16" i="19"/>
  <c r="L16" i="19"/>
  <c r="H15" i="19"/>
  <c r="J15" i="19" s="1"/>
  <c r="K15" i="19" s="1"/>
  <c r="F15" i="19"/>
  <c r="H13" i="19"/>
  <c r="F13" i="19"/>
  <c r="L13" i="19"/>
  <c r="H12" i="19"/>
  <c r="J12" i="19" s="1"/>
  <c r="K12" i="19" s="1"/>
  <c r="F12" i="19"/>
  <c r="L12" i="19"/>
  <c r="H11" i="19"/>
  <c r="J11" i="19" s="1"/>
  <c r="K11" i="19" s="1"/>
  <c r="F11" i="19"/>
  <c r="L11" i="19"/>
  <c r="H10" i="19"/>
  <c r="J10" i="19" s="1"/>
  <c r="K10" i="19" s="1"/>
  <c r="F10" i="19"/>
  <c r="L10" i="19"/>
  <c r="H9" i="19"/>
  <c r="F9" i="19"/>
  <c r="L9" i="19"/>
  <c r="H7" i="19"/>
  <c r="F7" i="19"/>
  <c r="L7" i="19"/>
  <c r="J6" i="19"/>
  <c r="K6" i="19" s="1"/>
  <c r="H6" i="19"/>
  <c r="F6" i="19"/>
  <c r="L6" i="19"/>
  <c r="H5" i="19"/>
  <c r="J5" i="19" s="1"/>
  <c r="K5" i="19" s="1"/>
  <c r="F5" i="19"/>
  <c r="L5" i="19"/>
  <c r="F56" i="17"/>
  <c r="H497" i="9"/>
  <c r="H496" i="9"/>
  <c r="H380" i="9"/>
  <c r="L15" i="19" l="1"/>
  <c r="L29" i="19"/>
  <c r="J7" i="19"/>
  <c r="K7" i="19" s="1"/>
  <c r="J9" i="19"/>
  <c r="K9" i="19" s="1"/>
  <c r="J13" i="19"/>
  <c r="K13" i="19" s="1"/>
  <c r="J24" i="19"/>
  <c r="K24" i="19" s="1"/>
  <c r="F25" i="19"/>
  <c r="F27" i="19"/>
  <c r="J35" i="19"/>
  <c r="K35" i="19" s="1"/>
  <c r="J37" i="19"/>
  <c r="K37" i="19" s="1"/>
  <c r="J39" i="19"/>
  <c r="K39" i="19" s="1"/>
  <c r="J41" i="19"/>
  <c r="K41" i="19" s="1"/>
  <c r="J44" i="19"/>
  <c r="K44" i="19" s="1"/>
  <c r="J46" i="19"/>
  <c r="K46" i="19" s="1"/>
  <c r="F469" i="9"/>
  <c r="Q36" i="18"/>
  <c r="Q37" i="18"/>
  <c r="Q38" i="18"/>
  <c r="Q39" i="18"/>
  <c r="Q40" i="18"/>
  <c r="Q41" i="18"/>
  <c r="Q42" i="18"/>
  <c r="Q43" i="18"/>
  <c r="Q44" i="18"/>
  <c r="Q45" i="18"/>
  <c r="Q46" i="18"/>
  <c r="Q47" i="18"/>
  <c r="Q35" i="18"/>
  <c r="Q31" i="18"/>
  <c r="Q32" i="18"/>
  <c r="Q33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11" i="18"/>
  <c r="Q12" i="18"/>
  <c r="Q13" i="18"/>
  <c r="Q14" i="18"/>
  <c r="Q7" i="18"/>
  <c r="Q8" i="18"/>
  <c r="Q6" i="18"/>
  <c r="J7" i="18"/>
  <c r="J8" i="18"/>
  <c r="J10" i="18"/>
  <c r="J11" i="18"/>
  <c r="J12" i="18"/>
  <c r="J13" i="18"/>
  <c r="R13" i="18" s="1"/>
  <c r="J14" i="18"/>
  <c r="J16" i="18"/>
  <c r="J17" i="18"/>
  <c r="J18" i="18"/>
  <c r="J19" i="18"/>
  <c r="J20" i="18"/>
  <c r="J21" i="18"/>
  <c r="J22" i="18"/>
  <c r="J23" i="18"/>
  <c r="J24" i="18"/>
  <c r="R24" i="18" s="1"/>
  <c r="J25" i="18"/>
  <c r="J26" i="18"/>
  <c r="J27" i="18"/>
  <c r="J28" i="18"/>
  <c r="J30" i="18"/>
  <c r="J31" i="18"/>
  <c r="J32" i="18"/>
  <c r="J33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6" i="18"/>
  <c r="O7" i="18"/>
  <c r="O8" i="18"/>
  <c r="O10" i="18"/>
  <c r="O11" i="18"/>
  <c r="O12" i="18"/>
  <c r="O13" i="18"/>
  <c r="O14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30" i="18"/>
  <c r="O31" i="18"/>
  <c r="O32" i="18"/>
  <c r="O33" i="18"/>
  <c r="O35" i="18"/>
  <c r="O36" i="18"/>
  <c r="O37" i="18"/>
  <c r="O38" i="18"/>
  <c r="O39" i="18"/>
  <c r="O40" i="18"/>
  <c r="O41" i="18"/>
  <c r="O42" i="18"/>
  <c r="O43" i="18"/>
  <c r="O44" i="18"/>
  <c r="O45" i="18"/>
  <c r="O46" i="18"/>
  <c r="O47" i="18"/>
  <c r="O6" i="18"/>
  <c r="O5" i="18" s="1"/>
  <c r="F50" i="19" l="1"/>
  <c r="O15" i="18"/>
  <c r="O9" i="18"/>
  <c r="O34" i="18"/>
  <c r="O29" i="18"/>
  <c r="O48" i="18" l="1"/>
  <c r="N7" i="18" l="1"/>
  <c r="N8" i="18"/>
  <c r="N10" i="18"/>
  <c r="N11" i="18"/>
  <c r="N12" i="18"/>
  <c r="N13" i="18"/>
  <c r="N14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30" i="18"/>
  <c r="N31" i="18"/>
  <c r="N32" i="18"/>
  <c r="N33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6" i="18"/>
  <c r="N5" i="18" s="1"/>
  <c r="M6" i="18"/>
  <c r="M7" i="18"/>
  <c r="M8" i="18"/>
  <c r="M10" i="18"/>
  <c r="M11" i="18"/>
  <c r="M12" i="18"/>
  <c r="M13" i="18"/>
  <c r="M14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30" i="18"/>
  <c r="M31" i="18"/>
  <c r="M32" i="18"/>
  <c r="M33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5" i="18" l="1"/>
  <c r="M9" i="18"/>
  <c r="N34" i="18"/>
  <c r="N29" i="18"/>
  <c r="M34" i="18"/>
  <c r="M29" i="18"/>
  <c r="N15" i="18"/>
  <c r="M15" i="18"/>
  <c r="N9" i="18"/>
  <c r="P47" i="18"/>
  <c r="L47" i="18"/>
  <c r="L46" i="18"/>
  <c r="P46" i="18"/>
  <c r="P45" i="18"/>
  <c r="L45" i="18"/>
  <c r="P44" i="18"/>
  <c r="L44" i="18"/>
  <c r="L43" i="18"/>
  <c r="P43" i="18"/>
  <c r="P42" i="18"/>
  <c r="L42" i="18"/>
  <c r="P41" i="18"/>
  <c r="L41" i="18"/>
  <c r="P40" i="18"/>
  <c r="L40" i="18"/>
  <c r="P39" i="18"/>
  <c r="L39" i="18"/>
  <c r="P38" i="18"/>
  <c r="L38" i="18"/>
  <c r="L37" i="18"/>
  <c r="P37" i="18"/>
  <c r="P36" i="18"/>
  <c r="L36" i="18"/>
  <c r="L35" i="18"/>
  <c r="P35" i="18"/>
  <c r="L33" i="18"/>
  <c r="P33" i="18"/>
  <c r="L32" i="18"/>
  <c r="P32" i="18"/>
  <c r="L31" i="18"/>
  <c r="P31" i="18"/>
  <c r="Q30" i="18"/>
  <c r="L30" i="18"/>
  <c r="P30" i="18"/>
  <c r="L28" i="18"/>
  <c r="P27" i="18"/>
  <c r="L27" i="18"/>
  <c r="P26" i="18"/>
  <c r="L26" i="18"/>
  <c r="P25" i="18"/>
  <c r="L25" i="18"/>
  <c r="L24" i="18"/>
  <c r="P24" i="18"/>
  <c r="P23" i="18"/>
  <c r="L23" i="18"/>
  <c r="P22" i="18"/>
  <c r="L22" i="18"/>
  <c r="P21" i="18"/>
  <c r="L21" i="18"/>
  <c r="L20" i="18"/>
  <c r="P20" i="18"/>
  <c r="P19" i="18"/>
  <c r="L19" i="18"/>
  <c r="P18" i="18"/>
  <c r="L18" i="18"/>
  <c r="P17" i="18"/>
  <c r="L17" i="18"/>
  <c r="P16" i="18"/>
  <c r="L16" i="18"/>
  <c r="Q16" i="18"/>
  <c r="P14" i="18"/>
  <c r="L14" i="18"/>
  <c r="L13" i="18"/>
  <c r="P12" i="18"/>
  <c r="L12" i="18"/>
  <c r="P11" i="18"/>
  <c r="L11" i="18"/>
  <c r="Q10" i="18"/>
  <c r="P10" i="18"/>
  <c r="L10" i="18"/>
  <c r="P8" i="18"/>
  <c r="L8" i="18"/>
  <c r="P7" i="18"/>
  <c r="L7" i="18"/>
  <c r="P6" i="18"/>
  <c r="L6" i="18"/>
  <c r="F456" i="9"/>
  <c r="H459" i="9" s="1"/>
  <c r="H460" i="9" s="1"/>
  <c r="A89" i="9"/>
  <c r="B89" i="9"/>
  <c r="H95" i="9"/>
  <c r="G98" i="9" s="1"/>
  <c r="J95" i="9"/>
  <c r="L95" i="9" s="1"/>
  <c r="E96" i="9"/>
  <c r="H96" i="9" s="1"/>
  <c r="L96" i="9"/>
  <c r="L97" i="9"/>
  <c r="A104" i="9"/>
  <c r="B104" i="9"/>
  <c r="H111" i="9"/>
  <c r="H113" i="9" s="1"/>
  <c r="H115" i="9" s="1"/>
  <c r="A119" i="9"/>
  <c r="B119" i="9"/>
  <c r="G125" i="9"/>
  <c r="G126" i="9"/>
  <c r="H132" i="9"/>
  <c r="A134" i="9"/>
  <c r="B134" i="9"/>
  <c r="H141" i="9"/>
  <c r="H143" i="9" s="1"/>
  <c r="H145" i="9" s="1"/>
  <c r="A147" i="9"/>
  <c r="B147" i="9"/>
  <c r="H154" i="9"/>
  <c r="H156" i="9" s="1"/>
  <c r="H158" i="9" s="1"/>
  <c r="A160" i="9"/>
  <c r="B160" i="9"/>
  <c r="E164" i="9"/>
  <c r="H164" i="9" s="1"/>
  <c r="H165" i="9"/>
  <c r="H166" i="9"/>
  <c r="A174" i="9"/>
  <c r="B174" i="9"/>
  <c r="A184" i="9"/>
  <c r="B184" i="9"/>
  <c r="A194" i="9"/>
  <c r="B194" i="9"/>
  <c r="G198" i="9"/>
  <c r="E199" i="9"/>
  <c r="G199" i="9" s="1"/>
  <c r="A207" i="9"/>
  <c r="B207" i="9"/>
  <c r="E211" i="9"/>
  <c r="H211" i="9" s="1"/>
  <c r="E212" i="9"/>
  <c r="H212" i="9" s="1"/>
  <c r="H215" i="9" s="1"/>
  <c r="H217" i="9" s="1"/>
  <c r="H219" i="9" s="1"/>
  <c r="E242" i="9" s="1"/>
  <c r="H242" i="9" s="1"/>
  <c r="E213" i="9"/>
  <c r="A222" i="9"/>
  <c r="B222" i="9"/>
  <c r="E226" i="9"/>
  <c r="H226" i="9" s="1"/>
  <c r="E228" i="9"/>
  <c r="A236" i="9"/>
  <c r="B236" i="9"/>
  <c r="A250" i="9"/>
  <c r="B250" i="9"/>
  <c r="E255" i="9"/>
  <c r="G255" i="9" s="1"/>
  <c r="A263" i="9"/>
  <c r="B263" i="9"/>
  <c r="G268" i="9"/>
  <c r="G269" i="9"/>
  <c r="A278" i="9"/>
  <c r="B278" i="9"/>
  <c r="A423" i="9"/>
  <c r="B423" i="9"/>
  <c r="F430" i="9"/>
  <c r="H434" i="9"/>
  <c r="A307" i="9"/>
  <c r="B307" i="9"/>
  <c r="H323" i="9"/>
  <c r="H324" i="9" s="1"/>
  <c r="A326" i="9"/>
  <c r="B326" i="9"/>
  <c r="G331" i="9"/>
  <c r="G332" i="9"/>
  <c r="G333" i="9"/>
  <c r="G334" i="9"/>
  <c r="H339" i="9"/>
  <c r="H340" i="9" s="1"/>
  <c r="A342" i="9"/>
  <c r="B342" i="9"/>
  <c r="H352" i="9"/>
  <c r="H353" i="9" s="1"/>
  <c r="B475" i="9"/>
  <c r="A475" i="9"/>
  <c r="F482" i="9"/>
  <c r="H485" i="9" s="1"/>
  <c r="H486" i="9" s="1"/>
  <c r="H472" i="9"/>
  <c r="H473" i="9" s="1"/>
  <c r="B462" i="9"/>
  <c r="A462" i="9"/>
  <c r="B449" i="9"/>
  <c r="A449" i="9"/>
  <c r="B436" i="9"/>
  <c r="A436" i="9"/>
  <c r="F443" i="9"/>
  <c r="H446" i="9" s="1"/>
  <c r="H447" i="9" s="1"/>
  <c r="K301" i="9" l="1"/>
  <c r="N48" i="18"/>
  <c r="M48" i="18"/>
  <c r="Q29" i="18"/>
  <c r="P5" i="18"/>
  <c r="Q15" i="18"/>
  <c r="P29" i="18"/>
  <c r="L5" i="18"/>
  <c r="P13" i="18"/>
  <c r="P9" i="18" s="1"/>
  <c r="Q5" i="18"/>
  <c r="L15" i="18"/>
  <c r="P28" i="18"/>
  <c r="P15" i="18" s="1"/>
  <c r="L34" i="18"/>
  <c r="P34" i="18"/>
  <c r="Q9" i="18"/>
  <c r="L9" i="18"/>
  <c r="L29" i="18"/>
  <c r="G128" i="9"/>
  <c r="E227" i="9"/>
  <c r="H227" i="9" s="1"/>
  <c r="H230" i="9" s="1"/>
  <c r="H232" i="9" s="1"/>
  <c r="H234" i="9" s="1"/>
  <c r="L98" i="9"/>
  <c r="H100" i="9"/>
  <c r="H102" i="9" s="1"/>
  <c r="G201" i="9"/>
  <c r="H203" i="9" s="1"/>
  <c r="H205" i="9" s="1"/>
  <c r="H168" i="9"/>
  <c r="H170" i="9" s="1"/>
  <c r="H172" i="9" s="1"/>
  <c r="F176" i="9"/>
  <c r="L52" i="17"/>
  <c r="F52" i="17" s="1"/>
  <c r="L47" i="17"/>
  <c r="L48" i="17"/>
  <c r="L51" i="17"/>
  <c r="F51" i="17" s="1"/>
  <c r="E254" i="9" l="1"/>
  <c r="G254" i="9" s="1"/>
  <c r="G257" i="9" s="1"/>
  <c r="H259" i="9" s="1"/>
  <c r="H261" i="9" s="1"/>
  <c r="E267" i="9" s="1"/>
  <c r="Q34" i="18"/>
  <c r="Q48" i="18" s="1"/>
  <c r="P48" i="18"/>
  <c r="L48" i="18"/>
  <c r="E241" i="9"/>
  <c r="H241" i="9" s="1"/>
  <c r="H243" i="9" s="1"/>
  <c r="H246" i="9" s="1"/>
  <c r="F178" i="9"/>
  <c r="H180" i="9" s="1"/>
  <c r="H182" i="9" s="1"/>
  <c r="F186" i="9"/>
  <c r="F188" i="9" s="1"/>
  <c r="H190" i="9" s="1"/>
  <c r="H192" i="9" s="1"/>
  <c r="E268" i="9"/>
  <c r="H268" i="9" s="1"/>
  <c r="H267" i="9"/>
  <c r="E269" i="9"/>
  <c r="H269" i="9" s="1"/>
  <c r="E282" i="9"/>
  <c r="L32" i="17"/>
  <c r="H248" i="9" l="1"/>
  <c r="R48" i="18"/>
  <c r="S48" i="18" s="1"/>
  <c r="H271" i="9"/>
  <c r="H273" i="9" s="1"/>
  <c r="H275" i="9" s="1"/>
  <c r="E283" i="9"/>
  <c r="I283" i="9" s="1"/>
  <c r="I282" i="9"/>
  <c r="I26" i="17"/>
  <c r="I27" i="17"/>
  <c r="I19" i="17"/>
  <c r="H19" i="17"/>
  <c r="L21" i="17"/>
  <c r="L23" i="17"/>
  <c r="L20" i="17"/>
  <c r="L19" i="17"/>
  <c r="L16" i="17"/>
  <c r="L17" i="17"/>
  <c r="L15" i="17"/>
  <c r="F55" i="17"/>
  <c r="I285" i="9" l="1"/>
  <c r="H287" i="9" s="1"/>
  <c r="H289" i="9" s="1"/>
  <c r="G55" i="17"/>
  <c r="N55" i="17"/>
  <c r="F32" i="17" l="1"/>
  <c r="I32" i="17" s="1"/>
  <c r="N51" i="17"/>
  <c r="P51" i="17" s="1"/>
  <c r="Q51" i="17" s="1"/>
  <c r="N52" i="17"/>
  <c r="P52" i="17" s="1"/>
  <c r="Q52" i="17" s="1"/>
  <c r="N53" i="17"/>
  <c r="P53" i="17" s="1"/>
  <c r="Q53" i="17" s="1"/>
  <c r="N54" i="17"/>
  <c r="P54" i="17" s="1"/>
  <c r="Q54" i="17" s="1"/>
  <c r="P55" i="17"/>
  <c r="Q55" i="17" s="1"/>
  <c r="N56" i="17"/>
  <c r="P56" i="17" s="1"/>
  <c r="Q56" i="17" s="1"/>
  <c r="L53" i="17"/>
  <c r="L54" i="17"/>
  <c r="L55" i="17"/>
  <c r="L56" i="17"/>
  <c r="N32" i="17" l="1"/>
  <c r="P32" i="17" s="1"/>
  <c r="Q32" i="17" s="1"/>
  <c r="G32" i="17"/>
  <c r="J32" i="17" s="1"/>
  <c r="F35" i="17"/>
  <c r="G54" i="17"/>
  <c r="L22" i="17"/>
  <c r="G53" i="17"/>
  <c r="G52" i="17"/>
  <c r="L35" i="17" l="1"/>
  <c r="I35" i="17"/>
  <c r="N35" i="17"/>
  <c r="H56" i="9"/>
  <c r="H59" i="9"/>
  <c r="H73" i="9"/>
  <c r="F70" i="9"/>
  <c r="I15" i="17"/>
  <c r="H36" i="17"/>
  <c r="R36" i="17" s="1"/>
  <c r="H35" i="17"/>
  <c r="R35" i="17" s="1"/>
  <c r="H33" i="17"/>
  <c r="R33" i="17" s="1"/>
  <c r="H32" i="17"/>
  <c r="R32" i="17" s="1"/>
  <c r="H30" i="17"/>
  <c r="H28" i="17"/>
  <c r="H27" i="17"/>
  <c r="H26" i="17"/>
  <c r="J52" i="17"/>
  <c r="J53" i="17"/>
  <c r="J54" i="17"/>
  <c r="J55" i="17"/>
  <c r="J56" i="17"/>
  <c r="J43" i="17" s="1"/>
  <c r="I51" i="17"/>
  <c r="I52" i="17"/>
  <c r="I53" i="17"/>
  <c r="I54" i="17"/>
  <c r="I55" i="17"/>
  <c r="I56" i="17"/>
  <c r="H45" i="17"/>
  <c r="H46" i="17"/>
  <c r="H47" i="17"/>
  <c r="H48" i="17"/>
  <c r="H49" i="17"/>
  <c r="H50" i="17"/>
  <c r="H51" i="17"/>
  <c r="R51" i="17" s="1"/>
  <c r="H52" i="17"/>
  <c r="R52" i="17" s="1"/>
  <c r="H53" i="17"/>
  <c r="R53" i="17" s="1"/>
  <c r="H54" i="17"/>
  <c r="R54" i="17" s="1"/>
  <c r="H55" i="17"/>
  <c r="R55" i="17" s="1"/>
  <c r="H56" i="17"/>
  <c r="R56" i="17" s="1"/>
  <c r="H40" i="17"/>
  <c r="H41" i="17"/>
  <c r="H42" i="17"/>
  <c r="H29" i="17"/>
  <c r="H31" i="17"/>
  <c r="H34" i="17"/>
  <c r="R34" i="17" s="1"/>
  <c r="H37" i="17"/>
  <c r="R37" i="17" s="1"/>
  <c r="H25" i="17"/>
  <c r="H20" i="17"/>
  <c r="H21" i="17"/>
  <c r="H22" i="17"/>
  <c r="H23" i="17"/>
  <c r="R23" i="17" s="1"/>
  <c r="L50" i="17"/>
  <c r="F50" i="17" s="1"/>
  <c r="L49" i="17"/>
  <c r="F49" i="17" s="1"/>
  <c r="F48" i="17"/>
  <c r="F47" i="17"/>
  <c r="L46" i="17"/>
  <c r="F46" i="17" s="1"/>
  <c r="L44" i="17"/>
  <c r="F44" i="17" s="1"/>
  <c r="L25" i="17"/>
  <c r="F25" i="17" s="1"/>
  <c r="I25" i="17" s="1"/>
  <c r="B7" i="9"/>
  <c r="H373" i="9"/>
  <c r="L45" i="17" s="1"/>
  <c r="F45" i="17" s="1"/>
  <c r="L42" i="17"/>
  <c r="F42" i="17" s="1"/>
  <c r="I42" i="17" s="1"/>
  <c r="L41" i="17"/>
  <c r="F41" i="17" s="1"/>
  <c r="I41" i="17" s="1"/>
  <c r="L40" i="17"/>
  <c r="F40" i="17" s="1"/>
  <c r="I40" i="17" s="1"/>
  <c r="H304" i="9"/>
  <c r="L39" i="17" s="1"/>
  <c r="F39" i="17" s="1"/>
  <c r="R20" i="17" l="1"/>
  <c r="H18" i="17"/>
  <c r="P35" i="17"/>
  <c r="Q35" i="17" s="1"/>
  <c r="G35" i="17"/>
  <c r="J35" i="17" s="1"/>
  <c r="N23" i="17"/>
  <c r="I23" i="17"/>
  <c r="G39" i="9"/>
  <c r="H27" i="9"/>
  <c r="I50" i="17"/>
  <c r="I49" i="17"/>
  <c r="I48" i="17"/>
  <c r="I47" i="17"/>
  <c r="I46" i="17"/>
  <c r="I45" i="17"/>
  <c r="I44" i="17"/>
  <c r="I39" i="17"/>
  <c r="H81" i="9"/>
  <c r="L26" i="17" l="1"/>
  <c r="G36" i="17"/>
  <c r="J36" i="17" s="1"/>
  <c r="F36" i="17"/>
  <c r="L36" i="17" s="1"/>
  <c r="P23" i="17"/>
  <c r="Q23" i="17" s="1"/>
  <c r="G23" i="17"/>
  <c r="J23" i="17" s="1"/>
  <c r="L31" i="17"/>
  <c r="F31" i="17" s="1"/>
  <c r="I31" i="17" s="1"/>
  <c r="I43" i="17"/>
  <c r="I22" i="17"/>
  <c r="H30" i="9"/>
  <c r="E38" i="9"/>
  <c r="H38" i="9" s="1"/>
  <c r="H41" i="9" s="1"/>
  <c r="H44" i="9" s="1"/>
  <c r="L27" i="17"/>
  <c r="H83" i="9"/>
  <c r="H86" i="9" s="1"/>
  <c r="I38" i="17"/>
  <c r="I36" i="17" l="1"/>
  <c r="N36" i="17"/>
  <c r="P36" i="17" s="1"/>
  <c r="Q36" i="17" s="1"/>
  <c r="F37" i="17"/>
  <c r="L28" i="17"/>
  <c r="F28" i="17" s="1"/>
  <c r="I28" i="17" s="1"/>
  <c r="L29" i="17"/>
  <c r="L30" i="17"/>
  <c r="I17" i="17"/>
  <c r="N37" i="17" l="1"/>
  <c r="G37" i="17"/>
  <c r="J37" i="17" s="1"/>
  <c r="L37" i="17"/>
  <c r="I37" i="17"/>
  <c r="P37" i="17"/>
  <c r="Q37" i="17" s="1"/>
  <c r="N33" i="17"/>
  <c r="L33" i="17"/>
  <c r="I33" i="17" s="1"/>
  <c r="F30" i="17"/>
  <c r="I30" i="17" s="1"/>
  <c r="I20" i="17"/>
  <c r="F29" i="17"/>
  <c r="I29" i="17" s="1"/>
  <c r="L34" i="17" l="1"/>
  <c r="F34" i="17" s="1"/>
  <c r="I34" i="17" s="1"/>
  <c r="I24" i="17" s="1"/>
  <c r="P33" i="17"/>
  <c r="Q33" i="17" s="1"/>
  <c r="G33" i="17"/>
  <c r="J33" i="17" s="1"/>
  <c r="B33" i="9"/>
  <c r="B3" i="9"/>
  <c r="B76" i="9"/>
  <c r="B62" i="9"/>
  <c r="H421" i="9"/>
  <c r="H415" i="9"/>
  <c r="N49" i="17" s="1"/>
  <c r="H409" i="9"/>
  <c r="N48" i="17" s="1"/>
  <c r="H395" i="9"/>
  <c r="N47" i="17" s="1"/>
  <c r="H381" i="9"/>
  <c r="N46" i="17" s="1"/>
  <c r="H374" i="9"/>
  <c r="N45" i="17" s="1"/>
  <c r="H361" i="9"/>
  <c r="N44" i="17" s="1"/>
  <c r="N42" i="17"/>
  <c r="N41" i="17"/>
  <c r="N40" i="17"/>
  <c r="H305" i="9"/>
  <c r="N39" i="17" s="1"/>
  <c r="G28" i="17"/>
  <c r="J28" i="17" s="1"/>
  <c r="G22" i="17"/>
  <c r="J22" i="17" s="1"/>
  <c r="H87" i="9"/>
  <c r="H74" i="9"/>
  <c r="H60" i="9"/>
  <c r="H45" i="9"/>
  <c r="B49" i="9"/>
  <c r="B5" i="9"/>
  <c r="B20" i="9"/>
  <c r="B47" i="9"/>
  <c r="B117" i="9"/>
  <c r="B292" i="9"/>
  <c r="B294" i="9"/>
  <c r="B355" i="9"/>
  <c r="B357" i="9"/>
  <c r="B363" i="9"/>
  <c r="B376" i="9"/>
  <c r="B383" i="9"/>
  <c r="B397" i="9"/>
  <c r="B411" i="9"/>
  <c r="B417" i="9"/>
  <c r="A376" i="9"/>
  <c r="A383" i="9"/>
  <c r="A397" i="9"/>
  <c r="A411" i="9"/>
  <c r="A417" i="9"/>
  <c r="A5" i="9"/>
  <c r="A7" i="9"/>
  <c r="A20" i="9"/>
  <c r="A33" i="9"/>
  <c r="A47" i="9"/>
  <c r="A49" i="9"/>
  <c r="A62" i="9"/>
  <c r="A76" i="9"/>
  <c r="A117" i="9"/>
  <c r="A292" i="9"/>
  <c r="A294" i="9"/>
  <c r="A355" i="9"/>
  <c r="A357" i="9"/>
  <c r="A363" i="9"/>
  <c r="A3" i="9"/>
  <c r="R50" i="17"/>
  <c r="R49" i="17"/>
  <c r="R48" i="17"/>
  <c r="R47" i="17"/>
  <c r="R46" i="17"/>
  <c r="R45" i="17"/>
  <c r="H44" i="17"/>
  <c r="R42" i="17"/>
  <c r="R41" i="17"/>
  <c r="R40" i="17"/>
  <c r="H39" i="17"/>
  <c r="R39" i="17" s="1"/>
  <c r="R31" i="17"/>
  <c r="R30" i="17"/>
  <c r="R29" i="17"/>
  <c r="R28" i="17"/>
  <c r="R27" i="17"/>
  <c r="R26" i="17"/>
  <c r="R22" i="17"/>
  <c r="R21" i="17"/>
  <c r="H17" i="17"/>
  <c r="R17" i="17" s="1"/>
  <c r="H16" i="17"/>
  <c r="R16" i="17" s="1"/>
  <c r="H15" i="17"/>
  <c r="R15" i="17" s="1"/>
  <c r="N34" i="17" l="1"/>
  <c r="G34" i="17" s="1"/>
  <c r="J34" i="17" s="1"/>
  <c r="N50" i="17"/>
  <c r="P50" i="17" s="1"/>
  <c r="Q50" i="17" s="1"/>
  <c r="G51" i="17"/>
  <c r="J51" i="17" s="1"/>
  <c r="R44" i="17"/>
  <c r="H43" i="17"/>
  <c r="H24" i="17"/>
  <c r="R25" i="17"/>
  <c r="R19" i="17"/>
  <c r="N25" i="17"/>
  <c r="P40" i="17"/>
  <c r="Q40" i="17" s="1"/>
  <c r="G40" i="17"/>
  <c r="J40" i="17" s="1"/>
  <c r="P49" i="17"/>
  <c r="Q49" i="17" s="1"/>
  <c r="G49" i="17"/>
  <c r="J49" i="17" s="1"/>
  <c r="G39" i="17"/>
  <c r="J39" i="17" s="1"/>
  <c r="P39" i="17"/>
  <c r="Q39" i="17" s="1"/>
  <c r="P41" i="17"/>
  <c r="Q41" i="17" s="1"/>
  <c r="G41" i="17"/>
  <c r="J41" i="17" s="1"/>
  <c r="N21" i="17"/>
  <c r="P42" i="17"/>
  <c r="Q42" i="17" s="1"/>
  <c r="G42" i="17"/>
  <c r="J42" i="17" s="1"/>
  <c r="G48" i="17"/>
  <c r="J48" i="17" s="1"/>
  <c r="P48" i="17"/>
  <c r="Q48" i="17" s="1"/>
  <c r="N28" i="17"/>
  <c r="P44" i="17"/>
  <c r="Q44" i="17" s="1"/>
  <c r="G44" i="17"/>
  <c r="J44" i="17" s="1"/>
  <c r="P47" i="17"/>
  <c r="Q47" i="17" s="1"/>
  <c r="G47" i="17"/>
  <c r="J47" i="17" s="1"/>
  <c r="N29" i="17"/>
  <c r="G29" i="17" s="1"/>
  <c r="G45" i="17"/>
  <c r="J45" i="17" s="1"/>
  <c r="P45" i="17"/>
  <c r="Q45" i="17" s="1"/>
  <c r="N22" i="17"/>
  <c r="N20" i="17"/>
  <c r="G20" i="17" s="1"/>
  <c r="J20" i="17" s="1"/>
  <c r="N30" i="17"/>
  <c r="G30" i="17" s="1"/>
  <c r="P46" i="17"/>
  <c r="Q46" i="17" s="1"/>
  <c r="G46" i="17"/>
  <c r="J46" i="17" s="1"/>
  <c r="N17" i="17"/>
  <c r="G17" i="17" s="1"/>
  <c r="J17" i="17" s="1"/>
  <c r="N27" i="17"/>
  <c r="G27" i="17" s="1"/>
  <c r="N26" i="17"/>
  <c r="G26" i="17" s="1"/>
  <c r="N19" i="17"/>
  <c r="G19" i="17" s="1"/>
  <c r="J19" i="17" s="1"/>
  <c r="N31" i="17"/>
  <c r="G31" i="17" s="1"/>
  <c r="H38" i="17"/>
  <c r="H17" i="9"/>
  <c r="H14" i="9"/>
  <c r="H31" i="9"/>
  <c r="I16" i="17"/>
  <c r="H14" i="17"/>
  <c r="H57" i="17" s="1"/>
  <c r="P34" i="17" l="1"/>
  <c r="Q34" i="17" s="1"/>
  <c r="G50" i="17"/>
  <c r="J50" i="17" s="1"/>
  <c r="J38" i="17"/>
  <c r="P22" i="17"/>
  <c r="Q22" i="17" s="1"/>
  <c r="P21" i="17"/>
  <c r="Q21" i="17" s="1"/>
  <c r="P28" i="17"/>
  <c r="Q28" i="17" s="1"/>
  <c r="P29" i="17"/>
  <c r="Q29" i="17" s="1"/>
  <c r="J29" i="17"/>
  <c r="G25" i="17"/>
  <c r="J25" i="17" s="1"/>
  <c r="P25" i="17"/>
  <c r="Q25" i="17" s="1"/>
  <c r="P20" i="17"/>
  <c r="Q20" i="17" s="1"/>
  <c r="P30" i="17"/>
  <c r="Q30" i="17" s="1"/>
  <c r="J30" i="17"/>
  <c r="J31" i="17"/>
  <c r="P31" i="17"/>
  <c r="Q31" i="17" s="1"/>
  <c r="P19" i="17"/>
  <c r="Q19" i="17" s="1"/>
  <c r="J26" i="17"/>
  <c r="P26" i="17"/>
  <c r="Q26" i="17" s="1"/>
  <c r="J27" i="17"/>
  <c r="P27" i="17"/>
  <c r="Q27" i="17" s="1"/>
  <c r="P17" i="17"/>
  <c r="Q17" i="17" s="1"/>
  <c r="N16" i="17"/>
  <c r="G16" i="17" s="1"/>
  <c r="J16" i="17" s="1"/>
  <c r="I14" i="17"/>
  <c r="H18" i="9"/>
  <c r="N15" i="17" s="1"/>
  <c r="G15" i="17" s="1"/>
  <c r="J24" i="17" l="1"/>
  <c r="P15" i="17"/>
  <c r="J15" i="17"/>
  <c r="P16" i="17"/>
  <c r="Q16" i="17" s="1"/>
  <c r="J14" i="17" l="1"/>
  <c r="Q15" i="17"/>
  <c r="I21" i="17" l="1"/>
  <c r="G21" i="17"/>
  <c r="I18" i="17" l="1"/>
  <c r="I57" i="17" s="1"/>
  <c r="J21" i="17"/>
  <c r="J18" i="17" s="1"/>
  <c r="J57" i="17" s="1"/>
  <c r="D58" i="17" l="1"/>
  <c r="G8" i="17" s="1"/>
</calcChain>
</file>

<file path=xl/sharedStrings.xml><?xml version="1.0" encoding="utf-8"?>
<sst xmlns="http://schemas.openxmlformats.org/spreadsheetml/2006/main" count="1129" uniqueCount="241">
  <si>
    <t>estaca</t>
  </si>
  <si>
    <t>comprimento</t>
  </si>
  <si>
    <t>largura</t>
  </si>
  <si>
    <t>área</t>
  </si>
  <si>
    <t>DISCRIMINAÇÃO</t>
  </si>
  <si>
    <t>t.km</t>
  </si>
  <si>
    <t>obs</t>
  </si>
  <si>
    <t>MEDIÇÃO ANTERIOR..........................................................................................</t>
  </si>
  <si>
    <t>NESTA MEDIÇÃO..................................................................................................</t>
  </si>
  <si>
    <t>TOTAL ACUMULADO.........................................................................................</t>
  </si>
  <si>
    <t>Int.</t>
  </si>
  <si>
    <t>Frac.</t>
  </si>
  <si>
    <t>t</t>
  </si>
  <si>
    <t>Comp. ( m )</t>
  </si>
  <si>
    <t>Larg. ( m )</t>
  </si>
  <si>
    <t>tipo</t>
  </si>
  <si>
    <t>total</t>
  </si>
  <si>
    <t xml:space="preserve">V = </t>
  </si>
  <si>
    <t>Total =</t>
  </si>
  <si>
    <t>A =</t>
  </si>
  <si>
    <t>m2</t>
  </si>
  <si>
    <t>Taxa ligante l/m2 =</t>
  </si>
  <si>
    <t>l/m2</t>
  </si>
  <si>
    <t>Pt =</t>
  </si>
  <si>
    <t>Agente Promotor</t>
  </si>
  <si>
    <t>Contratada</t>
  </si>
  <si>
    <t>Quantidade</t>
  </si>
  <si>
    <t>Financeiro</t>
  </si>
  <si>
    <t>Prevista</t>
  </si>
  <si>
    <t>Acumulada incluindo o período</t>
  </si>
  <si>
    <t>T</t>
  </si>
  <si>
    <t>T.KM</t>
  </si>
  <si>
    <t>ASFALTO DILUIDO CM-30 EXCLUSIVE TRANSPORTE</t>
  </si>
  <si>
    <t>0</t>
  </si>
  <si>
    <t>Qtde.</t>
  </si>
  <si>
    <t>dmt</t>
  </si>
  <si>
    <t>1.1</t>
  </si>
  <si>
    <t>SERVIÇOS PRELIMINARES</t>
  </si>
  <si>
    <t>SERVIÇOS TOPOGRÁFICOS PARA PAVIMENTAÇÃO, INCLUSIVE NOTA DE SERVIÇOS, ACOMPANHAMENTO E GREIDE (ADAPTADO DO SINAPI 78472)</t>
  </si>
  <si>
    <t>LIMPEZA MECANIZADA DE CAMADA VEGETAL, VEGETAÇÃO E PEQUENAS ÁRVORES (DIÂMETRO DE TRONCO MENOR QUE 0,20 M), COM TRATOR DE ESTEIRAS.AF_05/2018</t>
  </si>
  <si>
    <t>TRANSPORTE COM CAMINHÃO BASCULANTE DE 10 M³, EM VIA URBANA PAVIMENTADA, ADICIONAL PARA DMT EXCEDENTE A 30 KM (UNIDADE: TXKM). AF_07/2020</t>
  </si>
  <si>
    <t>M²</t>
  </si>
  <si>
    <t>TXKM</t>
  </si>
  <si>
    <t>1.2</t>
  </si>
  <si>
    <t>MOVIMENTAÇÃO DE TERRA</t>
  </si>
  <si>
    <t>ATERRO MECANIZADO DE VALA COM ESCAVADEIRA HIDRÁULICA (CAPACIDADE DA CAÇAMBA: 0,8M³ / POTÊNCIA: 111HP), LARGURA MAIOR QUE 1,5M, PROFUNDIDADE DE 1,5 A 3,0M, COM AREIA PARA ATERRO. ADAPTADOR DO SINAPI 94305</t>
  </si>
  <si>
    <t>PAVIMENTAÇÃO ASFÁLTICA - TSD</t>
  </si>
  <si>
    <t>REGULARIZAÇÃO E COMPACTAÇÃO DE SUBLEITO DE SOLO PREDOMINANTEMENTE ARENOSO. AF_11/2019</t>
  </si>
  <si>
    <t>EXECUÇÃO E COMPACTAÇÃO DE BASE E OU SUB BASE PARA PAVIMENTAÇÃO DE SOLOS DE COMPORTAMENTO LATERÍTICO (ARENOSO) - EXCLUSIVE SOLO, ESCAVAÇÃO, CARGA E TRANSPORTE. AF_11/2019</t>
  </si>
  <si>
    <t>SINALIZAÇÃO VIÁRIA</t>
  </si>
  <si>
    <t>1.4</t>
  </si>
  <si>
    <t>FORN. E COLOCAÇÃO DE TACHA REFLET. MONODIRECIONAL</t>
  </si>
  <si>
    <t>FORNECIMENTO E INSTALAÇÃO DE PLACA DE SINALIZAÇÃO EM CHAPA DE AÇO EM SUPORTE DE MADEIRA.</t>
  </si>
  <si>
    <t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t>
  </si>
  <si>
    <t>DRENAGEM E SANEAMENTO</t>
  </si>
  <si>
    <t>LOCAÇÃO DE REDE DE ÁGUA OU ESGOTO. AF_10/2018</t>
  </si>
  <si>
    <t>ESCAVACAO CARGA TRANSP. 1-CAT 601 A 800M</t>
  </si>
  <si>
    <t>LASTRO DE VALA COM PREPARO DE FUNDO, LARGURA MENOR QUE 1,5M, COM CAMADA DE AREIA, LANÇAMENTO MANUAL, EM LOCAL COM NÍVEL BAIXO DE INTERFERÊNCIA. AF_06/2016 (ADAPTADO DE SINAPI 94102)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</si>
  <si>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</si>
  <si>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1.3</t>
  </si>
  <si>
    <t>1.5</t>
  </si>
  <si>
    <t>1.5.7</t>
  </si>
  <si>
    <t>1.4.1</t>
  </si>
  <si>
    <t>1.5.1</t>
  </si>
  <si>
    <t>1.5.2</t>
  </si>
  <si>
    <t>1.5.3</t>
  </si>
  <si>
    <t>1.5.4</t>
  </si>
  <si>
    <t>1.5.5</t>
  </si>
  <si>
    <t>1.5.6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</si>
  <si>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</si>
  <si>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</si>
  <si>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</si>
  <si>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</si>
  <si>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</si>
  <si>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</si>
  <si>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</si>
  <si>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</si>
  <si>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</si>
  <si>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</si>
  <si>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</si>
  <si>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</si>
  <si>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</si>
  <si>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</si>
  <si>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1.4.2</t>
  </si>
  <si>
    <t>1.4.3</t>
  </si>
  <si>
    <t>1.4.4</t>
  </si>
  <si>
    <t>ESCAVAÇÃO, CARGA E TRANSPORTE DE MATERIAL DE 1ª CATEGORIA - DMT DE 1.000 A 1.200 M - CAMINHO DE SERVIÇO EM LEITO NATURAL -COM CARREGADEIRA E CAMINHÃO BASCULANTE DE 14 M³</t>
  </si>
  <si>
    <t>FORNECIMENTO DE EMULSÃO ASFÁLTICA RR-2C-E COM POLÍMERO</t>
  </si>
  <si>
    <t>TSD EXCLUSIVE FORNECIMENTO DA EMULSÃO</t>
  </si>
  <si>
    <t>FAIXA DE SINALIZAÇÃO HORIZONTAL - TERMOPLÁSTICO POR ASPERSÃO - E=1,5MM</t>
  </si>
  <si>
    <t>ENTRADA PARA DESCIDA D’ÁGUA - EDA 02 - AREIA E BRITA COMERCIAIS</t>
  </si>
  <si>
    <t>DESCIDA D’ÁGUA DE ATERROS TIPO RÁPIDO - DAR 02 - AREIA E BRITA COMERCIAIS</t>
  </si>
  <si>
    <t>DISSIPADOR DE ENERGIA - DED 01 - AREIA E BRITA COMERCIAIS</t>
  </si>
  <si>
    <t>M³</t>
  </si>
  <si>
    <t>UN</t>
  </si>
  <si>
    <t>M</t>
  </si>
  <si>
    <t>Agente Financeiro</t>
  </si>
  <si>
    <t>ITEM</t>
  </si>
  <si>
    <t>UNID</t>
  </si>
  <si>
    <t>P.UNIT.</t>
  </si>
  <si>
    <t>Programa</t>
  </si>
  <si>
    <t>Início da Obra (O.S.)</t>
  </si>
  <si>
    <t>Prazo (Mês)</t>
  </si>
  <si>
    <t>Localização da Obra</t>
  </si>
  <si>
    <t>Contrato de Repasse</t>
  </si>
  <si>
    <t>Nº de Licitação</t>
  </si>
  <si>
    <t>Data da Ass. Contrato</t>
  </si>
  <si>
    <t>Nº do Contrato</t>
  </si>
  <si>
    <t>Empreendimento</t>
  </si>
  <si>
    <t>Valor do Contrato (R$):</t>
  </si>
  <si>
    <t>Valor da Medição (R$)</t>
  </si>
  <si>
    <t>Período</t>
  </si>
  <si>
    <t>Nº - B.M.</t>
  </si>
  <si>
    <t>REQUALIFICAÇÃO E AMPLIAÇÃO DA AV MONSENHOR VICENTE FREITAS: TRECHO 1 - (CONSTRUÇÃO DE 1 NOVA FAIXA DE ROLAGEM) - COMPRIMENTO 2300 M - TSD</t>
  </si>
  <si>
    <t>Niemaia Construções Ltda</t>
  </si>
  <si>
    <t>12 meses</t>
  </si>
  <si>
    <t>Data da emissão do Boletim</t>
  </si>
  <si>
    <t>BOLETIM DE MEDIÇÃO</t>
  </si>
  <si>
    <t>010/2024</t>
  </si>
  <si>
    <t>009/2023</t>
  </si>
  <si>
    <t>Medido no período</t>
  </si>
  <si>
    <t>Acumulado incluindo o período</t>
  </si>
  <si>
    <t>IMPORTA O PRESENTE BOLETIM DE MEDIÇÃO O VALOR DE:</t>
  </si>
  <si>
    <t>Prefeitura Municipal de Sousa - PB</t>
  </si>
  <si>
    <t>AV. Monsenhor Vicente de Freitas</t>
  </si>
  <si>
    <t>Requalificação e Ampliação da Av. Monsenhor Vicente de Freitas, no Município de Sousa/PB, conforme Plano de Ação 09032021-009256.</t>
  </si>
  <si>
    <t xml:space="preserve">Levantamento Topográfico (Área Executada) </t>
  </si>
  <si>
    <t>Origem</t>
  </si>
  <si>
    <t>Destino</t>
  </si>
  <si>
    <t>Volume</t>
  </si>
  <si>
    <t>Fator</t>
  </si>
  <si>
    <t>estaca - estaca</t>
  </si>
  <si>
    <t>Compactado</t>
  </si>
  <si>
    <t>Empolamento</t>
  </si>
  <si>
    <t>Transportado</t>
  </si>
  <si>
    <t>lado</t>
  </si>
  <si>
    <t>Obs.</t>
  </si>
  <si>
    <t xml:space="preserve">A = </t>
  </si>
  <si>
    <t>ton.</t>
  </si>
  <si>
    <t>altura</t>
  </si>
  <si>
    <t>V =</t>
  </si>
  <si>
    <t>Espaçamento (m)</t>
  </si>
  <si>
    <t xml:space="preserve">Placa </t>
  </si>
  <si>
    <t>quantidade</t>
  </si>
  <si>
    <t>Obs</t>
  </si>
  <si>
    <t xml:space="preserve">L = </t>
  </si>
  <si>
    <t>NESTA MEDIÇÃO</t>
  </si>
  <si>
    <t>ATUAL</t>
  </si>
  <si>
    <t>PROJETO (Quant)</t>
  </si>
  <si>
    <t>SALDO (Quant)</t>
  </si>
  <si>
    <t>VALOR (R$)</t>
  </si>
  <si>
    <t>PROJETO (R$)</t>
  </si>
  <si>
    <t>QUANTIDADE</t>
  </si>
  <si>
    <t>FINANCEIRO</t>
  </si>
  <si>
    <t>Área</t>
  </si>
  <si>
    <t>espessura</t>
  </si>
  <si>
    <t>Total</t>
  </si>
  <si>
    <t>DMT</t>
  </si>
  <si>
    <t>volume</t>
  </si>
  <si>
    <t>densidade</t>
  </si>
  <si>
    <t>1.2.5</t>
  </si>
  <si>
    <t>ESCAVAÇÃO, CARGA, TRANSPORTE E ESPALHAMENTO DO MATERIAL EXISTE (MONTE DA LINHA FÉRREA)</t>
  </si>
  <si>
    <t xml:space="preserve">TRANSPORTE COM CAMINHÃO BASCULANTE DE 10 M³, EM VIA URBANA PAVIMENTADA, ADICIONAL PARA DMT EXCEDENTE A 30 KM (UNIDADE: TXKM). AF_07/2020 </t>
  </si>
  <si>
    <t>BASE ESTAB. GRANUL.C/MISTURA EXCLUSIVE TRANSPORTE (MATERIAL DE JAZIDA)</t>
  </si>
  <si>
    <t>SUB-BASE ESTAB. GRANUL.S/MISTURA EXCLUSIVE TRANSP (MATERIAL DE JAZIDA).</t>
  </si>
  <si>
    <t>TRANSPORTE DE SOLO/AREIA EM CAMINHAO BASCULANTE ROD NPAV</t>
  </si>
  <si>
    <t>IMPRIMACAO EXCLUSIVE LIGANTE</t>
  </si>
  <si>
    <t>TRANSPORTE DE MATERIAIS ASFALTICO A FRIO</t>
  </si>
  <si>
    <t>TRANSPORTE COMERCIAL DE BRITA TSD</t>
  </si>
  <si>
    <t>1.3.8</t>
  </si>
  <si>
    <t>1.3.9</t>
  </si>
  <si>
    <t>1.3.10</t>
  </si>
  <si>
    <t>1.3.11</t>
  </si>
  <si>
    <t>1.3.12</t>
  </si>
  <si>
    <t>1.3.13</t>
  </si>
  <si>
    <t>MEIO FIO DE CONCRETO TIPO MFC-05</t>
  </si>
  <si>
    <t>PINTURA DE BANQUETA A CAL ( 2 DEMAOS )</t>
  </si>
  <si>
    <t>CAIXA COLETORA P/BSTC (D=0,60M) TIPO 1</t>
  </si>
  <si>
    <t>TAMPA PARA CAIXA COLETORA TIPO TCC-01</t>
  </si>
  <si>
    <t>FORN.E ASSENTAMENTO DE TUBO DE CONCRETO(D=0,60M)</t>
  </si>
  <si>
    <t>EXTREMIDADE BUEIRO SIMPLES TUB.CONCRETO(D=0,60M)</t>
  </si>
  <si>
    <t>1.5.8</t>
  </si>
  <si>
    <t>1.5.9</t>
  </si>
  <si>
    <t>1.5.10</t>
  </si>
  <si>
    <t>1.5.11</t>
  </si>
  <si>
    <t>1.5.12</t>
  </si>
  <si>
    <t>1.5.13</t>
  </si>
  <si>
    <t>un</t>
  </si>
  <si>
    <t>m</t>
  </si>
  <si>
    <t>Levantamento Topográfico - BM 01</t>
  </si>
  <si>
    <t>Levantamento Topográfico - BM 02</t>
  </si>
  <si>
    <t>Levantamento Topográfico (Área Executada) - BM 01</t>
  </si>
  <si>
    <t>Levantamento Topográfico (Área Executada) - BM 02</t>
  </si>
  <si>
    <t>Sub-base</t>
  </si>
  <si>
    <t>Sub-Base</t>
  </si>
  <si>
    <t>Volume Item 1.3.9.</t>
  </si>
  <si>
    <t>Levantamento Topográfico - BM 03</t>
  </si>
  <si>
    <t>Base</t>
  </si>
  <si>
    <t>BM 02</t>
  </si>
  <si>
    <t>BM 03</t>
  </si>
  <si>
    <t>Área TSD - Item 1.3.7</t>
  </si>
  <si>
    <t>Volume Item 1.3.8</t>
  </si>
  <si>
    <t>Área TSD - Item 1.3.11</t>
  </si>
  <si>
    <t>taxa</t>
  </si>
  <si>
    <t>distância</t>
  </si>
  <si>
    <t>tonelada.km</t>
  </si>
  <si>
    <t>int.</t>
  </si>
  <si>
    <t>frac.</t>
  </si>
  <si>
    <t>Imprimação</t>
  </si>
  <si>
    <t>TSD</t>
  </si>
  <si>
    <t>TSD - Banho Final</t>
  </si>
  <si>
    <t>consumo</t>
  </si>
  <si>
    <t>densidade (t/m³)</t>
  </si>
  <si>
    <t>TSD - 1º CAMADA DE BRITA 19</t>
  </si>
  <si>
    <t>TSD - 2º CAMADA DE BRITA 12</t>
  </si>
  <si>
    <t>Rede 01</t>
  </si>
  <si>
    <t>Rede 02</t>
  </si>
  <si>
    <t>04</t>
  </si>
  <si>
    <t>MEMÓRIA DE CÁLCULO - BM 04</t>
  </si>
  <si>
    <t xml:space="preserve">QTD = </t>
  </si>
  <si>
    <t>total a ser glosado</t>
  </si>
  <si>
    <t>16/09/2024 à 14/07/2025</t>
  </si>
  <si>
    <t>Qtd faixas</t>
  </si>
  <si>
    <t>Sousa, 14 de julho de 2025.</t>
  </si>
  <si>
    <t>________________________________________________</t>
  </si>
  <si>
    <t>Engenheiro Fiscal Titular</t>
  </si>
  <si>
    <t>Engenheiro Fiscal Auxiliar</t>
  </si>
  <si>
    <t>Secretário de Planejamento</t>
  </si>
  <si>
    <t>_________________________________________________</t>
  </si>
  <si>
    <t>_______________________________________________________</t>
  </si>
  <si>
    <t>Acumulada incluindo o período (BM 04)</t>
  </si>
  <si>
    <t>Medido no período (BM 04)</t>
  </si>
  <si>
    <t>Medido no período (BM 01)</t>
  </si>
  <si>
    <t>Medido no período (BM 02)</t>
  </si>
  <si>
    <t>Medido no período (BM 03)</t>
  </si>
  <si>
    <t>Soma dos itens medidos</t>
  </si>
  <si>
    <t>OBS: NESSE BM FORAM GLOSADOS VALORES DOS ITENS 1.2.4 E 1.3.8 POIS DE ACORDO COM A PLANILHA DO RESUMO DOS BMS, QUE SE ENCONTRA EM ANEXO A ESSA MEDIÇÃO, ESSES ITENS TINHAM APRESENTADO EQUÍVOCOS DE PAGAMENTOS DURANTE OS BMS 02 E 03, SENDO ENTÃO CORRIGIDOS NESSE BM 04</t>
  </si>
  <si>
    <t>Escavação para posicionamento dos tubos de drenagem (passagem de água de um lado a outro da obra) e para as 11 descidas de água (cubação feita pela topografia da prefeitura de sousa)</t>
  </si>
  <si>
    <t>Levantamento em projeto para 2 faixas laterias contínuas e uma faixa central descontínua</t>
  </si>
  <si>
    <t>unidades</t>
  </si>
  <si>
    <t>unid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</si>
</sst>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#,##0.00"/>
    <numFmt numFmtId="166" formatCode="&quot;R$&quot;\ #,##0.00"/>
    <numFmt numFmtId="167" formatCode="#,##0.00_ ;[Red]\-#,##0.00\ "/>
    <numFmt numFmtId="168" formatCode="#,##0_ ;\-#,##0\ "/>
  </numFmts>
  <fonts count="22" x14ac:knownFonts="1">
    <font>
      <sz val="10"/>
      <name val="Arial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color theme="4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</borders>
  <cellStyleXfs count="21">
    <xf numFmtId="0" fontId="0" fillId="0" borderId="0" applyFill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Fill="0"/>
    <xf numFmtId="0" fontId="6" fillId="0" borderId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4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" fontId="3" fillId="0" borderId="0" xfId="0" applyNumberFormat="1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164" fontId="2" fillId="0" borderId="0" xfId="14" applyFill="1" applyAlignment="1">
      <alignment vertical="center"/>
    </xf>
    <xf numFmtId="0" fontId="4" fillId="0" borderId="0" xfId="0" applyFont="1" applyFill="1" applyAlignment="1">
      <alignment vertical="center"/>
    </xf>
    <xf numFmtId="39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4" fontId="2" fillId="0" borderId="0" xfId="14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Border="1" applyAlignment="1">
      <alignment horizontal="center" vertical="center" wrapText="1" shrinkToFit="1"/>
    </xf>
    <xf numFmtId="43" fontId="3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Alignment="1">
      <alignment horizontal="center" vertical="center" wrapText="1" shrinkToFit="1"/>
    </xf>
    <xf numFmtId="2" fontId="2" fillId="0" borderId="0" xfId="14" applyNumberFormat="1" applyFill="1" applyBorder="1" applyAlignment="1">
      <alignment vertical="center"/>
    </xf>
    <xf numFmtId="1" fontId="2" fillId="0" borderId="0" xfId="0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44" fontId="15" fillId="0" borderId="16" xfId="1" applyFont="1" applyBorder="1" applyAlignment="1">
      <alignment horizontal="center" vertical="center" wrapText="1"/>
    </xf>
    <xf numFmtId="164" fontId="15" fillId="0" borderId="16" xfId="14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0" fontId="12" fillId="0" borderId="14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0" fontId="12" fillId="0" borderId="2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4" fontId="13" fillId="0" borderId="3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centerContinuous" vertical="center" wrapText="1"/>
    </xf>
    <xf numFmtId="0" fontId="14" fillId="2" borderId="12" xfId="0" applyFont="1" applyFill="1" applyBorder="1" applyAlignment="1">
      <alignment horizontal="centerContinuous" vertical="center" wrapText="1"/>
    </xf>
    <xf numFmtId="4" fontId="14" fillId="2" borderId="12" xfId="0" applyNumberFormat="1" applyFont="1" applyFill="1" applyBorder="1" applyAlignment="1">
      <alignment horizontal="centerContinuous" vertical="center" wrapText="1"/>
    </xf>
    <xf numFmtId="4" fontId="15" fillId="2" borderId="4" xfId="0" applyNumberFormat="1" applyFont="1" applyFill="1" applyBorder="1" applyAlignment="1">
      <alignment horizontal="right" vertical="center" wrapText="1"/>
    </xf>
    <xf numFmtId="14" fontId="1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17" fontId="13" fillId="0" borderId="7" xfId="0" applyNumberFormat="1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166" fontId="12" fillId="2" borderId="4" xfId="0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166" fontId="14" fillId="4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" fontId="2" fillId="0" borderId="18" xfId="4" applyNumberFormat="1" applyFont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8" xfId="4" quotePrefix="1" applyFont="1" applyBorder="1" applyAlignment="1">
      <alignment horizontal="center" vertical="center"/>
    </xf>
    <xf numFmtId="0" fontId="2" fillId="0" borderId="18" xfId="4" applyFont="1" applyBorder="1" applyAlignment="1">
      <alignment horizontal="center" vertical="center"/>
    </xf>
    <xf numFmtId="43" fontId="2" fillId="0" borderId="18" xfId="16" applyFont="1" applyBorder="1" applyAlignment="1">
      <alignment horizontal="right" vertical="center"/>
    </xf>
    <xf numFmtId="43" fontId="2" fillId="0" borderId="18" xfId="16" applyFont="1" applyBorder="1" applyAlignment="1">
      <alignment vertical="center"/>
    </xf>
    <xf numFmtId="0" fontId="2" fillId="0" borderId="18" xfId="4" applyFont="1" applyBorder="1" applyAlignment="1">
      <alignment vertical="center"/>
    </xf>
    <xf numFmtId="0" fontId="2" fillId="0" borderId="0" xfId="4" applyFont="1" applyAlignment="1">
      <alignment horizontal="center" vertical="center"/>
    </xf>
    <xf numFmtId="164" fontId="2" fillId="0" borderId="0" xfId="4" applyNumberFormat="1" applyFont="1" applyAlignment="1">
      <alignment horizontal="center" vertical="center"/>
    </xf>
    <xf numFmtId="4" fontId="2" fillId="0" borderId="18" xfId="16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horizontal="center" vertical="center"/>
    </xf>
    <xf numFmtId="3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vertical="center"/>
    </xf>
    <xf numFmtId="4" fontId="3" fillId="0" borderId="20" xfId="12" applyNumberFormat="1" applyFont="1" applyFill="1" applyBorder="1" applyAlignment="1">
      <alignment vertical="center"/>
    </xf>
    <xf numFmtId="0" fontId="2" fillId="0" borderId="0" xfId="5" applyFont="1" applyAlignment="1">
      <alignment horizontal="left" vertical="center"/>
    </xf>
    <xf numFmtId="4" fontId="2" fillId="0" borderId="18" xfId="4" applyNumberFormat="1" applyFont="1" applyBorder="1" applyAlignment="1">
      <alignment vertical="center"/>
    </xf>
    <xf numFmtId="49" fontId="2" fillId="0" borderId="18" xfId="4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4" fontId="2" fillId="2" borderId="18" xfId="4" applyNumberFormat="1" applyFont="1" applyFill="1" applyBorder="1" applyAlignment="1">
      <alignment horizontal="center" vertical="center"/>
    </xf>
    <xf numFmtId="4" fontId="2" fillId="2" borderId="20" xfId="4" applyNumberFormat="1" applyFont="1" applyFill="1" applyBorder="1" applyAlignment="1">
      <alignment horizontal="center" vertical="center"/>
    </xf>
    <xf numFmtId="4" fontId="3" fillId="2" borderId="18" xfId="12" applyNumberFormat="1" applyFont="1" applyFill="1" applyBorder="1" applyAlignment="1">
      <alignment vertical="center"/>
    </xf>
    <xf numFmtId="4" fontId="3" fillId="2" borderId="18" xfId="4" applyNumberFormat="1" applyFont="1" applyFill="1" applyBorder="1" applyAlignment="1">
      <alignment horizontal="right" vertical="center"/>
    </xf>
    <xf numFmtId="4" fontId="3" fillId="2" borderId="18" xfId="4" applyNumberFormat="1" applyFont="1" applyFill="1" applyBorder="1" applyAlignment="1">
      <alignment horizontal="center" vertical="center"/>
    </xf>
    <xf numFmtId="43" fontId="8" fillId="0" borderId="18" xfId="0" applyNumberFormat="1" applyFont="1" applyBorder="1" applyAlignment="1">
      <alignment vertical="center"/>
    </xf>
    <xf numFmtId="43" fontId="5" fillId="0" borderId="18" xfId="0" applyNumberFormat="1" applyFont="1" applyBorder="1" applyAlignment="1">
      <alignment horizontal="right" vertical="center"/>
    </xf>
    <xf numFmtId="43" fontId="5" fillId="0" borderId="18" xfId="16" applyFont="1" applyBorder="1" applyAlignment="1">
      <alignment horizontal="center" vertical="center"/>
    </xf>
    <xf numFmtId="43" fontId="5" fillId="0" borderId="18" xfId="0" applyNumberFormat="1" applyFont="1" applyBorder="1" applyAlignment="1">
      <alignment vertical="center"/>
    </xf>
    <xf numFmtId="164" fontId="5" fillId="0" borderId="18" xfId="4" applyNumberFormat="1" applyFont="1" applyBorder="1" applyAlignment="1">
      <alignment horizontal="center" vertical="center"/>
    </xf>
    <xf numFmtId="0" fontId="11" fillId="0" borderId="18" xfId="4" applyFont="1" applyBorder="1" applyAlignment="1">
      <alignment vertical="center"/>
    </xf>
    <xf numFmtId="43" fontId="5" fillId="0" borderId="18" xfId="0" applyNumberFormat="1" applyFont="1" applyBorder="1" applyAlignment="1">
      <alignment horizontal="center" vertical="center"/>
    </xf>
    <xf numFmtId="3" fontId="17" fillId="0" borderId="18" xfId="4" quotePrefix="1" applyNumberFormat="1" applyFont="1" applyBorder="1" applyAlignment="1">
      <alignment horizontal="center" vertical="center"/>
    </xf>
    <xf numFmtId="0" fontId="17" fillId="0" borderId="18" xfId="4" applyFont="1" applyBorder="1" applyAlignment="1">
      <alignment vertical="center"/>
    </xf>
    <xf numFmtId="4" fontId="2" fillId="0" borderId="19" xfId="12" applyNumberFormat="1" applyFont="1" applyBorder="1" applyAlignment="1">
      <alignment vertical="center"/>
    </xf>
    <xf numFmtId="3" fontId="2" fillId="0" borderId="20" xfId="4" applyNumberFormat="1" applyFont="1" applyBorder="1" applyAlignment="1">
      <alignment vertical="center"/>
    </xf>
    <xf numFmtId="4" fontId="3" fillId="0" borderId="20" xfId="4" applyNumberFormat="1" applyFont="1" applyBorder="1" applyAlignment="1">
      <alignment horizontal="center" vertical="center"/>
    </xf>
    <xf numFmtId="4" fontId="2" fillId="0" borderId="18" xfId="12" applyNumberFormat="1" applyFont="1" applyBorder="1" applyAlignment="1">
      <alignment vertical="center"/>
    </xf>
    <xf numFmtId="49" fontId="2" fillId="0" borderId="20" xfId="4" applyNumberFormat="1" applyFont="1" applyBorder="1" applyAlignment="1">
      <alignment horizontal="center" vertical="center"/>
    </xf>
    <xf numFmtId="0" fontId="2" fillId="0" borderId="20" xfId="4" applyFont="1" applyBorder="1" applyAlignment="1">
      <alignment horizontal="left" vertical="center"/>
    </xf>
    <xf numFmtId="0" fontId="19" fillId="0" borderId="0" xfId="0" applyFont="1" applyFill="1" applyAlignment="1">
      <alignment horizontal="right" vertical="center"/>
    </xf>
    <xf numFmtId="0" fontId="3" fillId="0" borderId="18" xfId="4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 vertical="center"/>
    </xf>
    <xf numFmtId="4" fontId="3" fillId="0" borderId="18" xfId="0" applyNumberFormat="1" applyFont="1" applyBorder="1" applyAlignment="1">
      <alignment vertical="center"/>
    </xf>
    <xf numFmtId="43" fontId="3" fillId="0" borderId="0" xfId="16" applyFont="1" applyBorder="1" applyAlignment="1">
      <alignment vertical="center"/>
    </xf>
    <xf numFmtId="43" fontId="8" fillId="0" borderId="18" xfId="0" applyNumberFormat="1" applyFont="1" applyBorder="1" applyAlignment="1">
      <alignment horizontal="right" vertical="center"/>
    </xf>
    <xf numFmtId="43" fontId="8" fillId="0" borderId="18" xfId="0" applyNumberFormat="1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right" vertical="center"/>
    </xf>
    <xf numFmtId="4" fontId="3" fillId="0" borderId="18" xfId="4" applyNumberFormat="1" applyFont="1" applyBorder="1" applyAlignment="1">
      <alignment vertical="center"/>
    </xf>
    <xf numFmtId="43" fontId="3" fillId="0" borderId="18" xfId="16" applyFont="1" applyBorder="1" applyAlignment="1">
      <alignment vertical="center"/>
    </xf>
    <xf numFmtId="0" fontId="18" fillId="0" borderId="4" xfId="4" applyFont="1" applyBorder="1" applyAlignment="1">
      <alignment horizontal="center" vertical="center"/>
    </xf>
    <xf numFmtId="0" fontId="18" fillId="0" borderId="19" xfId="0" applyFont="1" applyBorder="1" applyAlignment="1">
      <alignment vertical="center"/>
    </xf>
    <xf numFmtId="4" fontId="18" fillId="0" borderId="18" xfId="12" applyNumberFormat="1" applyFont="1" applyBorder="1" applyAlignment="1">
      <alignment vertical="center"/>
    </xf>
    <xf numFmtId="0" fontId="18" fillId="0" borderId="20" xfId="4" applyFont="1" applyBorder="1" applyAlignment="1">
      <alignment vertical="center"/>
    </xf>
    <xf numFmtId="0" fontId="18" fillId="0" borderId="20" xfId="4" applyFont="1" applyBorder="1" applyAlignment="1">
      <alignment horizontal="right" vertical="center"/>
    </xf>
    <xf numFmtId="4" fontId="18" fillId="0" borderId="20" xfId="4" applyNumberFormat="1" applyFont="1" applyBorder="1" applyAlignment="1">
      <alignment vertical="center"/>
    </xf>
    <xf numFmtId="43" fontId="18" fillId="0" borderId="20" xfId="16" applyFont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3" fontId="18" fillId="0" borderId="18" xfId="4" applyNumberFormat="1" applyFont="1" applyBorder="1" applyAlignment="1">
      <alignment vertical="center"/>
    </xf>
    <xf numFmtId="4" fontId="18" fillId="0" borderId="18" xfId="4" applyNumberFormat="1" applyFont="1" applyBorder="1" applyAlignment="1">
      <alignment vertical="center"/>
    </xf>
    <xf numFmtId="3" fontId="18" fillId="0" borderId="0" xfId="4" applyNumberFormat="1" applyFont="1" applyAlignment="1">
      <alignment vertical="center"/>
    </xf>
    <xf numFmtId="4" fontId="18" fillId="0" borderId="0" xfId="4" applyNumberFormat="1" applyFont="1" applyAlignment="1">
      <alignment vertical="center"/>
    </xf>
    <xf numFmtId="0" fontId="18" fillId="0" borderId="0" xfId="4" applyFont="1" applyAlignment="1">
      <alignment horizontal="right" vertical="center"/>
    </xf>
    <xf numFmtId="43" fontId="18" fillId="0" borderId="0" xfId="16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12" applyNumberFormat="1" applyFont="1" applyBorder="1" applyAlignment="1">
      <alignment vertical="center"/>
    </xf>
    <xf numFmtId="43" fontId="18" fillId="0" borderId="0" xfId="16" applyFont="1" applyBorder="1" applyAlignment="1">
      <alignment vertical="center"/>
    </xf>
    <xf numFmtId="0" fontId="19" fillId="0" borderId="18" xfId="4" applyFont="1" applyBorder="1" applyAlignment="1">
      <alignment horizontal="right" vertical="center"/>
    </xf>
    <xf numFmtId="4" fontId="19" fillId="0" borderId="18" xfId="4" applyNumberFormat="1" applyFont="1" applyBorder="1" applyAlignment="1">
      <alignment vertical="center"/>
    </xf>
    <xf numFmtId="43" fontId="19" fillId="0" borderId="18" xfId="16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Continuous" vertical="center" wrapText="1"/>
    </xf>
    <xf numFmtId="0" fontId="15" fillId="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43" fontId="12" fillId="0" borderId="4" xfId="0" applyNumberFormat="1" applyFont="1" applyBorder="1" applyAlignment="1">
      <alignment vertical="center"/>
    </xf>
    <xf numFmtId="167" fontId="12" fillId="0" borderId="4" xfId="0" applyNumberFormat="1" applyFont="1" applyBorder="1" applyAlignment="1">
      <alignment vertical="center"/>
    </xf>
    <xf numFmtId="167" fontId="12" fillId="0" borderId="0" xfId="0" applyNumberFormat="1" applyFont="1" applyAlignment="1">
      <alignment vertical="center"/>
    </xf>
    <xf numFmtId="44" fontId="12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43" fontId="12" fillId="0" borderId="2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3" xfId="0" applyFont="1" applyBorder="1" applyAlignment="1">
      <alignment horizontal="centerContinuous" vertical="center"/>
    </xf>
    <xf numFmtId="0" fontId="12" fillId="0" borderId="15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" vertical="center"/>
    </xf>
    <xf numFmtId="43" fontId="2" fillId="0" borderId="0" xfId="0" applyNumberFormat="1" applyFont="1" applyFill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center" vertical="center" wrapText="1"/>
    </xf>
    <xf numFmtId="44" fontId="15" fillId="0" borderId="16" xfId="1" applyFont="1" applyFill="1" applyBorder="1" applyAlignment="1">
      <alignment horizontal="center" vertical="center" wrapText="1"/>
    </xf>
    <xf numFmtId="164" fontId="15" fillId="0" borderId="16" xfId="14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 wrapText="1"/>
    </xf>
    <xf numFmtId="166" fontId="12" fillId="0" borderId="4" xfId="0" applyNumberFormat="1" applyFont="1" applyFill="1" applyBorder="1" applyAlignment="1">
      <alignment horizontal="right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43" fontId="12" fillId="0" borderId="0" xfId="0" applyNumberFormat="1" applyFont="1" applyAlignment="1">
      <alignment vertical="center"/>
    </xf>
    <xf numFmtId="0" fontId="12" fillId="0" borderId="22" xfId="0" applyFont="1" applyBorder="1" applyAlignment="1">
      <alignment horizontal="center" vertical="center" wrapText="1"/>
    </xf>
    <xf numFmtId="44" fontId="15" fillId="0" borderId="23" xfId="1" applyFont="1" applyBorder="1" applyAlignment="1">
      <alignment horizontal="center" vertical="center" wrapText="1"/>
    </xf>
    <xf numFmtId="164" fontId="15" fillId="0" borderId="23" xfId="14" applyFont="1" applyBorder="1" applyAlignment="1">
      <alignment horizontal="center" vertical="center" wrapText="1"/>
    </xf>
    <xf numFmtId="4" fontId="15" fillId="2" borderId="14" xfId="0" applyNumberFormat="1" applyFont="1" applyFill="1" applyBorder="1" applyAlignment="1">
      <alignment horizontal="right" vertical="center" wrapText="1"/>
    </xf>
    <xf numFmtId="166" fontId="12" fillId="2" borderId="14" xfId="0" applyNumberFormat="1" applyFont="1" applyFill="1" applyBorder="1" applyAlignment="1">
      <alignment horizontal="right" vertical="center"/>
    </xf>
    <xf numFmtId="44" fontId="15" fillId="0" borderId="4" xfId="1" applyFont="1" applyBorder="1" applyAlignment="1">
      <alignment horizontal="center" vertical="center" wrapText="1"/>
    </xf>
    <xf numFmtId="164" fontId="15" fillId="0" borderId="4" xfId="14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166" fontId="12" fillId="0" borderId="0" xfId="0" applyNumberFormat="1" applyFont="1" applyAlignment="1">
      <alignment vertical="center"/>
    </xf>
    <xf numFmtId="43" fontId="2" fillId="0" borderId="0" xfId="0" applyNumberFormat="1" applyFont="1" applyFill="1" applyAlignment="1">
      <alignment horizontal="right" vertical="center"/>
    </xf>
    <xf numFmtId="43" fontId="2" fillId="0" borderId="0" xfId="14" applyNumberFormat="1" applyFill="1" applyBorder="1" applyAlignment="1">
      <alignment horizontal="center" vertical="center" shrinkToFit="1"/>
    </xf>
    <xf numFmtId="164" fontId="2" fillId="0" borderId="0" xfId="14" applyFill="1" applyAlignment="1">
      <alignment horizontal="center" vertical="center"/>
    </xf>
    <xf numFmtId="43" fontId="2" fillId="0" borderId="0" xfId="14" applyNumberFormat="1" applyFill="1" applyAlignment="1">
      <alignment horizontal="center" vertical="center" shrinkToFit="1"/>
    </xf>
    <xf numFmtId="0" fontId="14" fillId="2" borderId="25" xfId="0" applyFont="1" applyFill="1" applyBorder="1" applyAlignment="1">
      <alignment horizontal="centerContinuous" vertical="center" wrapText="1"/>
    </xf>
    <xf numFmtId="0" fontId="13" fillId="5" borderId="5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66" fontId="13" fillId="5" borderId="14" xfId="0" applyNumberFormat="1" applyFont="1" applyFill="1" applyBorder="1" applyAlignment="1">
      <alignment vertical="center" wrapText="1"/>
    </xf>
    <xf numFmtId="0" fontId="12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vertical="center"/>
    </xf>
    <xf numFmtId="166" fontId="13" fillId="2" borderId="27" xfId="0" applyNumberFormat="1" applyFont="1" applyFill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0" fontId="2" fillId="0" borderId="0" xfId="5" applyFont="1" applyAlignment="1">
      <alignment horizontal="center" vertical="center"/>
    </xf>
    <xf numFmtId="164" fontId="5" fillId="0" borderId="18" xfId="4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168" fontId="2" fillId="0" borderId="0" xfId="4" applyNumberFormat="1" applyFont="1" applyAlignment="1">
      <alignment vertical="center"/>
    </xf>
    <xf numFmtId="0" fontId="2" fillId="0" borderId="0" xfId="6" applyFont="1" applyAlignment="1">
      <alignment horizontal="center"/>
    </xf>
    <xf numFmtId="43" fontId="2" fillId="0" borderId="0" xfId="6" applyNumberFormat="1" applyFont="1" applyAlignment="1">
      <alignment horizontal="center" vertical="center"/>
    </xf>
    <xf numFmtId="43" fontId="2" fillId="0" borderId="0" xfId="6" applyNumberFormat="1" applyFont="1" applyFill="1" applyAlignment="1">
      <alignment horizontal="center" vertical="center"/>
    </xf>
    <xf numFmtId="43" fontId="2" fillId="0" borderId="0" xfId="0" applyNumberFormat="1" applyFont="1"/>
    <xf numFmtId="0" fontId="2" fillId="0" borderId="0" xfId="6" applyFont="1" applyAlignment="1">
      <alignment horizontal="center" vertical="center"/>
    </xf>
    <xf numFmtId="0" fontId="2" fillId="0" borderId="0" xfId="6" applyFont="1"/>
    <xf numFmtId="0" fontId="3" fillId="0" borderId="0" xfId="6" applyFont="1" applyAlignment="1">
      <alignment horizontal="right"/>
    </xf>
    <xf numFmtId="4" fontId="3" fillId="0" borderId="0" xfId="6" applyNumberFormat="1" applyFont="1" applyAlignment="1">
      <alignment horizontal="right"/>
    </xf>
    <xf numFmtId="164" fontId="3" fillId="0" borderId="0" xfId="14" applyFont="1"/>
    <xf numFmtId="0" fontId="3" fillId="0" borderId="0" xfId="6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14"/>
    <xf numFmtId="164" fontId="2" fillId="0" borderId="0" xfId="14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/>
    </xf>
    <xf numFmtId="164" fontId="2" fillId="0" borderId="0" xfId="14" applyFill="1" applyAlignment="1">
      <alignment horizontal="right" vertical="center"/>
    </xf>
    <xf numFmtId="43" fontId="0" fillId="0" borderId="0" xfId="0" applyNumberFormat="1"/>
    <xf numFmtId="43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15" fillId="0" borderId="22" xfId="14" applyFont="1" applyFill="1" applyBorder="1" applyAlignment="1">
      <alignment horizontal="center" vertical="center" wrapText="1"/>
    </xf>
    <xf numFmtId="164" fontId="15" fillId="0" borderId="31" xfId="14" applyFont="1" applyBorder="1" applyAlignment="1">
      <alignment horizontal="center" vertical="center" wrapText="1"/>
    </xf>
    <xf numFmtId="164" fontId="15" fillId="0" borderId="13" xfId="14" applyFont="1" applyBorder="1" applyAlignment="1">
      <alignment horizontal="center" vertical="center" wrapText="1"/>
    </xf>
    <xf numFmtId="164" fontId="15" fillId="0" borderId="22" xfId="14" applyFont="1" applyBorder="1" applyAlignment="1">
      <alignment horizontal="center" vertical="center" wrapText="1"/>
    </xf>
    <xf numFmtId="164" fontId="15" fillId="0" borderId="4" xfId="14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vertical="center" wrapText="1"/>
    </xf>
    <xf numFmtId="166" fontId="13" fillId="5" borderId="4" xfId="0" applyNumberFormat="1" applyFont="1" applyFill="1" applyBorder="1" applyAlignment="1">
      <alignment vertical="center" wrapText="1"/>
    </xf>
    <xf numFmtId="4" fontId="12" fillId="0" borderId="4" xfId="0" applyNumberFormat="1" applyFont="1" applyFill="1" applyBorder="1" applyAlignment="1">
      <alignment horizontal="right" vertical="center" wrapText="1"/>
    </xf>
    <xf numFmtId="4" fontId="12" fillId="2" borderId="4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165" fontId="13" fillId="3" borderId="6" xfId="0" applyNumberFormat="1" applyFont="1" applyFill="1" applyBorder="1" applyAlignment="1">
      <alignment horizontal="center" vertical="center"/>
    </xf>
    <xf numFmtId="165" fontId="13" fillId="3" borderId="7" xfId="0" applyNumberFormat="1" applyFont="1" applyFill="1" applyBorder="1" applyAlignment="1">
      <alignment horizontal="center" vertical="center"/>
    </xf>
    <xf numFmtId="165" fontId="13" fillId="3" borderId="10" xfId="0" applyNumberFormat="1" applyFont="1" applyFill="1" applyBorder="1" applyAlignment="1">
      <alignment horizontal="center" vertical="center"/>
    </xf>
    <xf numFmtId="165" fontId="13" fillId="3" borderId="11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0" fontId="21" fillId="0" borderId="32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4" fontId="13" fillId="0" borderId="10" xfId="0" applyNumberFormat="1" applyFont="1" applyFill="1" applyBorder="1" applyAlignment="1">
      <alignment horizontal="center" vertical="center"/>
    </xf>
    <xf numFmtId="14" fontId="13" fillId="0" borderId="11" xfId="0" applyNumberFormat="1" applyFont="1" applyFill="1" applyBorder="1" applyAlignment="1">
      <alignment horizontal="center" vertical="center"/>
    </xf>
    <xf numFmtId="166" fontId="13" fillId="2" borderId="27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center"/>
    </xf>
    <xf numFmtId="166" fontId="13" fillId="0" borderId="3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horizontal="left" vertical="center"/>
    </xf>
    <xf numFmtId="4" fontId="12" fillId="0" borderId="9" xfId="0" applyNumberFormat="1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18" fillId="0" borderId="13" xfId="4" applyFont="1" applyBorder="1" applyAlignment="1">
      <alignment horizontal="center" vertical="center"/>
    </xf>
    <xf numFmtId="0" fontId="18" fillId="0" borderId="12" xfId="4" applyFont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164" fontId="18" fillId="0" borderId="14" xfId="4" applyNumberFormat="1" applyFont="1" applyBorder="1" applyAlignment="1">
      <alignment horizontal="center" vertical="center"/>
    </xf>
    <xf numFmtId="164" fontId="18" fillId="0" borderId="3" xfId="4" applyNumberFormat="1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164" fontId="18" fillId="0" borderId="4" xfId="4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4" xfId="6" applyFont="1" applyBorder="1" applyAlignment="1">
      <alignment horizontal="center" vertical="center"/>
    </xf>
    <xf numFmtId="0" fontId="2" fillId="0" borderId="3" xfId="6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0" borderId="4" xfId="4" applyFont="1" applyBorder="1" applyAlignment="1">
      <alignment horizontal="center" vertical="center"/>
    </xf>
    <xf numFmtId="164" fontId="2" fillId="0" borderId="4" xfId="4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5" xfId="4" applyFont="1" applyBorder="1" applyAlignment="1">
      <alignment horizontal="center" vertical="center"/>
    </xf>
    <xf numFmtId="0" fontId="2" fillId="0" borderId="14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5" fillId="0" borderId="21" xfId="4" applyNumberFormat="1" applyFont="1" applyBorder="1" applyAlignment="1">
      <alignment horizontal="center" vertical="center"/>
    </xf>
    <xf numFmtId="3" fontId="5" fillId="0" borderId="19" xfId="4" applyNumberFormat="1" applyFont="1" applyBorder="1" applyAlignment="1">
      <alignment horizontal="center" vertical="center"/>
    </xf>
    <xf numFmtId="3" fontId="8" fillId="0" borderId="21" xfId="4" applyNumberFormat="1" applyFont="1" applyBorder="1" applyAlignment="1">
      <alignment horizontal="center" vertical="center"/>
    </xf>
    <xf numFmtId="3" fontId="8" fillId="0" borderId="19" xfId="4" applyNumberFormat="1" applyFont="1" applyBorder="1" applyAlignment="1">
      <alignment horizontal="center" vertical="center"/>
    </xf>
    <xf numFmtId="164" fontId="2" fillId="0" borderId="14" xfId="4" applyNumberFormat="1" applyFont="1" applyBorder="1" applyAlignment="1">
      <alignment horizontal="center" vertical="center"/>
    </xf>
    <xf numFmtId="164" fontId="2" fillId="0" borderId="3" xfId="4" applyNumberFormat="1" applyFont="1" applyBorder="1" applyAlignment="1">
      <alignment horizontal="center" vertical="center"/>
    </xf>
    <xf numFmtId="4" fontId="3" fillId="0" borderId="21" xfId="4" applyNumberFormat="1" applyFont="1" applyBorder="1" applyAlignment="1">
      <alignment horizontal="left" vertical="center"/>
    </xf>
    <xf numFmtId="4" fontId="3" fillId="0" borderId="19" xfId="4" applyNumberFormat="1" applyFont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center" vertical="center" wrapText="1" shrinkToFit="1"/>
    </xf>
    <xf numFmtId="43" fontId="2" fillId="0" borderId="0" xfId="0" applyNumberFormat="1" applyFont="1" applyFill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29" xfId="0" quotePrefix="1" applyFont="1" applyFill="1" applyBorder="1" applyAlignment="1">
      <alignment horizontal="left" vertical="center"/>
    </xf>
    <xf numFmtId="0" fontId="2" fillId="0" borderId="30" xfId="0" quotePrefix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21">
    <cellStyle name="Moeda" xfId="1" builtinId="4"/>
    <cellStyle name="Moeda 2" xfId="2" xr:uid="{00000000-0005-0000-0000-000002000000}"/>
    <cellStyle name="Normal" xfId="0" builtinId="0"/>
    <cellStyle name="Normal 12" xfId="3" xr:uid="{00000000-0005-0000-0000-000004000000}"/>
    <cellStyle name="Normal 2" xfId="4" xr:uid="{00000000-0005-0000-0000-000005000000}"/>
    <cellStyle name="Normal 2 2" xfId="5" xr:uid="{00000000-0005-0000-0000-000006000000}"/>
    <cellStyle name="Normal 3" xfId="6" xr:uid="{00000000-0005-0000-0000-000007000000}"/>
    <cellStyle name="Normal 3 2" xfId="7" xr:uid="{00000000-0005-0000-0000-000008000000}"/>
    <cellStyle name="Normal 4" xfId="8" xr:uid="{00000000-0005-0000-0000-000009000000}"/>
    <cellStyle name="Normal 6" xfId="9" xr:uid="{00000000-0005-0000-0000-00000A000000}"/>
    <cellStyle name="Porcentagem 2" xfId="10" xr:uid="{00000000-0005-0000-0000-00000C000000}"/>
    <cellStyle name="Porcentagem 3" xfId="11" xr:uid="{00000000-0005-0000-0000-00000D000000}"/>
    <cellStyle name="Separador de milhares 2" xfId="12" xr:uid="{00000000-0005-0000-0000-00000E000000}"/>
    <cellStyle name="Separador de milhares 2 2" xfId="13" xr:uid="{00000000-0005-0000-0000-00000F000000}"/>
    <cellStyle name="Vírgula" xfId="14" builtinId="3"/>
    <cellStyle name="Vírgula 2" xfId="15" xr:uid="{00000000-0005-0000-0000-000011000000}"/>
    <cellStyle name="Vírgula 2 2" xfId="16" xr:uid="{00000000-0005-0000-0000-000012000000}"/>
    <cellStyle name="Vírgula 3" xfId="17" xr:uid="{00000000-0005-0000-0000-000013000000}"/>
    <cellStyle name="Vírgula 3 2" xfId="18" xr:uid="{00000000-0005-0000-0000-000014000000}"/>
    <cellStyle name="Vírgula 4" xfId="19" xr:uid="{00000000-0005-0000-0000-000015000000}"/>
    <cellStyle name="Vírgula 5" xfId="20" xr:uid="{00000000-0005-0000-0000-000016000000}"/>
  </cellStyles>
  <dxfs count="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color theme="1"/>
      </font>
      <fill>
        <patternFill>
          <bgColor theme="0" tint="-0.34998626667073579"/>
        </patternFill>
      </fill>
      <border>
        <top/>
      </border>
    </dxf>
    <dxf>
      <fill>
        <patternFill>
          <bgColor rgb="FFFFC000"/>
        </patternFill>
      </fill>
      <border>
        <bottom style="medium">
          <color auto="1"/>
        </bottom>
        <vertical style="thin">
          <color theme="0"/>
        </vertical>
      </border>
    </dxf>
    <dxf>
      <border>
        <top style="thin">
          <color theme="0" tint="-0.499984740745262"/>
        </top>
        <bottom style="thin">
          <color theme="0" tint="-0.499984740745262"/>
        </bottom>
        <vertical style="hair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9" defaultPivotStyle="PivotStyleLight16">
    <tableStyle name="TableStyleLight21 2" pivot="0" count="5" xr9:uid="{00000000-0011-0000-FFFF-FFFF00000000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F856-BF1B-4E5F-8A4C-9E02EF288697}">
  <sheetPr>
    <pageSetUpPr fitToPage="1"/>
  </sheetPr>
  <dimension ref="A1:S71"/>
  <sheetViews>
    <sheetView tabSelected="1" view="pageBreakPreview" zoomScaleNormal="100" zoomScaleSheetLayoutView="100" workbookViewId="0">
      <pane xSplit="10" ySplit="12" topLeftCell="K52" activePane="bottomRight" state="frozen"/>
      <selection pane="topRight" activeCell="K1" sqref="K1"/>
      <selection pane="bottomLeft" activeCell="A13" sqref="A13"/>
      <selection pane="bottomRight" activeCell="L58" sqref="L58"/>
    </sheetView>
  </sheetViews>
  <sheetFormatPr defaultColWidth="9.28515625" defaultRowHeight="12.75" x14ac:dyDescent="0.2"/>
  <cols>
    <col min="1" max="1" width="8.28515625" style="34" customWidth="1"/>
    <col min="2" max="2" width="42.5703125" style="34" customWidth="1"/>
    <col min="3" max="3" width="6.28515625" style="34" customWidth="1"/>
    <col min="4" max="4" width="10.28515625" style="34" customWidth="1"/>
    <col min="5" max="5" width="12.7109375" style="34" customWidth="1"/>
    <col min="6" max="7" width="14" style="34" customWidth="1"/>
    <col min="8" max="8" width="14.5703125" style="34" customWidth="1"/>
    <col min="9" max="9" width="13.5703125" style="34" customWidth="1"/>
    <col min="10" max="10" width="14" style="34" customWidth="1"/>
    <col min="11" max="11" width="1.7109375" customWidth="1"/>
    <col min="12" max="12" width="12.5703125" style="34" customWidth="1"/>
    <col min="13" max="13" width="1.7109375" style="34" customWidth="1"/>
    <col min="14" max="18" width="12.5703125" style="34" customWidth="1"/>
    <col min="19" max="19" width="12.28515625" style="34" bestFit="1" customWidth="1"/>
    <col min="20" max="16384" width="9.28515625" style="34"/>
  </cols>
  <sheetData>
    <row r="1" spans="1:18" ht="12.75" customHeight="1" x14ac:dyDescent="0.2">
      <c r="A1" s="254" t="s">
        <v>117</v>
      </c>
      <c r="B1" s="255"/>
      <c r="C1" s="255"/>
      <c r="D1" s="255"/>
      <c r="E1" s="255"/>
      <c r="F1" s="255"/>
      <c r="G1" s="255"/>
      <c r="H1" s="255"/>
      <c r="I1" s="256"/>
      <c r="J1" s="35" t="s">
        <v>112</v>
      </c>
    </row>
    <row r="2" spans="1:18" ht="12.75" customHeight="1" x14ac:dyDescent="0.2">
      <c r="A2" s="257"/>
      <c r="B2" s="258"/>
      <c r="C2" s="258"/>
      <c r="D2" s="258"/>
      <c r="E2" s="258"/>
      <c r="F2" s="258"/>
      <c r="G2" s="258"/>
      <c r="H2" s="258"/>
      <c r="I2" s="259"/>
      <c r="J2" s="36" t="s">
        <v>217</v>
      </c>
    </row>
    <row r="3" spans="1:18" ht="13.5" customHeight="1" x14ac:dyDescent="0.2">
      <c r="A3" s="260" t="s">
        <v>24</v>
      </c>
      <c r="B3" s="261"/>
      <c r="C3" s="260" t="s">
        <v>96</v>
      </c>
      <c r="D3" s="262"/>
      <c r="E3" s="262"/>
      <c r="F3" s="261"/>
      <c r="G3" s="37" t="s">
        <v>100</v>
      </c>
      <c r="H3" s="39"/>
      <c r="I3" s="40" t="s">
        <v>101</v>
      </c>
      <c r="J3" s="40" t="s">
        <v>102</v>
      </c>
    </row>
    <row r="4" spans="1:18" ht="12.75" customHeight="1" x14ac:dyDescent="0.2">
      <c r="A4" s="252" t="s">
        <v>123</v>
      </c>
      <c r="B4" s="253"/>
      <c r="C4" s="266" t="s">
        <v>123</v>
      </c>
      <c r="D4" s="267"/>
      <c r="E4" s="267"/>
      <c r="F4" s="268"/>
      <c r="G4" s="44"/>
      <c r="H4" s="45"/>
      <c r="I4" s="46">
        <v>45296</v>
      </c>
      <c r="J4" s="47" t="s">
        <v>115</v>
      </c>
    </row>
    <row r="5" spans="1:18" ht="12.75" customHeight="1" x14ac:dyDescent="0.2">
      <c r="A5" s="260" t="s">
        <v>103</v>
      </c>
      <c r="B5" s="261"/>
      <c r="C5" s="281" t="s">
        <v>104</v>
      </c>
      <c r="D5" s="282"/>
      <c r="E5" s="49" t="s">
        <v>105</v>
      </c>
      <c r="F5" s="48"/>
      <c r="G5" s="50" t="s">
        <v>106</v>
      </c>
      <c r="H5" s="50" t="s">
        <v>107</v>
      </c>
      <c r="I5" s="284" t="s">
        <v>116</v>
      </c>
      <c r="J5" s="285"/>
    </row>
    <row r="6" spans="1:18" ht="12.75" customHeight="1" x14ac:dyDescent="0.2">
      <c r="A6" s="252" t="s">
        <v>124</v>
      </c>
      <c r="B6" s="253"/>
      <c r="C6" s="41"/>
      <c r="D6" s="42"/>
      <c r="E6" s="43"/>
      <c r="F6" s="58" t="s">
        <v>119</v>
      </c>
      <c r="G6" s="56">
        <v>45296</v>
      </c>
      <c r="H6" s="57" t="s">
        <v>118</v>
      </c>
      <c r="I6" s="263"/>
      <c r="J6" s="264"/>
      <c r="L6" s="189"/>
      <c r="N6" s="189"/>
    </row>
    <row r="7" spans="1:18" ht="12.75" customHeight="1" x14ac:dyDescent="0.2">
      <c r="A7" s="260" t="s">
        <v>108</v>
      </c>
      <c r="B7" s="261"/>
      <c r="C7" s="281" t="s">
        <v>25</v>
      </c>
      <c r="D7" s="283"/>
      <c r="E7" s="282"/>
      <c r="F7" s="51" t="s">
        <v>109</v>
      </c>
      <c r="G7" s="281" t="s">
        <v>110</v>
      </c>
      <c r="H7" s="282"/>
      <c r="I7" s="37" t="s">
        <v>111</v>
      </c>
      <c r="J7" s="38"/>
      <c r="L7" s="189"/>
    </row>
    <row r="8" spans="1:18" ht="12.75" customHeight="1" x14ac:dyDescent="0.2">
      <c r="A8" s="275" t="s">
        <v>125</v>
      </c>
      <c r="B8" s="276"/>
      <c r="C8" s="269" t="s">
        <v>114</v>
      </c>
      <c r="D8" s="279"/>
      <c r="E8" s="270"/>
      <c r="F8" s="273">
        <v>2537781.7599999998</v>
      </c>
      <c r="G8" s="244">
        <f>D58</f>
        <v>98443.55</v>
      </c>
      <c r="H8" s="245"/>
      <c r="I8" s="269" t="s">
        <v>221</v>
      </c>
      <c r="J8" s="270"/>
    </row>
    <row r="9" spans="1:18" ht="12.75" customHeight="1" x14ac:dyDescent="0.2">
      <c r="A9" s="277"/>
      <c r="B9" s="278"/>
      <c r="C9" s="271"/>
      <c r="D9" s="280"/>
      <c r="E9" s="272"/>
      <c r="F9" s="274"/>
      <c r="G9" s="246"/>
      <c r="H9" s="247"/>
      <c r="I9" s="271"/>
      <c r="J9" s="272"/>
    </row>
    <row r="10" spans="1:18" x14ac:dyDescent="0.2">
      <c r="A10" s="286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8" x14ac:dyDescent="0.2">
      <c r="A11" s="248" t="s">
        <v>97</v>
      </c>
      <c r="B11" s="243" t="s">
        <v>4</v>
      </c>
      <c r="C11" s="243" t="s">
        <v>98</v>
      </c>
      <c r="D11" s="243" t="s">
        <v>99</v>
      </c>
      <c r="E11" s="248" t="s">
        <v>26</v>
      </c>
      <c r="F11" s="248"/>
      <c r="G11" s="248"/>
      <c r="H11" s="249" t="s">
        <v>27</v>
      </c>
      <c r="I11" s="249"/>
      <c r="J11" s="249"/>
      <c r="N11" s="161"/>
      <c r="O11" s="165" t="s">
        <v>152</v>
      </c>
      <c r="P11" s="162"/>
      <c r="Q11" s="163" t="s">
        <v>153</v>
      </c>
      <c r="R11" s="164"/>
    </row>
    <row r="12" spans="1:18" ht="27" x14ac:dyDescent="0.2">
      <c r="A12" s="248"/>
      <c r="B12" s="243"/>
      <c r="C12" s="243"/>
      <c r="D12" s="243"/>
      <c r="E12" s="63" t="s">
        <v>28</v>
      </c>
      <c r="F12" s="63" t="s">
        <v>120</v>
      </c>
      <c r="G12" s="64" t="s">
        <v>29</v>
      </c>
      <c r="H12" s="64" t="s">
        <v>28</v>
      </c>
      <c r="I12" s="64" t="s">
        <v>120</v>
      </c>
      <c r="J12" s="64" t="s">
        <v>121</v>
      </c>
      <c r="L12" s="151" t="s">
        <v>146</v>
      </c>
      <c r="M12" s="159"/>
      <c r="N12" s="151" t="s">
        <v>147</v>
      </c>
      <c r="O12" s="151" t="s">
        <v>148</v>
      </c>
      <c r="P12" s="151" t="s">
        <v>149</v>
      </c>
      <c r="Q12" s="151" t="s">
        <v>150</v>
      </c>
      <c r="R12" s="151" t="s">
        <v>151</v>
      </c>
    </row>
    <row r="13" spans="1:18" ht="15" customHeight="1" x14ac:dyDescent="0.2">
      <c r="A13" s="25">
        <v>1</v>
      </c>
      <c r="B13" s="52" t="s">
        <v>113</v>
      </c>
      <c r="C13" s="53"/>
      <c r="D13" s="53"/>
      <c r="E13" s="53"/>
      <c r="F13" s="53"/>
      <c r="G13" s="53"/>
      <c r="H13" s="54"/>
      <c r="I13" s="53"/>
      <c r="J13" s="194"/>
      <c r="L13" s="152"/>
      <c r="M13" s="152"/>
    </row>
    <row r="14" spans="1:18" ht="15" customHeight="1" x14ac:dyDescent="0.2">
      <c r="A14" s="59" t="s">
        <v>36</v>
      </c>
      <c r="B14" s="60" t="s">
        <v>37</v>
      </c>
      <c r="C14" s="61"/>
      <c r="D14" s="61"/>
      <c r="E14" s="61"/>
      <c r="F14" s="61"/>
      <c r="G14" s="61"/>
      <c r="H14" s="65">
        <f>SUM(H15:H17)</f>
        <v>12459.146400000001</v>
      </c>
      <c r="I14" s="65">
        <f t="shared" ref="I14:J14" si="0">SUM(I15:I17)</f>
        <v>0</v>
      </c>
      <c r="J14" s="65">
        <f t="shared" si="0"/>
        <v>12459.16</v>
      </c>
      <c r="L14" s="153"/>
      <c r="M14" s="153"/>
    </row>
    <row r="15" spans="1:18" ht="27" x14ac:dyDescent="0.2">
      <c r="A15" s="167" t="s">
        <v>69</v>
      </c>
      <c r="B15" s="168" t="s">
        <v>38</v>
      </c>
      <c r="C15" s="169" t="s">
        <v>41</v>
      </c>
      <c r="D15" s="170">
        <v>0.43</v>
      </c>
      <c r="E15" s="171">
        <v>14222.78</v>
      </c>
      <c r="F15" s="172">
        <v>0</v>
      </c>
      <c r="G15" s="172">
        <f>N15</f>
        <v>14222.78</v>
      </c>
      <c r="H15" s="173">
        <f>TRUNC(E15*D15,2)</f>
        <v>6115.79</v>
      </c>
      <c r="I15" s="173">
        <f>ROUND(F15*D15,2)</f>
        <v>0</v>
      </c>
      <c r="J15" s="173">
        <f>ROUND(G15*D15,2)</f>
        <v>6115.8</v>
      </c>
      <c r="L15" s="155">
        <f>F15</f>
        <v>0</v>
      </c>
      <c r="M15" s="160"/>
      <c r="N15" s="156">
        <f>'MEM04'!H18</f>
        <v>14222.78</v>
      </c>
      <c r="O15" s="156">
        <v>14222.78</v>
      </c>
      <c r="P15" s="156">
        <f>+O15-N15</f>
        <v>0</v>
      </c>
      <c r="Q15" s="156">
        <f>ROUND(+P15*D15,2)</f>
        <v>0</v>
      </c>
      <c r="R15" s="156">
        <f>H15</f>
        <v>6115.79</v>
      </c>
    </row>
    <row r="16" spans="1:18" ht="27" x14ac:dyDescent="0.2">
      <c r="A16" s="167" t="s">
        <v>70</v>
      </c>
      <c r="B16" s="168" t="s">
        <v>39</v>
      </c>
      <c r="C16" s="169" t="s">
        <v>41</v>
      </c>
      <c r="D16" s="170">
        <v>0.38</v>
      </c>
      <c r="E16" s="171">
        <v>14222.78</v>
      </c>
      <c r="F16" s="172">
        <v>0</v>
      </c>
      <c r="G16" s="172">
        <f t="shared" ref="G16:G17" si="1">N16</f>
        <v>14222.78</v>
      </c>
      <c r="H16" s="173">
        <f>(E16*D16)</f>
        <v>5404.6564000000008</v>
      </c>
      <c r="I16" s="173">
        <f t="shared" ref="I16:I17" si="2">ROUND(F16*D16,2)</f>
        <v>0</v>
      </c>
      <c r="J16" s="173">
        <f t="shared" ref="J16:J17" si="3">ROUND(G16*D16,2)</f>
        <v>5404.66</v>
      </c>
      <c r="L16" s="155">
        <f t="shared" ref="L16:L17" si="4">F16</f>
        <v>0</v>
      </c>
      <c r="M16" s="160"/>
      <c r="N16" s="156">
        <f>'MEM04'!H31</f>
        <v>14222.78</v>
      </c>
      <c r="O16" s="156">
        <v>14222.78</v>
      </c>
      <c r="P16" s="156">
        <f t="shared" ref="P16:P17" si="5">+O16-N16</f>
        <v>0</v>
      </c>
      <c r="Q16" s="156">
        <f t="shared" ref="Q16:Q17" si="6">ROUND(+P16*D16,2)</f>
        <v>0</v>
      </c>
      <c r="R16" s="156">
        <f t="shared" ref="R16:R17" si="7">H16</f>
        <v>5404.6564000000008</v>
      </c>
    </row>
    <row r="17" spans="1:19" ht="27" x14ac:dyDescent="0.2">
      <c r="A17" s="167" t="s">
        <v>71</v>
      </c>
      <c r="B17" s="168" t="s">
        <v>40</v>
      </c>
      <c r="C17" s="169" t="s">
        <v>42</v>
      </c>
      <c r="D17" s="170">
        <v>0.66</v>
      </c>
      <c r="E17" s="171">
        <v>1422.28</v>
      </c>
      <c r="F17" s="172">
        <v>0</v>
      </c>
      <c r="G17" s="172">
        <f t="shared" si="1"/>
        <v>1422.2780000000002</v>
      </c>
      <c r="H17" s="173">
        <f>ROUND(E17*D17,2)</f>
        <v>938.7</v>
      </c>
      <c r="I17" s="173">
        <f t="shared" si="2"/>
        <v>0</v>
      </c>
      <c r="J17" s="173">
        <f t="shared" si="3"/>
        <v>938.7</v>
      </c>
      <c r="L17" s="155">
        <f t="shared" si="4"/>
        <v>0</v>
      </c>
      <c r="M17" s="160"/>
      <c r="N17" s="156">
        <f>'MEM04'!H45</f>
        <v>1422.2780000000002</v>
      </c>
      <c r="O17" s="156">
        <v>1422.28</v>
      </c>
      <c r="P17" s="156">
        <f t="shared" si="5"/>
        <v>1.9999999997253326E-3</v>
      </c>
      <c r="Q17" s="156">
        <f t="shared" si="6"/>
        <v>0</v>
      </c>
      <c r="R17" s="156">
        <f t="shared" si="7"/>
        <v>938.7</v>
      </c>
    </row>
    <row r="18" spans="1:19" ht="15" customHeight="1" x14ac:dyDescent="0.2">
      <c r="A18" s="59" t="s">
        <v>43</v>
      </c>
      <c r="B18" s="60" t="s">
        <v>44</v>
      </c>
      <c r="C18" s="61"/>
      <c r="D18" s="61"/>
      <c r="E18" s="61"/>
      <c r="F18" s="61"/>
      <c r="G18" s="61"/>
      <c r="H18" s="65">
        <f>SUM(H19:H23)</f>
        <v>1468665.74</v>
      </c>
      <c r="I18" s="65">
        <f>SUM(I19:I23)</f>
        <v>-36640.239999999998</v>
      </c>
      <c r="J18" s="65">
        <f>SUM(J19:J23)</f>
        <v>1468665.74</v>
      </c>
      <c r="N18" s="157"/>
      <c r="O18" s="157"/>
      <c r="P18" s="157"/>
      <c r="Q18" s="157"/>
      <c r="R18" s="157"/>
    </row>
    <row r="19" spans="1:19" ht="27" x14ac:dyDescent="0.2">
      <c r="A19" s="167" t="s">
        <v>72</v>
      </c>
      <c r="B19" s="168" t="s">
        <v>38</v>
      </c>
      <c r="C19" s="169" t="s">
        <v>41</v>
      </c>
      <c r="D19" s="170">
        <v>0.43</v>
      </c>
      <c r="E19" s="171">
        <v>14222.779999999999</v>
      </c>
      <c r="F19" s="172">
        <v>0</v>
      </c>
      <c r="G19" s="172">
        <f>N19</f>
        <v>14222.779999999999</v>
      </c>
      <c r="H19" s="173">
        <f>ROUND(E19*D19,2)</f>
        <v>6115.8</v>
      </c>
      <c r="I19" s="173">
        <f>ROUND(F19*D19,2)</f>
        <v>0</v>
      </c>
      <c r="J19" s="173">
        <f>ROUND(G19*D19,2)</f>
        <v>6115.8</v>
      </c>
      <c r="L19" s="155">
        <f>F19</f>
        <v>0</v>
      </c>
      <c r="M19" s="160"/>
      <c r="N19" s="156">
        <f>'MEM04'!H60</f>
        <v>14222.779999999999</v>
      </c>
      <c r="O19" s="156">
        <v>14222.779999999999</v>
      </c>
      <c r="P19" s="156">
        <f t="shared" ref="P19:P22" si="8">+O19-N19</f>
        <v>0</v>
      </c>
      <c r="Q19" s="156">
        <f t="shared" ref="Q19:Q22" si="9">ROUND(+P19*D19,2)</f>
        <v>0</v>
      </c>
      <c r="R19" s="156">
        <f t="shared" ref="R19:R22" si="10">H19</f>
        <v>6115.8</v>
      </c>
    </row>
    <row r="20" spans="1:19" ht="45" x14ac:dyDescent="0.2">
      <c r="A20" s="167" t="s">
        <v>73</v>
      </c>
      <c r="B20" s="168" t="s">
        <v>45</v>
      </c>
      <c r="C20" s="174" t="s">
        <v>93</v>
      </c>
      <c r="D20" s="170">
        <v>86.98</v>
      </c>
      <c r="E20" s="171">
        <v>12500</v>
      </c>
      <c r="F20" s="172">
        <v>0</v>
      </c>
      <c r="G20" s="172">
        <f>N20</f>
        <v>12500</v>
      </c>
      <c r="H20" s="173">
        <f t="shared" ref="H20:H23" si="11">ROUND(E20*D20,2)</f>
        <v>1087250</v>
      </c>
      <c r="I20" s="173">
        <f t="shared" ref="I20:I21" si="12">ROUND(F20*D20,2)</f>
        <v>0</v>
      </c>
      <c r="J20" s="173">
        <f t="shared" ref="J20:J23" si="13">ROUND(G20*D20,2)</f>
        <v>1087250</v>
      </c>
      <c r="L20" s="155">
        <f t="shared" ref="L20:L23" si="14">F20</f>
        <v>0</v>
      </c>
      <c r="M20" s="160"/>
      <c r="N20" s="156">
        <f>'MEM04'!H74</f>
        <v>12500</v>
      </c>
      <c r="O20" s="156">
        <v>12499.999999999998</v>
      </c>
      <c r="P20" s="156">
        <f t="shared" si="8"/>
        <v>0</v>
      </c>
      <c r="Q20" s="156">
        <f t="shared" si="9"/>
        <v>0</v>
      </c>
      <c r="R20" s="156">
        <f t="shared" si="10"/>
        <v>1087250</v>
      </c>
      <c r="S20" s="158"/>
    </row>
    <row r="21" spans="1:19" ht="36" x14ac:dyDescent="0.2">
      <c r="A21" s="167" t="s">
        <v>74</v>
      </c>
      <c r="B21" s="168" t="s">
        <v>86</v>
      </c>
      <c r="C21" s="174" t="s">
        <v>93</v>
      </c>
      <c r="D21" s="170">
        <v>14.56</v>
      </c>
      <c r="E21" s="171">
        <v>0</v>
      </c>
      <c r="F21" s="172">
        <v>0</v>
      </c>
      <c r="G21" s="172">
        <f>IF(N21&gt;E21,E21,L21)</f>
        <v>0</v>
      </c>
      <c r="H21" s="173">
        <f t="shared" si="11"/>
        <v>0</v>
      </c>
      <c r="I21" s="173">
        <f t="shared" si="12"/>
        <v>0</v>
      </c>
      <c r="J21" s="173">
        <f t="shared" si="13"/>
        <v>0</v>
      </c>
      <c r="L21" s="155">
        <f t="shared" si="14"/>
        <v>0</v>
      </c>
      <c r="M21" s="160"/>
      <c r="N21" s="156">
        <f>'MEM04'!H87</f>
        <v>0</v>
      </c>
      <c r="O21" s="156">
        <v>0</v>
      </c>
      <c r="P21" s="156">
        <f t="shared" si="8"/>
        <v>0</v>
      </c>
      <c r="Q21" s="156">
        <f t="shared" si="9"/>
        <v>0</v>
      </c>
      <c r="R21" s="156">
        <f t="shared" si="10"/>
        <v>0</v>
      </c>
    </row>
    <row r="22" spans="1:19" ht="27" x14ac:dyDescent="0.2">
      <c r="A22" s="26" t="s">
        <v>75</v>
      </c>
      <c r="B22" s="27" t="s">
        <v>40</v>
      </c>
      <c r="C22" s="30" t="s">
        <v>42</v>
      </c>
      <c r="D22" s="179">
        <v>0.66</v>
      </c>
      <c r="E22" s="180">
        <v>86600</v>
      </c>
      <c r="F22" s="181">
        <v>-55515.51</v>
      </c>
      <c r="G22" s="181">
        <f>'MEM04'!H102</f>
        <v>86600</v>
      </c>
      <c r="H22" s="173">
        <f t="shared" si="11"/>
        <v>57156</v>
      </c>
      <c r="I22" s="182">
        <f>ROUND(F22*D22,2)</f>
        <v>-36640.239999999998</v>
      </c>
      <c r="J22" s="173">
        <f t="shared" si="13"/>
        <v>57156</v>
      </c>
      <c r="L22" s="155">
        <f t="shared" si="14"/>
        <v>-55515.51</v>
      </c>
      <c r="M22" s="160"/>
      <c r="N22" s="156">
        <f>'MEM04'!H102</f>
        <v>86600</v>
      </c>
      <c r="O22" s="156">
        <v>86600</v>
      </c>
      <c r="P22" s="156">
        <f t="shared" si="8"/>
        <v>0</v>
      </c>
      <c r="Q22" s="156">
        <f t="shared" si="9"/>
        <v>0</v>
      </c>
      <c r="R22" s="156">
        <f t="shared" si="10"/>
        <v>57156</v>
      </c>
    </row>
    <row r="23" spans="1:19" ht="18" x14ac:dyDescent="0.2">
      <c r="A23" s="26" t="s">
        <v>160</v>
      </c>
      <c r="B23" s="27" t="s">
        <v>161</v>
      </c>
      <c r="C23" s="178" t="s">
        <v>93</v>
      </c>
      <c r="D23" s="183">
        <v>31.34</v>
      </c>
      <c r="E23" s="184">
        <v>10151.370000000001</v>
      </c>
      <c r="F23" s="55">
        <v>0</v>
      </c>
      <c r="G23" s="181">
        <f>N23</f>
        <v>10151.370000000001</v>
      </c>
      <c r="H23" s="173">
        <f t="shared" si="11"/>
        <v>318143.94</v>
      </c>
      <c r="I23" s="182">
        <f>ROUND(F23*D23,2)</f>
        <v>0</v>
      </c>
      <c r="J23" s="173">
        <f t="shared" si="13"/>
        <v>318143.94</v>
      </c>
      <c r="L23" s="155">
        <f t="shared" si="14"/>
        <v>0</v>
      </c>
      <c r="M23" s="177"/>
      <c r="N23" s="156">
        <f>'MEM04'!H115</f>
        <v>10151.370000000001</v>
      </c>
      <c r="O23" s="156">
        <v>10151.370000000001</v>
      </c>
      <c r="P23" s="156">
        <f t="shared" ref="P23" si="15">+O23-N23</f>
        <v>0</v>
      </c>
      <c r="Q23" s="156">
        <f t="shared" ref="Q23" si="16">ROUND(+P23*D23,2)</f>
        <v>0</v>
      </c>
      <c r="R23" s="156">
        <f t="shared" ref="R23" si="17">H23</f>
        <v>318143.94</v>
      </c>
    </row>
    <row r="24" spans="1:19" ht="15" customHeight="1" x14ac:dyDescent="0.2">
      <c r="A24" s="59" t="s">
        <v>59</v>
      </c>
      <c r="B24" s="60" t="s">
        <v>46</v>
      </c>
      <c r="C24" s="61"/>
      <c r="D24" s="61"/>
      <c r="E24" s="61"/>
      <c r="F24" s="61"/>
      <c r="G24" s="61"/>
      <c r="H24" s="65">
        <f>SUM(H25:H37)</f>
        <v>921613.23</v>
      </c>
      <c r="I24" s="65">
        <f>SUM(I25:I37)</f>
        <v>-71437.06</v>
      </c>
      <c r="J24" s="65">
        <f t="shared" ref="J24" si="18">SUM(J25:J37)</f>
        <v>921613.60999999987</v>
      </c>
      <c r="N24" s="157"/>
      <c r="O24" s="157"/>
      <c r="P24" s="157"/>
      <c r="Q24" s="157"/>
      <c r="R24" s="157"/>
    </row>
    <row r="25" spans="1:19" ht="27" x14ac:dyDescent="0.2">
      <c r="A25" s="26" t="s">
        <v>76</v>
      </c>
      <c r="B25" s="168" t="s">
        <v>162</v>
      </c>
      <c r="C25" s="31" t="s">
        <v>42</v>
      </c>
      <c r="D25" s="28">
        <v>0.66</v>
      </c>
      <c r="E25" s="29">
        <v>0</v>
      </c>
      <c r="F25" s="55">
        <f>IF(L25&gt;E25,E25,L25)</f>
        <v>0</v>
      </c>
      <c r="G25" s="55">
        <f t="shared" ref="G25:G33" si="19">IF(N25&gt;E25,E25,L25)</f>
        <v>0</v>
      </c>
      <c r="H25" s="62">
        <f>TRUNC(E25*D25,2)</f>
        <v>0</v>
      </c>
      <c r="I25" s="62">
        <f>ROUND(F25*D25,2)</f>
        <v>0</v>
      </c>
      <c r="J25" s="62">
        <f>ROUND(G25*D25,2)</f>
        <v>0</v>
      </c>
      <c r="L25" s="155">
        <f>'MEM04'!H131</f>
        <v>0</v>
      </c>
      <c r="M25" s="160"/>
      <c r="N25" s="156">
        <f>'MEM04'!H132</f>
        <v>0</v>
      </c>
      <c r="O25" s="156">
        <v>0</v>
      </c>
      <c r="P25" s="156">
        <f t="shared" ref="P25:P37" si="20">+O25-N25</f>
        <v>0</v>
      </c>
      <c r="Q25" s="156">
        <f t="shared" ref="Q25:Q37" si="21">ROUND(+P25*D25,2)</f>
        <v>0</v>
      </c>
      <c r="R25" s="156">
        <f t="shared" ref="R25:R37" si="22">H25</f>
        <v>0</v>
      </c>
    </row>
    <row r="26" spans="1:19" ht="27" x14ac:dyDescent="0.2">
      <c r="A26" s="175" t="s">
        <v>77</v>
      </c>
      <c r="B26" s="168" t="s">
        <v>38</v>
      </c>
      <c r="C26" s="176" t="s">
        <v>41</v>
      </c>
      <c r="D26" s="170">
        <v>0.43</v>
      </c>
      <c r="E26" s="171">
        <v>14222.78</v>
      </c>
      <c r="F26" s="172">
        <v>0</v>
      </c>
      <c r="G26" s="172">
        <f>N26</f>
        <v>14222.78</v>
      </c>
      <c r="H26" s="62">
        <f>TRUNC(E26*D26,2)+0.01</f>
        <v>6115.8</v>
      </c>
      <c r="I26" s="62">
        <f>ROUND(F26*D26,2)</f>
        <v>0</v>
      </c>
      <c r="J26" s="62">
        <f t="shared" ref="J26:J37" si="23">ROUND(G26*D26,2)</f>
        <v>6115.8</v>
      </c>
      <c r="L26" s="155">
        <f>'MEM04'!H144</f>
        <v>0</v>
      </c>
      <c r="M26" s="160"/>
      <c r="N26" s="156">
        <f>'MEM04'!H145</f>
        <v>14222.78</v>
      </c>
      <c r="O26" s="156">
        <v>14222.78</v>
      </c>
      <c r="P26" s="156">
        <f t="shared" si="20"/>
        <v>0</v>
      </c>
      <c r="Q26" s="156">
        <f t="shared" si="21"/>
        <v>0</v>
      </c>
      <c r="R26" s="156">
        <f t="shared" si="22"/>
        <v>6115.8</v>
      </c>
    </row>
    <row r="27" spans="1:19" ht="18" x14ac:dyDescent="0.2">
      <c r="A27" s="175" t="s">
        <v>78</v>
      </c>
      <c r="B27" s="168" t="s">
        <v>47</v>
      </c>
      <c r="C27" s="176" t="s">
        <v>41</v>
      </c>
      <c r="D27" s="170">
        <v>1.25</v>
      </c>
      <c r="E27" s="171">
        <v>14222.78</v>
      </c>
      <c r="F27" s="172">
        <v>0</v>
      </c>
      <c r="G27" s="172">
        <f>N27</f>
        <v>14222.78</v>
      </c>
      <c r="H27" s="62">
        <f>TRUNC(E27*D27,2)+0.01</f>
        <v>17778.48</v>
      </c>
      <c r="I27" s="62">
        <f t="shared" ref="I27:I37" si="24">ROUND(F27*D27,2)</f>
        <v>0</v>
      </c>
      <c r="J27" s="62">
        <f t="shared" si="23"/>
        <v>17778.48</v>
      </c>
      <c r="L27" s="155">
        <f>'MEM04'!H157</f>
        <v>0</v>
      </c>
      <c r="M27" s="160"/>
      <c r="N27" s="156">
        <f>'MEM04'!H158</f>
        <v>14222.78</v>
      </c>
      <c r="O27" s="156">
        <v>14222.78</v>
      </c>
      <c r="P27" s="156">
        <f t="shared" si="20"/>
        <v>0</v>
      </c>
      <c r="Q27" s="156">
        <f t="shared" si="21"/>
        <v>0</v>
      </c>
      <c r="R27" s="156">
        <f t="shared" si="22"/>
        <v>17778.48</v>
      </c>
    </row>
    <row r="28" spans="1:19" ht="36" x14ac:dyDescent="0.2">
      <c r="A28" s="32" t="s">
        <v>79</v>
      </c>
      <c r="B28" s="27" t="s">
        <v>48</v>
      </c>
      <c r="C28" s="33" t="s">
        <v>93</v>
      </c>
      <c r="D28" s="28">
        <v>12.74</v>
      </c>
      <c r="E28" s="29">
        <v>6564.3449999999993</v>
      </c>
      <c r="F28" s="55">
        <f>IF(L28&gt;E28,E28,L28)</f>
        <v>0</v>
      </c>
      <c r="G28" s="55">
        <f>'MEM04'!H172</f>
        <v>6564.3449999999993</v>
      </c>
      <c r="H28" s="62">
        <f>TRUNC(E28*D28,2)+0.01</f>
        <v>83629.759999999995</v>
      </c>
      <c r="I28" s="62">
        <f t="shared" si="24"/>
        <v>0</v>
      </c>
      <c r="J28" s="62">
        <f t="shared" si="23"/>
        <v>83629.759999999995</v>
      </c>
      <c r="L28" s="155">
        <f>'MEM04'!H171</f>
        <v>0</v>
      </c>
      <c r="M28" s="160"/>
      <c r="N28" s="156">
        <f>'MEM04'!H172</f>
        <v>6564.3449999999993</v>
      </c>
      <c r="O28" s="156">
        <v>6564.3449999999993</v>
      </c>
      <c r="P28" s="156">
        <f t="shared" si="20"/>
        <v>0</v>
      </c>
      <c r="Q28" s="156">
        <f t="shared" si="21"/>
        <v>0</v>
      </c>
      <c r="R28" s="156">
        <f t="shared" si="22"/>
        <v>83629.759999999995</v>
      </c>
    </row>
    <row r="29" spans="1:19" ht="18" x14ac:dyDescent="0.2">
      <c r="A29" s="32" t="s">
        <v>80</v>
      </c>
      <c r="B29" s="27" t="s">
        <v>87</v>
      </c>
      <c r="C29" s="33" t="s">
        <v>30</v>
      </c>
      <c r="D29" s="28">
        <v>4981.18</v>
      </c>
      <c r="E29" s="29">
        <v>49.78</v>
      </c>
      <c r="F29" s="55">
        <f t="shared" ref="F29:F31" si="25">IF(L29&gt;E29,E29,L29)</f>
        <v>0</v>
      </c>
      <c r="G29" s="55">
        <f>N29</f>
        <v>49.78</v>
      </c>
      <c r="H29" s="62">
        <f t="shared" ref="H29:H37" si="26">TRUNC(E29*D29,2)</f>
        <v>247963.14</v>
      </c>
      <c r="I29" s="62">
        <f t="shared" si="24"/>
        <v>0</v>
      </c>
      <c r="J29" s="62">
        <f t="shared" si="23"/>
        <v>247963.14</v>
      </c>
      <c r="L29" s="155">
        <f>'MEM04'!H181</f>
        <v>0</v>
      </c>
      <c r="M29" s="160"/>
      <c r="N29" s="156">
        <f>'MEM04'!H182</f>
        <v>49.78</v>
      </c>
      <c r="O29" s="156">
        <v>49.78</v>
      </c>
      <c r="P29" s="156">
        <f t="shared" si="20"/>
        <v>0</v>
      </c>
      <c r="Q29" s="156">
        <f t="shared" si="21"/>
        <v>0</v>
      </c>
      <c r="R29" s="156">
        <f t="shared" si="22"/>
        <v>247963.14</v>
      </c>
    </row>
    <row r="30" spans="1:19" x14ac:dyDescent="0.2">
      <c r="A30" s="32" t="s">
        <v>81</v>
      </c>
      <c r="B30" s="27" t="s">
        <v>32</v>
      </c>
      <c r="C30" s="33" t="s">
        <v>30</v>
      </c>
      <c r="D30" s="28">
        <v>7781.14</v>
      </c>
      <c r="E30" s="29">
        <v>17.07</v>
      </c>
      <c r="F30" s="55">
        <f t="shared" si="25"/>
        <v>0</v>
      </c>
      <c r="G30" s="55">
        <f>N30</f>
        <v>17.07</v>
      </c>
      <c r="H30" s="62">
        <f>TRUNC(E30*D30,2)+0.01</f>
        <v>132824.06</v>
      </c>
      <c r="I30" s="62">
        <f t="shared" si="24"/>
        <v>0</v>
      </c>
      <c r="J30" s="62">
        <f t="shared" si="23"/>
        <v>132824.06</v>
      </c>
      <c r="L30" s="155">
        <f>'MEM04'!H191</f>
        <v>0</v>
      </c>
      <c r="M30" s="160"/>
      <c r="N30" s="156">
        <f>'MEM04'!H192</f>
        <v>17.07</v>
      </c>
      <c r="O30" s="156">
        <v>17.07</v>
      </c>
      <c r="P30" s="156">
        <f t="shared" si="20"/>
        <v>0</v>
      </c>
      <c r="Q30" s="156">
        <f t="shared" si="21"/>
        <v>0</v>
      </c>
      <c r="R30" s="156">
        <f t="shared" si="22"/>
        <v>132824.06</v>
      </c>
    </row>
    <row r="31" spans="1:19" x14ac:dyDescent="0.2">
      <c r="A31" s="185" t="s">
        <v>82</v>
      </c>
      <c r="B31" s="27" t="s">
        <v>88</v>
      </c>
      <c r="C31" s="33" t="s">
        <v>41</v>
      </c>
      <c r="D31" s="179">
        <v>7.67</v>
      </c>
      <c r="E31" s="180">
        <v>14222.78</v>
      </c>
      <c r="F31" s="181">
        <f t="shared" si="25"/>
        <v>0</v>
      </c>
      <c r="G31" s="181">
        <f>N31</f>
        <v>14222.777499999997</v>
      </c>
      <c r="H31" s="62">
        <f t="shared" si="26"/>
        <v>109088.72</v>
      </c>
      <c r="I31" s="62">
        <f t="shared" si="24"/>
        <v>0</v>
      </c>
      <c r="J31" s="62">
        <f t="shared" si="23"/>
        <v>109088.7</v>
      </c>
      <c r="L31" s="155">
        <f>'MEM04'!H204</f>
        <v>0</v>
      </c>
      <c r="M31" s="160"/>
      <c r="N31" s="156">
        <f>'MEM04'!H205</f>
        <v>14222.777499999997</v>
      </c>
      <c r="O31" s="156">
        <v>14222.78</v>
      </c>
      <c r="P31" s="156">
        <f t="shared" si="20"/>
        <v>2.5000000041472958E-3</v>
      </c>
      <c r="Q31" s="156">
        <f t="shared" si="21"/>
        <v>0.02</v>
      </c>
      <c r="R31" s="156">
        <f t="shared" si="22"/>
        <v>109088.72</v>
      </c>
    </row>
    <row r="32" spans="1:19" ht="18" x14ac:dyDescent="0.2">
      <c r="A32" s="185" t="s">
        <v>169</v>
      </c>
      <c r="B32" s="27" t="s">
        <v>163</v>
      </c>
      <c r="C32" s="33" t="s">
        <v>93</v>
      </c>
      <c r="D32" s="183">
        <v>22.004761999999999</v>
      </c>
      <c r="E32" s="184">
        <v>3194.6478999999999</v>
      </c>
      <c r="F32" s="55">
        <f>'MEM04'!H218</f>
        <v>0</v>
      </c>
      <c r="G32" s="181">
        <f>'MEM04'!H219</f>
        <v>3194.6546384615376</v>
      </c>
      <c r="H32" s="62">
        <f>TRUNC(E32*D32,2)+0.01</f>
        <v>70297.47</v>
      </c>
      <c r="I32" s="62">
        <f t="shared" si="24"/>
        <v>0</v>
      </c>
      <c r="J32" s="62">
        <f t="shared" si="23"/>
        <v>70297.61</v>
      </c>
      <c r="L32" s="155">
        <f>'MEM04'!H204</f>
        <v>0</v>
      </c>
      <c r="M32" s="177"/>
      <c r="N32" s="156">
        <f>'MEM04'!H219</f>
        <v>3194.6546384615376</v>
      </c>
      <c r="O32" s="156">
        <v>3194.6478999999999</v>
      </c>
      <c r="P32" s="156">
        <f t="shared" si="20"/>
        <v>-6.7384615376795409E-3</v>
      </c>
      <c r="Q32" s="156">
        <f t="shared" si="21"/>
        <v>-0.15</v>
      </c>
      <c r="R32" s="156">
        <f t="shared" si="22"/>
        <v>70297.47</v>
      </c>
    </row>
    <row r="33" spans="1:18" ht="18" x14ac:dyDescent="0.2">
      <c r="A33" s="185" t="s">
        <v>170</v>
      </c>
      <c r="B33" s="27" t="s">
        <v>164</v>
      </c>
      <c r="C33" s="33" t="s">
        <v>93</v>
      </c>
      <c r="D33" s="183">
        <v>21.199828</v>
      </c>
      <c r="E33" s="184">
        <v>3369.6970999999999</v>
      </c>
      <c r="F33" s="55">
        <v>-3369.7</v>
      </c>
      <c r="G33" s="181">
        <f t="shared" si="19"/>
        <v>3369.6970999999999</v>
      </c>
      <c r="H33" s="62">
        <f>TRUNC(E33*D33,2)+0.01</f>
        <v>71437</v>
      </c>
      <c r="I33" s="62">
        <f t="shared" si="24"/>
        <v>-71437.06</v>
      </c>
      <c r="J33" s="62">
        <f t="shared" si="23"/>
        <v>71437</v>
      </c>
      <c r="L33" s="155">
        <f>'MEM04'!H233</f>
        <v>0</v>
      </c>
      <c r="M33" s="177"/>
      <c r="N33" s="156">
        <f>'MEM04'!H234</f>
        <v>3369.7042076923071</v>
      </c>
      <c r="O33" s="156">
        <v>3369.6970999999999</v>
      </c>
      <c r="P33" s="156">
        <f t="shared" si="20"/>
        <v>-7.107692307272373E-3</v>
      </c>
      <c r="Q33" s="156">
        <f t="shared" si="21"/>
        <v>-0.15</v>
      </c>
      <c r="R33" s="156">
        <f t="shared" si="22"/>
        <v>71437</v>
      </c>
    </row>
    <row r="34" spans="1:18" ht="18" x14ac:dyDescent="0.2">
      <c r="A34" s="185" t="s">
        <v>171</v>
      </c>
      <c r="B34" s="27" t="s">
        <v>165</v>
      </c>
      <c r="C34" s="31" t="s">
        <v>42</v>
      </c>
      <c r="D34" s="183">
        <v>0.66</v>
      </c>
      <c r="E34" s="184">
        <v>192369.00547099998</v>
      </c>
      <c r="F34" s="55">
        <f>L34</f>
        <v>0</v>
      </c>
      <c r="G34" s="181">
        <f>N34</f>
        <v>192369.41123438458</v>
      </c>
      <c r="H34" s="62">
        <f t="shared" si="26"/>
        <v>126963.54</v>
      </c>
      <c r="I34" s="62">
        <f t="shared" si="24"/>
        <v>0</v>
      </c>
      <c r="J34" s="62">
        <f t="shared" si="23"/>
        <v>126963.81</v>
      </c>
      <c r="L34" s="155">
        <f>'MEM04'!H247</f>
        <v>0</v>
      </c>
      <c r="M34" s="177"/>
      <c r="N34" s="156">
        <f>'MEM04'!H248</f>
        <v>192369.41123438458</v>
      </c>
      <c r="O34" s="156">
        <v>192369.00547099998</v>
      </c>
      <c r="P34" s="156">
        <f t="shared" si="20"/>
        <v>-0.40576338459504768</v>
      </c>
      <c r="Q34" s="156">
        <f t="shared" si="21"/>
        <v>-0.27</v>
      </c>
      <c r="R34" s="156">
        <f t="shared" si="22"/>
        <v>126963.54</v>
      </c>
    </row>
    <row r="35" spans="1:18" x14ac:dyDescent="0.2">
      <c r="A35" s="185" t="s">
        <v>172</v>
      </c>
      <c r="B35" s="27" t="s">
        <v>166</v>
      </c>
      <c r="C35" s="33" t="s">
        <v>41</v>
      </c>
      <c r="D35" s="183">
        <v>0.378222</v>
      </c>
      <c r="E35" s="184">
        <v>14222.78</v>
      </c>
      <c r="F35" s="55">
        <f>'MEM04'!H260</f>
        <v>0</v>
      </c>
      <c r="G35" s="181">
        <f>N35</f>
        <v>14222.777499999997</v>
      </c>
      <c r="H35" s="62">
        <f>TRUNC(E35*D35,2)+0.01</f>
        <v>5379.37</v>
      </c>
      <c r="I35" s="62">
        <f t="shared" si="24"/>
        <v>0</v>
      </c>
      <c r="J35" s="62">
        <f t="shared" si="23"/>
        <v>5379.37</v>
      </c>
      <c r="L35" s="155">
        <f>F35</f>
        <v>0</v>
      </c>
      <c r="M35" s="177"/>
      <c r="N35" s="156">
        <f>'MEM04'!H261</f>
        <v>14222.777499999997</v>
      </c>
      <c r="O35" s="156">
        <v>14222.78</v>
      </c>
      <c r="P35" s="156">
        <f t="shared" si="20"/>
        <v>2.5000000041472958E-3</v>
      </c>
      <c r="Q35" s="156">
        <f t="shared" si="21"/>
        <v>0</v>
      </c>
      <c r="R35" s="156">
        <f t="shared" si="22"/>
        <v>5379.37</v>
      </c>
    </row>
    <row r="36" spans="1:18" x14ac:dyDescent="0.2">
      <c r="A36" s="185" t="s">
        <v>173</v>
      </c>
      <c r="B36" s="27" t="s">
        <v>167</v>
      </c>
      <c r="C36" s="186" t="s">
        <v>31</v>
      </c>
      <c r="D36" s="183">
        <v>0.88251800000000002</v>
      </c>
      <c r="E36" s="184">
        <v>31083.885690000003</v>
      </c>
      <c r="F36" s="55">
        <f>'MEM04'!H274</f>
        <v>0</v>
      </c>
      <c r="G36" s="181">
        <f>'MEM04'!H275</f>
        <v>31083.88</v>
      </c>
      <c r="H36" s="62">
        <f>TRUNC(E36*D36,2)+0.01</f>
        <v>27432.09</v>
      </c>
      <c r="I36" s="62">
        <f t="shared" si="24"/>
        <v>0</v>
      </c>
      <c r="J36" s="62">
        <f t="shared" si="23"/>
        <v>27432.080000000002</v>
      </c>
      <c r="L36" s="155">
        <f>F36</f>
        <v>0</v>
      </c>
      <c r="M36" s="177"/>
      <c r="N36" s="156">
        <f>'MEM04'!H275</f>
        <v>31083.88</v>
      </c>
      <c r="O36" s="156">
        <v>31083.885690000003</v>
      </c>
      <c r="P36" s="156">
        <f t="shared" si="20"/>
        <v>5.690000001777662E-3</v>
      </c>
      <c r="Q36" s="156">
        <f t="shared" si="21"/>
        <v>0.01</v>
      </c>
      <c r="R36" s="156">
        <f t="shared" si="22"/>
        <v>27432.09</v>
      </c>
    </row>
    <row r="37" spans="1:18" x14ac:dyDescent="0.2">
      <c r="A37" s="185" t="s">
        <v>174</v>
      </c>
      <c r="B37" s="188" t="s">
        <v>168</v>
      </c>
      <c r="C37" s="187" t="s">
        <v>31</v>
      </c>
      <c r="D37" s="183">
        <v>0.88251800000000002</v>
      </c>
      <c r="E37" s="184">
        <v>25726.164464000001</v>
      </c>
      <c r="F37" s="55">
        <f>'MEM04'!H288</f>
        <v>0</v>
      </c>
      <c r="G37" s="181">
        <f>'MEM04'!H289</f>
        <v>25726.16</v>
      </c>
      <c r="H37" s="62">
        <f t="shared" si="26"/>
        <v>22703.8</v>
      </c>
      <c r="I37" s="62">
        <f t="shared" si="24"/>
        <v>0</v>
      </c>
      <c r="J37" s="62">
        <f t="shared" si="23"/>
        <v>22703.8</v>
      </c>
      <c r="L37" s="155">
        <f>F37</f>
        <v>0</v>
      </c>
      <c r="M37" s="177"/>
      <c r="N37" s="156">
        <f>'MEM04'!H289</f>
        <v>25726.16</v>
      </c>
      <c r="O37" s="156">
        <v>25726.164464000001</v>
      </c>
      <c r="P37" s="156">
        <f t="shared" si="20"/>
        <v>4.4640000014624093E-3</v>
      </c>
      <c r="Q37" s="156">
        <f t="shared" si="21"/>
        <v>0</v>
      </c>
      <c r="R37" s="156">
        <f t="shared" si="22"/>
        <v>22703.8</v>
      </c>
    </row>
    <row r="38" spans="1:18" ht="15" customHeight="1" x14ac:dyDescent="0.2">
      <c r="A38" s="59" t="s">
        <v>50</v>
      </c>
      <c r="B38" s="60" t="s">
        <v>49</v>
      </c>
      <c r="C38" s="61"/>
      <c r="D38" s="61"/>
      <c r="E38" s="61"/>
      <c r="F38" s="61"/>
      <c r="G38" s="61"/>
      <c r="H38" s="65">
        <f>SUM(H39:H42)</f>
        <v>133994.41999999998</v>
      </c>
      <c r="I38" s="65">
        <f>SUM(I39:I42)</f>
        <v>37683.050000000003</v>
      </c>
      <c r="J38" s="65">
        <f t="shared" ref="J38" si="27">SUM(J39:J42)</f>
        <v>37683.050000000003</v>
      </c>
      <c r="N38" s="157"/>
      <c r="O38" s="157"/>
      <c r="P38" s="157"/>
      <c r="Q38" s="157"/>
      <c r="R38" s="157"/>
    </row>
    <row r="39" spans="1:18" ht="18" x14ac:dyDescent="0.2">
      <c r="A39" s="26" t="s">
        <v>62</v>
      </c>
      <c r="B39" s="27" t="s">
        <v>89</v>
      </c>
      <c r="C39" s="33" t="s">
        <v>41</v>
      </c>
      <c r="D39" s="28">
        <v>64.569999999999993</v>
      </c>
      <c r="E39" s="29">
        <v>583.60352485673945</v>
      </c>
      <c r="F39" s="55">
        <f>IF(L39&gt;E39,E39,L39)</f>
        <v>583.6</v>
      </c>
      <c r="G39" s="55">
        <f>IF(N39&gt;E39,E39,L39)</f>
        <v>583.6</v>
      </c>
      <c r="H39" s="62">
        <f t="shared" ref="H39:H42" si="28">ROUND(E39*D39,2)</f>
        <v>37683.279999999999</v>
      </c>
      <c r="I39" s="62">
        <f t="shared" ref="I39:I42" si="29">ROUND(F39*D39,2)</f>
        <v>37683.050000000003</v>
      </c>
      <c r="J39" s="62">
        <f t="shared" ref="J39:J42" si="30">ROUND(G39*D39,2)</f>
        <v>37683.050000000003</v>
      </c>
      <c r="L39" s="155">
        <f>'MEM04'!H304</f>
        <v>583.6</v>
      </c>
      <c r="M39" s="160"/>
      <c r="N39" s="156">
        <f>'MEM04'!H305</f>
        <v>583.6</v>
      </c>
      <c r="O39" s="156">
        <v>583.60352485673945</v>
      </c>
      <c r="P39" s="156">
        <f t="shared" ref="P39:P42" si="31">+O39-N39</f>
        <v>3.5248567394319252E-3</v>
      </c>
      <c r="Q39" s="156">
        <f t="shared" ref="Q39:Q42" si="32">ROUND(+P39*D39,2)</f>
        <v>0.23</v>
      </c>
      <c r="R39" s="156">
        <f t="shared" ref="R39:R42" si="33">H39</f>
        <v>37683.279999999999</v>
      </c>
    </row>
    <row r="40" spans="1:18" x14ac:dyDescent="0.2">
      <c r="A40" s="32" t="s">
        <v>83</v>
      </c>
      <c r="B40" s="27" t="s">
        <v>51</v>
      </c>
      <c r="C40" s="33" t="s">
        <v>94</v>
      </c>
      <c r="D40" s="28">
        <v>27.33</v>
      </c>
      <c r="E40" s="29">
        <v>3282.18</v>
      </c>
      <c r="F40" s="55">
        <f t="shared" ref="F40:F42" si="34">IF(L40&gt;E40,E40,L40)</f>
        <v>0</v>
      </c>
      <c r="G40" s="55">
        <f>IF(N40&gt;E40,E40,L40)</f>
        <v>0</v>
      </c>
      <c r="H40" s="62">
        <f t="shared" si="28"/>
        <v>89701.98</v>
      </c>
      <c r="I40" s="62">
        <f t="shared" si="29"/>
        <v>0</v>
      </c>
      <c r="J40" s="62">
        <f t="shared" si="30"/>
        <v>0</v>
      </c>
      <c r="L40" s="155">
        <f>'MEM04'!H323</f>
        <v>0</v>
      </c>
      <c r="M40" s="160"/>
      <c r="N40" s="156">
        <f>'MEM04'!H324</f>
        <v>0</v>
      </c>
      <c r="O40" s="156">
        <v>3282.18</v>
      </c>
      <c r="P40" s="156">
        <f t="shared" si="31"/>
        <v>3282.18</v>
      </c>
      <c r="Q40" s="156">
        <f t="shared" si="32"/>
        <v>89701.98</v>
      </c>
      <c r="R40" s="156">
        <f t="shared" si="33"/>
        <v>89701.98</v>
      </c>
    </row>
    <row r="41" spans="1:18" ht="18" x14ac:dyDescent="0.2">
      <c r="A41" s="32" t="s">
        <v>84</v>
      </c>
      <c r="B41" s="27" t="s">
        <v>52</v>
      </c>
      <c r="C41" s="33" t="s">
        <v>41</v>
      </c>
      <c r="D41" s="28">
        <v>669.44</v>
      </c>
      <c r="E41" s="29">
        <v>5.5</v>
      </c>
      <c r="F41" s="55">
        <f t="shared" si="34"/>
        <v>0</v>
      </c>
      <c r="G41" s="55">
        <f>IF(N41&gt;E41,E41,L41)</f>
        <v>0</v>
      </c>
      <c r="H41" s="62">
        <f t="shared" si="28"/>
        <v>3681.92</v>
      </c>
      <c r="I41" s="62">
        <f t="shared" si="29"/>
        <v>0</v>
      </c>
      <c r="J41" s="62">
        <f t="shared" si="30"/>
        <v>0</v>
      </c>
      <c r="L41" s="155">
        <f>'MEM04'!H339</f>
        <v>0</v>
      </c>
      <c r="M41" s="160"/>
      <c r="N41" s="156">
        <f>'MEM04'!H340</f>
        <v>0</v>
      </c>
      <c r="O41" s="156">
        <v>5.5</v>
      </c>
      <c r="P41" s="156">
        <f t="shared" si="31"/>
        <v>5.5</v>
      </c>
      <c r="Q41" s="156">
        <f t="shared" si="32"/>
        <v>3681.92</v>
      </c>
      <c r="R41" s="156">
        <f t="shared" si="33"/>
        <v>3681.92</v>
      </c>
    </row>
    <row r="42" spans="1:18" ht="81" x14ac:dyDescent="0.2">
      <c r="A42" s="32" t="s">
        <v>85</v>
      </c>
      <c r="B42" s="27" t="s">
        <v>53</v>
      </c>
      <c r="C42" s="33" t="s">
        <v>94</v>
      </c>
      <c r="D42" s="28">
        <v>1463.62</v>
      </c>
      <c r="E42" s="29">
        <v>2</v>
      </c>
      <c r="F42" s="55">
        <f t="shared" si="34"/>
        <v>0</v>
      </c>
      <c r="G42" s="55">
        <f>IF(N42&gt;E42,E42,L42)</f>
        <v>0</v>
      </c>
      <c r="H42" s="62">
        <f t="shared" si="28"/>
        <v>2927.24</v>
      </c>
      <c r="I42" s="62">
        <f t="shared" si="29"/>
        <v>0</v>
      </c>
      <c r="J42" s="62">
        <f t="shared" si="30"/>
        <v>0</v>
      </c>
      <c r="L42" s="155">
        <f>'MEM04'!H352</f>
        <v>0</v>
      </c>
      <c r="M42" s="160"/>
      <c r="N42" s="156">
        <f>'MEM04'!H353</f>
        <v>0</v>
      </c>
      <c r="O42" s="156">
        <v>2</v>
      </c>
      <c r="P42" s="156">
        <f t="shared" si="31"/>
        <v>2</v>
      </c>
      <c r="Q42" s="156">
        <f t="shared" si="32"/>
        <v>2927.24</v>
      </c>
      <c r="R42" s="156">
        <f t="shared" si="33"/>
        <v>2927.24</v>
      </c>
    </row>
    <row r="43" spans="1:18" ht="15" customHeight="1" x14ac:dyDescent="0.2">
      <c r="A43" s="59" t="s">
        <v>60</v>
      </c>
      <c r="B43" s="60" t="s">
        <v>54</v>
      </c>
      <c r="C43" s="61"/>
      <c r="D43" s="61"/>
      <c r="E43" s="61"/>
      <c r="F43" s="61"/>
      <c r="G43" s="61"/>
      <c r="H43" s="65">
        <f>SUM(H44:H56)</f>
        <v>197819.62000000002</v>
      </c>
      <c r="I43" s="65">
        <f t="shared" ref="I43" si="35">SUM(I44:I56)</f>
        <v>168837.8</v>
      </c>
      <c r="J43" s="65">
        <f>SUM(J44:J56)</f>
        <v>179440.41999999998</v>
      </c>
      <c r="N43" s="157"/>
      <c r="O43" s="157"/>
      <c r="P43" s="157"/>
      <c r="Q43" s="157"/>
      <c r="R43" s="157"/>
    </row>
    <row r="44" spans="1:18" x14ac:dyDescent="0.2">
      <c r="A44" s="32" t="s">
        <v>63</v>
      </c>
      <c r="B44" s="27" t="s">
        <v>55</v>
      </c>
      <c r="C44" s="33" t="s">
        <v>95</v>
      </c>
      <c r="D44" s="28">
        <v>5.53</v>
      </c>
      <c r="E44" s="29">
        <v>80</v>
      </c>
      <c r="F44" s="55">
        <f t="shared" ref="F44:F50" si="36">IF(L44&gt;E44,E44,L44)</f>
        <v>0</v>
      </c>
      <c r="G44" s="55">
        <f t="shared" ref="G44:G56" si="37">IF(N44&gt;E44,E44,L44)</f>
        <v>0</v>
      </c>
      <c r="H44" s="62">
        <f t="shared" ref="H44:H56" si="38">ROUND(E44*D44,2)</f>
        <v>442.4</v>
      </c>
      <c r="I44" s="62">
        <f>ROUND(F44*D44,2)</f>
        <v>0</v>
      </c>
      <c r="J44" s="62">
        <f t="shared" ref="J44:J56" si="39">ROUND(G44*D44,2)</f>
        <v>0</v>
      </c>
      <c r="L44" s="155">
        <f>'MEM04'!H360</f>
        <v>0</v>
      </c>
      <c r="M44" s="160"/>
      <c r="N44" s="156">
        <f>'MEM04'!H361</f>
        <v>0</v>
      </c>
      <c r="O44" s="156">
        <v>80</v>
      </c>
      <c r="P44" s="156">
        <f t="shared" ref="P44:P50" si="40">+O44-N44</f>
        <v>80</v>
      </c>
      <c r="Q44" s="156">
        <f t="shared" ref="Q44:Q50" si="41">ROUND(+P44*D44,2)</f>
        <v>442.4</v>
      </c>
      <c r="R44" s="156">
        <f t="shared" ref="R44:R50" si="42">H44</f>
        <v>442.4</v>
      </c>
    </row>
    <row r="45" spans="1:18" x14ac:dyDescent="0.2">
      <c r="A45" s="32" t="s">
        <v>64</v>
      </c>
      <c r="B45" s="27" t="s">
        <v>56</v>
      </c>
      <c r="C45" s="33" t="s">
        <v>93</v>
      </c>
      <c r="D45" s="28">
        <v>13.27</v>
      </c>
      <c r="E45" s="29">
        <v>400</v>
      </c>
      <c r="F45" s="55">
        <f t="shared" si="36"/>
        <v>400</v>
      </c>
      <c r="G45" s="55">
        <f t="shared" si="37"/>
        <v>400</v>
      </c>
      <c r="H45" s="62">
        <f t="shared" si="38"/>
        <v>5308</v>
      </c>
      <c r="I45" s="62">
        <f>ROUND(F45*D45,2)</f>
        <v>5308</v>
      </c>
      <c r="J45" s="62">
        <f t="shared" si="39"/>
        <v>5308</v>
      </c>
      <c r="L45" s="155">
        <f>'MEM04'!H373</f>
        <v>400</v>
      </c>
      <c r="M45" s="160"/>
      <c r="N45" s="156">
        <f>'MEM04'!H374</f>
        <v>400</v>
      </c>
      <c r="O45" s="156">
        <v>400</v>
      </c>
      <c r="P45" s="156">
        <f t="shared" si="40"/>
        <v>0</v>
      </c>
      <c r="Q45" s="156">
        <f t="shared" si="41"/>
        <v>0</v>
      </c>
      <c r="R45" s="156">
        <f t="shared" si="42"/>
        <v>5308</v>
      </c>
    </row>
    <row r="46" spans="1:18" ht="36" x14ac:dyDescent="0.2">
      <c r="A46" s="32" t="s">
        <v>65</v>
      </c>
      <c r="B46" s="27" t="s">
        <v>57</v>
      </c>
      <c r="C46" s="33" t="s">
        <v>93</v>
      </c>
      <c r="D46" s="28">
        <v>277.17</v>
      </c>
      <c r="E46" s="29">
        <v>16</v>
      </c>
      <c r="F46" s="55">
        <f t="shared" si="36"/>
        <v>16</v>
      </c>
      <c r="G46" s="55">
        <f t="shared" si="37"/>
        <v>16</v>
      </c>
      <c r="H46" s="62">
        <f t="shared" si="38"/>
        <v>4434.72</v>
      </c>
      <c r="I46" s="62">
        <f t="shared" ref="I46:I56" si="43">ROUND(F46*D46,2)</f>
        <v>4434.72</v>
      </c>
      <c r="J46" s="62">
        <f t="shared" si="39"/>
        <v>4434.72</v>
      </c>
      <c r="L46" s="155">
        <f>'MEM04'!H380</f>
        <v>16.5</v>
      </c>
      <c r="M46" s="160"/>
      <c r="N46" s="156">
        <f>'MEM04'!H381</f>
        <v>16.5</v>
      </c>
      <c r="O46" s="156">
        <v>16</v>
      </c>
      <c r="P46" s="156">
        <f t="shared" si="40"/>
        <v>-0.5</v>
      </c>
      <c r="Q46" s="156">
        <f t="shared" si="41"/>
        <v>-138.59</v>
      </c>
      <c r="R46" s="156">
        <f t="shared" si="42"/>
        <v>4434.72</v>
      </c>
    </row>
    <row r="47" spans="1:18" ht="18" x14ac:dyDescent="0.2">
      <c r="A47" s="32" t="s">
        <v>66</v>
      </c>
      <c r="B47" s="27" t="s">
        <v>90</v>
      </c>
      <c r="C47" s="33" t="s">
        <v>94</v>
      </c>
      <c r="D47" s="28">
        <v>77.38</v>
      </c>
      <c r="E47" s="29">
        <v>11</v>
      </c>
      <c r="F47" s="55">
        <f t="shared" si="36"/>
        <v>11</v>
      </c>
      <c r="G47" s="55">
        <f t="shared" si="37"/>
        <v>11</v>
      </c>
      <c r="H47" s="62">
        <f t="shared" si="38"/>
        <v>851.18</v>
      </c>
      <c r="I47" s="62">
        <f t="shared" si="43"/>
        <v>851.18</v>
      </c>
      <c r="J47" s="62">
        <f t="shared" si="39"/>
        <v>851.18</v>
      </c>
      <c r="L47" s="155">
        <f>'MEM04'!H446</f>
        <v>11</v>
      </c>
      <c r="M47" s="160"/>
      <c r="N47" s="156">
        <f>'MEM04'!H395</f>
        <v>0</v>
      </c>
      <c r="O47" s="156">
        <v>11</v>
      </c>
      <c r="P47" s="156">
        <f t="shared" si="40"/>
        <v>11</v>
      </c>
      <c r="Q47" s="156">
        <f t="shared" si="41"/>
        <v>851.18</v>
      </c>
      <c r="R47" s="156">
        <f t="shared" si="42"/>
        <v>851.18</v>
      </c>
    </row>
    <row r="48" spans="1:18" ht="18" x14ac:dyDescent="0.2">
      <c r="A48" s="32" t="s">
        <v>67</v>
      </c>
      <c r="B48" s="27" t="s">
        <v>91</v>
      </c>
      <c r="C48" s="33" t="s">
        <v>95</v>
      </c>
      <c r="D48" s="28">
        <v>177.79</v>
      </c>
      <c r="E48" s="29">
        <v>11</v>
      </c>
      <c r="F48" s="55">
        <f t="shared" si="36"/>
        <v>11</v>
      </c>
      <c r="G48" s="55">
        <f t="shared" si="37"/>
        <v>11</v>
      </c>
      <c r="H48" s="62">
        <f t="shared" si="38"/>
        <v>1955.69</v>
      </c>
      <c r="I48" s="62">
        <f t="shared" si="43"/>
        <v>1955.69</v>
      </c>
      <c r="J48" s="62">
        <f t="shared" si="39"/>
        <v>1955.69</v>
      </c>
      <c r="L48" s="155">
        <f>'MEM04'!H459</f>
        <v>11</v>
      </c>
      <c r="M48" s="160"/>
      <c r="N48" s="156">
        <f>'MEM04'!H409</f>
        <v>0</v>
      </c>
      <c r="O48" s="156">
        <v>11</v>
      </c>
      <c r="P48" s="156">
        <f t="shared" si="40"/>
        <v>11</v>
      </c>
      <c r="Q48" s="156">
        <f t="shared" si="41"/>
        <v>1955.69</v>
      </c>
      <c r="R48" s="156">
        <f t="shared" si="42"/>
        <v>1955.69</v>
      </c>
    </row>
    <row r="49" spans="1:18" ht="18" x14ac:dyDescent="0.2">
      <c r="A49" s="32" t="s">
        <v>68</v>
      </c>
      <c r="B49" s="27" t="s">
        <v>92</v>
      </c>
      <c r="C49" s="33" t="s">
        <v>94</v>
      </c>
      <c r="D49" s="28">
        <v>594.66999999999996</v>
      </c>
      <c r="E49" s="29">
        <v>11</v>
      </c>
      <c r="F49" s="55">
        <f t="shared" si="36"/>
        <v>0</v>
      </c>
      <c r="G49" s="55">
        <f t="shared" si="37"/>
        <v>0</v>
      </c>
      <c r="H49" s="62">
        <f t="shared" si="38"/>
        <v>6541.37</v>
      </c>
      <c r="I49" s="62">
        <f t="shared" si="43"/>
        <v>0</v>
      </c>
      <c r="J49" s="62">
        <f t="shared" si="39"/>
        <v>0</v>
      </c>
      <c r="L49" s="155">
        <f>'MEM04'!H414</f>
        <v>0</v>
      </c>
      <c r="M49" s="160"/>
      <c r="N49" s="156">
        <f>'MEM04'!H415</f>
        <v>0</v>
      </c>
      <c r="O49" s="156">
        <v>11</v>
      </c>
      <c r="P49" s="156">
        <f t="shared" si="40"/>
        <v>11</v>
      </c>
      <c r="Q49" s="156">
        <f t="shared" si="41"/>
        <v>6541.37</v>
      </c>
      <c r="R49" s="156">
        <f t="shared" si="42"/>
        <v>6541.37</v>
      </c>
    </row>
    <row r="50" spans="1:18" ht="45" x14ac:dyDescent="0.2">
      <c r="A50" s="32" t="s">
        <v>61</v>
      </c>
      <c r="B50" s="27" t="s">
        <v>58</v>
      </c>
      <c r="C50" s="186" t="s">
        <v>93</v>
      </c>
      <c r="D50" s="179">
        <v>19.63</v>
      </c>
      <c r="E50" s="180">
        <v>10</v>
      </c>
      <c r="F50" s="181">
        <f t="shared" si="36"/>
        <v>0</v>
      </c>
      <c r="G50" s="181">
        <f t="shared" si="37"/>
        <v>0</v>
      </c>
      <c r="H50" s="62">
        <f t="shared" si="38"/>
        <v>196.3</v>
      </c>
      <c r="I50" s="182">
        <f t="shared" si="43"/>
        <v>0</v>
      </c>
      <c r="J50" s="182">
        <f t="shared" si="39"/>
        <v>0</v>
      </c>
      <c r="L50" s="155">
        <f>'MEM04'!H420</f>
        <v>0</v>
      </c>
      <c r="M50" s="160"/>
      <c r="N50" s="156">
        <f>'MEM04'!H421</f>
        <v>0</v>
      </c>
      <c r="O50" s="156">
        <v>10</v>
      </c>
      <c r="P50" s="156">
        <f t="shared" si="40"/>
        <v>10</v>
      </c>
      <c r="Q50" s="156">
        <f t="shared" si="41"/>
        <v>196.3</v>
      </c>
      <c r="R50" s="156">
        <f t="shared" si="42"/>
        <v>196.3</v>
      </c>
    </row>
    <row r="51" spans="1:18" x14ac:dyDescent="0.2">
      <c r="A51" s="32" t="s">
        <v>181</v>
      </c>
      <c r="B51" s="188" t="s">
        <v>175</v>
      </c>
      <c r="C51" s="187" t="s">
        <v>95</v>
      </c>
      <c r="D51" s="183">
        <v>33.836322000000003</v>
      </c>
      <c r="E51" s="184">
        <v>4376.24</v>
      </c>
      <c r="F51" s="55">
        <f>L51</f>
        <v>4300</v>
      </c>
      <c r="G51" s="181">
        <f t="shared" si="37"/>
        <v>4300</v>
      </c>
      <c r="H51" s="62">
        <f t="shared" si="38"/>
        <v>148075.87</v>
      </c>
      <c r="I51" s="182">
        <f t="shared" si="43"/>
        <v>145496.18</v>
      </c>
      <c r="J51" s="182">
        <f t="shared" si="39"/>
        <v>145496.18</v>
      </c>
      <c r="L51" s="155">
        <f>'MEM04'!H472</f>
        <v>4300</v>
      </c>
      <c r="M51" s="177"/>
      <c r="N51" s="156">
        <f>'MEM04'!H503</f>
        <v>0</v>
      </c>
      <c r="O51" s="156">
        <v>4376.24</v>
      </c>
      <c r="P51" s="156">
        <f t="shared" ref="P51:P56" si="44">+O51-N51</f>
        <v>4376.24</v>
      </c>
      <c r="Q51" s="156">
        <f t="shared" ref="Q51:Q56" si="45">ROUND(+P51*D51,2)</f>
        <v>148075.87</v>
      </c>
      <c r="R51" s="156">
        <f t="shared" ref="R51:R56" si="46">H51</f>
        <v>148075.87</v>
      </c>
    </row>
    <row r="52" spans="1:18" x14ac:dyDescent="0.2">
      <c r="A52" s="32" t="s">
        <v>182</v>
      </c>
      <c r="B52" s="188" t="s">
        <v>176</v>
      </c>
      <c r="C52" s="187" t="s">
        <v>95</v>
      </c>
      <c r="D52" s="183">
        <v>2.0559760000000002</v>
      </c>
      <c r="E52" s="184">
        <v>4376.24</v>
      </c>
      <c r="F52" s="55">
        <f>L52</f>
        <v>4300</v>
      </c>
      <c r="G52" s="181">
        <f t="shared" si="37"/>
        <v>4300</v>
      </c>
      <c r="H52" s="62">
        <f t="shared" si="38"/>
        <v>8997.44</v>
      </c>
      <c r="I52" s="182">
        <f t="shared" si="43"/>
        <v>8840.7000000000007</v>
      </c>
      <c r="J52" s="182">
        <f t="shared" si="39"/>
        <v>8840.7000000000007</v>
      </c>
      <c r="L52" s="155">
        <f>'MEM04'!H485</f>
        <v>4300</v>
      </c>
      <c r="M52" s="177"/>
      <c r="N52" s="156">
        <f>'MEM04'!H504</f>
        <v>0</v>
      </c>
      <c r="O52" s="156">
        <v>4376.24</v>
      </c>
      <c r="P52" s="156">
        <f t="shared" si="44"/>
        <v>4376.24</v>
      </c>
      <c r="Q52" s="156">
        <f t="shared" si="45"/>
        <v>8997.44</v>
      </c>
      <c r="R52" s="156">
        <f t="shared" si="46"/>
        <v>8997.44</v>
      </c>
    </row>
    <row r="53" spans="1:18" x14ac:dyDescent="0.2">
      <c r="A53" s="32" t="s">
        <v>183</v>
      </c>
      <c r="B53" s="188" t="s">
        <v>177</v>
      </c>
      <c r="C53" s="187" t="s">
        <v>187</v>
      </c>
      <c r="D53" s="183">
        <v>2065.4716238767646</v>
      </c>
      <c r="E53" s="184">
        <v>2</v>
      </c>
      <c r="F53" s="55">
        <v>0</v>
      </c>
      <c r="G53" s="181">
        <f t="shared" si="37"/>
        <v>0</v>
      </c>
      <c r="H53" s="62">
        <f t="shared" si="38"/>
        <v>4130.9399999999996</v>
      </c>
      <c r="I53" s="182">
        <f t="shared" si="43"/>
        <v>0</v>
      </c>
      <c r="J53" s="182">
        <f t="shared" si="39"/>
        <v>0</v>
      </c>
      <c r="L53" s="155">
        <f>'MEM04'!H504</f>
        <v>0</v>
      </c>
      <c r="M53" s="177"/>
      <c r="N53" s="156">
        <f>'MEM04'!H505</f>
        <v>0</v>
      </c>
      <c r="O53" s="156">
        <v>2</v>
      </c>
      <c r="P53" s="156">
        <f t="shared" si="44"/>
        <v>2</v>
      </c>
      <c r="Q53" s="156">
        <f t="shared" si="45"/>
        <v>4130.9399999999996</v>
      </c>
      <c r="R53" s="156">
        <f t="shared" si="46"/>
        <v>4130.9399999999996</v>
      </c>
    </row>
    <row r="54" spans="1:18" x14ac:dyDescent="0.2">
      <c r="A54" s="32" t="s">
        <v>184</v>
      </c>
      <c r="B54" s="188" t="s">
        <v>178</v>
      </c>
      <c r="C54" s="187" t="s">
        <v>187</v>
      </c>
      <c r="D54" s="183">
        <v>1190.2104942233632</v>
      </c>
      <c r="E54" s="184">
        <v>2</v>
      </c>
      <c r="F54" s="55">
        <v>0</v>
      </c>
      <c r="G54" s="181">
        <f t="shared" si="37"/>
        <v>0</v>
      </c>
      <c r="H54" s="62">
        <f t="shared" si="38"/>
        <v>2380.42</v>
      </c>
      <c r="I54" s="182">
        <f t="shared" si="43"/>
        <v>0</v>
      </c>
      <c r="J54" s="182">
        <f t="shared" si="39"/>
        <v>0</v>
      </c>
      <c r="L54" s="155">
        <f>'MEM04'!H505</f>
        <v>0</v>
      </c>
      <c r="M54" s="177"/>
      <c r="N54" s="156">
        <f>'MEM04'!H506</f>
        <v>0</v>
      </c>
      <c r="O54" s="156">
        <v>2</v>
      </c>
      <c r="P54" s="156">
        <f t="shared" si="44"/>
        <v>2</v>
      </c>
      <c r="Q54" s="156">
        <f t="shared" si="45"/>
        <v>2380.42</v>
      </c>
      <c r="R54" s="156">
        <f t="shared" si="46"/>
        <v>2380.42</v>
      </c>
    </row>
    <row r="55" spans="1:18" x14ac:dyDescent="0.2">
      <c r="A55" s="32" t="s">
        <v>185</v>
      </c>
      <c r="B55" s="188" t="s">
        <v>179</v>
      </c>
      <c r="C55" s="187" t="s">
        <v>188</v>
      </c>
      <c r="D55" s="183">
        <v>378.66496790757378</v>
      </c>
      <c r="E55" s="184">
        <v>28</v>
      </c>
      <c r="F55" s="55">
        <f>'MEM04'!H433</f>
        <v>0</v>
      </c>
      <c r="G55" s="181">
        <f>'MEM04'!H434</f>
        <v>28</v>
      </c>
      <c r="H55" s="62">
        <f t="shared" si="38"/>
        <v>10602.62</v>
      </c>
      <c r="I55" s="182">
        <f t="shared" si="43"/>
        <v>0</v>
      </c>
      <c r="J55" s="182">
        <f t="shared" si="39"/>
        <v>10602.62</v>
      </c>
      <c r="L55" s="155">
        <f>'MEM04'!H506</f>
        <v>0</v>
      </c>
      <c r="M55" s="177"/>
      <c r="N55" s="156">
        <f>'MEM04'!H434</f>
        <v>28</v>
      </c>
      <c r="O55" s="156">
        <v>28</v>
      </c>
      <c r="P55" s="156">
        <f t="shared" si="44"/>
        <v>0</v>
      </c>
      <c r="Q55" s="156">
        <f t="shared" si="45"/>
        <v>0</v>
      </c>
      <c r="R55" s="156">
        <f t="shared" si="46"/>
        <v>10602.62</v>
      </c>
    </row>
    <row r="56" spans="1:18" x14ac:dyDescent="0.2">
      <c r="A56" s="32" t="s">
        <v>186</v>
      </c>
      <c r="B56" s="188" t="s">
        <v>180</v>
      </c>
      <c r="C56" s="187" t="s">
        <v>187</v>
      </c>
      <c r="D56" s="183">
        <v>975.66643774069314</v>
      </c>
      <c r="E56" s="184">
        <v>4</v>
      </c>
      <c r="F56" s="55">
        <f>'MEM04'!H496</f>
        <v>2</v>
      </c>
      <c r="G56" s="181">
        <f>F56</f>
        <v>2</v>
      </c>
      <c r="H56" s="62">
        <f t="shared" si="38"/>
        <v>3902.67</v>
      </c>
      <c r="I56" s="182">
        <f t="shared" si="43"/>
        <v>1951.33</v>
      </c>
      <c r="J56" s="182">
        <f t="shared" si="39"/>
        <v>1951.33</v>
      </c>
      <c r="L56" s="155">
        <f>'MEM04'!H507</f>
        <v>0</v>
      </c>
      <c r="M56" s="177"/>
      <c r="N56" s="156">
        <f>'MEM04'!H508</f>
        <v>0</v>
      </c>
      <c r="O56" s="156">
        <v>4</v>
      </c>
      <c r="P56" s="156">
        <f t="shared" si="44"/>
        <v>4</v>
      </c>
      <c r="Q56" s="156">
        <f t="shared" si="45"/>
        <v>3902.67</v>
      </c>
      <c r="R56" s="156">
        <f t="shared" si="46"/>
        <v>3902.67</v>
      </c>
    </row>
    <row r="57" spans="1:18" ht="15" customHeight="1" thickBot="1" x14ac:dyDescent="0.25">
      <c r="A57" s="195"/>
      <c r="B57" s="196"/>
      <c r="C57" s="196"/>
      <c r="D57" s="196"/>
      <c r="E57" s="196"/>
      <c r="F57" s="196"/>
      <c r="G57" s="196"/>
      <c r="H57" s="197">
        <f>H14+H18+H24+H38+H43+0.01</f>
        <v>2734552.1663999995</v>
      </c>
      <c r="I57" s="197">
        <f>I14+I18+I24+I38+I43</f>
        <v>98443.55</v>
      </c>
      <c r="J57" s="197">
        <f>J14+J18+J24+J38+J43</f>
        <v>2619861.9799999995</v>
      </c>
      <c r="L57" s="154"/>
      <c r="M57" s="154"/>
    </row>
    <row r="58" spans="1:18" ht="18.75" customHeight="1" thickBot="1" x14ac:dyDescent="0.25">
      <c r="A58" s="198"/>
      <c r="B58" s="199" t="s">
        <v>122</v>
      </c>
      <c r="C58" s="199"/>
      <c r="D58" s="265">
        <f>I57</f>
        <v>98443.55</v>
      </c>
      <c r="E58" s="265"/>
      <c r="F58" s="199"/>
      <c r="G58" s="199"/>
      <c r="H58" s="200"/>
      <c r="I58" s="199"/>
      <c r="J58" s="201"/>
      <c r="L58" s="189"/>
    </row>
    <row r="59" spans="1:18" x14ac:dyDescent="0.2">
      <c r="A59" s="250" t="s">
        <v>236</v>
      </c>
      <c r="B59" s="250"/>
      <c r="C59" s="250"/>
      <c r="D59" s="250"/>
      <c r="E59" s="250"/>
      <c r="F59" s="250"/>
      <c r="G59" s="250"/>
      <c r="H59" s="250"/>
      <c r="I59" s="250"/>
      <c r="J59" s="250"/>
      <c r="L59" s="189"/>
    </row>
    <row r="60" spans="1:18" x14ac:dyDescent="0.2">
      <c r="A60" s="251"/>
      <c r="B60" s="251"/>
      <c r="C60" s="251"/>
      <c r="D60" s="251"/>
      <c r="E60" s="251"/>
      <c r="F60" s="251"/>
      <c r="G60" s="251"/>
      <c r="H60" s="251"/>
      <c r="I60" s="251"/>
      <c r="J60" s="251"/>
      <c r="L60" s="189"/>
      <c r="N60" s="189"/>
      <c r="Q60" s="157"/>
    </row>
    <row r="61" spans="1:18" x14ac:dyDescent="0.2">
      <c r="A61" s="241"/>
      <c r="B61" s="241"/>
      <c r="C61" s="241"/>
      <c r="D61" s="241"/>
      <c r="E61" s="241"/>
      <c r="F61" s="241"/>
      <c r="G61" s="241"/>
      <c r="H61" s="241"/>
      <c r="I61" s="241"/>
      <c r="J61" s="241"/>
      <c r="L61" s="189"/>
      <c r="N61" s="189"/>
      <c r="Q61" s="157"/>
    </row>
    <row r="62" spans="1:18" x14ac:dyDescent="0.2">
      <c r="A62" s="241"/>
      <c r="B62" s="241"/>
      <c r="C62" s="241"/>
      <c r="D62" s="241"/>
      <c r="E62" s="241"/>
      <c r="F62" s="241"/>
      <c r="G62" s="241"/>
      <c r="H62" s="241"/>
      <c r="I62" s="241"/>
      <c r="J62" s="241"/>
      <c r="L62" s="189"/>
      <c r="Q62" s="157"/>
    </row>
    <row r="63" spans="1:18" x14ac:dyDescent="0.2">
      <c r="A63" s="241"/>
      <c r="B63" s="241"/>
      <c r="C63" s="241"/>
      <c r="D63" s="241"/>
      <c r="E63" s="241"/>
      <c r="F63" s="241"/>
      <c r="G63" s="241"/>
      <c r="H63" s="241"/>
      <c r="I63" s="241"/>
      <c r="J63" s="241"/>
      <c r="L63" s="189"/>
      <c r="Q63" s="157"/>
    </row>
    <row r="64" spans="1:18" x14ac:dyDescent="0.2">
      <c r="A64" s="241"/>
      <c r="B64" s="241"/>
      <c r="C64" s="241"/>
      <c r="D64" s="241"/>
      <c r="E64" s="241"/>
      <c r="F64" s="241"/>
      <c r="G64" s="241"/>
      <c r="H64" s="241"/>
      <c r="I64" s="241"/>
      <c r="J64" s="241"/>
      <c r="L64" s="189"/>
      <c r="Q64" s="157"/>
    </row>
    <row r="65" spans="1:17" x14ac:dyDescent="0.2">
      <c r="A65" s="241"/>
      <c r="B65" s="241"/>
      <c r="C65" s="241"/>
      <c r="D65" s="241"/>
      <c r="E65" s="241"/>
      <c r="F65" s="241"/>
      <c r="G65" s="241"/>
      <c r="H65" s="241"/>
      <c r="I65" s="241"/>
      <c r="J65" s="241"/>
      <c r="L65" s="189"/>
      <c r="Q65" s="157"/>
    </row>
    <row r="66" spans="1:17" x14ac:dyDescent="0.2">
      <c r="A66" s="241"/>
      <c r="B66" s="241"/>
      <c r="C66" s="241"/>
      <c r="D66" s="241"/>
      <c r="E66" s="241"/>
      <c r="F66" s="241"/>
      <c r="G66" s="241"/>
      <c r="H66" s="241"/>
      <c r="I66" s="241"/>
      <c r="J66" s="241"/>
      <c r="L66" s="189"/>
      <c r="Q66" s="157"/>
    </row>
    <row r="68" spans="1:17" x14ac:dyDescent="0.2">
      <c r="H68" s="189"/>
      <c r="I68" s="189"/>
      <c r="J68" s="189"/>
    </row>
    <row r="69" spans="1:17" x14ac:dyDescent="0.2">
      <c r="F69" s="189"/>
    </row>
    <row r="70" spans="1:17" x14ac:dyDescent="0.2">
      <c r="A70" s="224"/>
      <c r="B70" s="231" t="s">
        <v>229</v>
      </c>
      <c r="C70" s="224"/>
      <c r="D70" s="230" t="s">
        <v>228</v>
      </c>
      <c r="E70"/>
      <c r="F70"/>
      <c r="G70"/>
      <c r="H70" s="242" t="s">
        <v>224</v>
      </c>
      <c r="I70" s="242"/>
      <c r="J70" s="242"/>
    </row>
    <row r="71" spans="1:17" x14ac:dyDescent="0.2">
      <c r="A71" s="224"/>
      <c r="B71" s="229" t="s">
        <v>225</v>
      </c>
      <c r="C71" s="242" t="s">
        <v>226</v>
      </c>
      <c r="D71" s="242"/>
      <c r="E71" s="242"/>
      <c r="F71" s="242"/>
      <c r="G71" s="242"/>
      <c r="H71" s="242" t="s">
        <v>227</v>
      </c>
      <c r="I71" s="242"/>
      <c r="J71" s="242"/>
    </row>
  </sheetData>
  <mergeCells count="30">
    <mergeCell ref="A7:B7"/>
    <mergeCell ref="I6:J6"/>
    <mergeCell ref="D58:E58"/>
    <mergeCell ref="C4:F4"/>
    <mergeCell ref="I8:J9"/>
    <mergeCell ref="F8:F9"/>
    <mergeCell ref="A8:B9"/>
    <mergeCell ref="C8:E9"/>
    <mergeCell ref="C5:D5"/>
    <mergeCell ref="C7:E7"/>
    <mergeCell ref="I5:J5"/>
    <mergeCell ref="G7:H7"/>
    <mergeCell ref="A10:J10"/>
    <mergeCell ref="A11:A12"/>
    <mergeCell ref="B11:B12"/>
    <mergeCell ref="C11:C12"/>
    <mergeCell ref="A6:B6"/>
    <mergeCell ref="A1:I2"/>
    <mergeCell ref="A3:B3"/>
    <mergeCell ref="A4:B4"/>
    <mergeCell ref="C3:F3"/>
    <mergeCell ref="A5:B5"/>
    <mergeCell ref="H70:J70"/>
    <mergeCell ref="C71:G71"/>
    <mergeCell ref="H71:J71"/>
    <mergeCell ref="D11:D12"/>
    <mergeCell ref="G8:H9"/>
    <mergeCell ref="E11:G11"/>
    <mergeCell ref="H11:J11"/>
    <mergeCell ref="A59:J60"/>
  </mergeCells>
  <phoneticPr fontId="20" type="noConversion"/>
  <pageMargins left="0.51181102362204722" right="0.51181102362204722" top="0.78740157480314965" bottom="0.78740157480314965" header="0.31496062992125984" footer="0.31496062992125984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6"/>
  <sheetViews>
    <sheetView showZeros="0" view="pageBreakPreview" zoomScale="85" zoomScaleNormal="115" zoomScaleSheetLayoutView="85" workbookViewId="0">
      <selection activeCell="H498" sqref="H498"/>
    </sheetView>
  </sheetViews>
  <sheetFormatPr defaultColWidth="9.28515625" defaultRowHeight="12.75" x14ac:dyDescent="0.2"/>
  <cols>
    <col min="1" max="1" width="9" style="5" customWidth="1"/>
    <col min="2" max="2" width="8" style="5" customWidth="1"/>
    <col min="3" max="3" width="7.7109375" style="5" customWidth="1"/>
    <col min="4" max="4" width="7.42578125" style="5" customWidth="1"/>
    <col min="5" max="5" width="11.7109375" style="5" customWidth="1"/>
    <col min="6" max="6" width="14.5703125" style="5" customWidth="1"/>
    <col min="7" max="7" width="12.7109375" style="5" customWidth="1"/>
    <col min="8" max="8" width="15" style="5" customWidth="1"/>
    <col min="9" max="9" width="14.42578125" style="5" customWidth="1"/>
    <col min="10" max="10" width="12.5703125" style="5" customWidth="1"/>
    <col min="11" max="11" width="9.7109375" style="5" bestFit="1" customWidth="1"/>
    <col min="12" max="12" width="11.5703125" style="5" bestFit="1" customWidth="1"/>
    <col min="13" max="13" width="11.7109375" style="5" bestFit="1" customWidth="1"/>
    <col min="14" max="14" width="20.28515625" style="5" bestFit="1" customWidth="1"/>
    <col min="15" max="16384" width="9.28515625" style="5"/>
  </cols>
  <sheetData>
    <row r="1" spans="1:16" ht="12.75" customHeight="1" x14ac:dyDescent="0.2">
      <c r="A1" s="67" t="s">
        <v>218</v>
      </c>
      <c r="B1" s="66"/>
      <c r="C1" s="66"/>
      <c r="D1" s="66"/>
      <c r="E1" s="66"/>
      <c r="F1" s="66"/>
      <c r="G1" s="66"/>
      <c r="H1" s="66"/>
      <c r="I1" s="66"/>
      <c r="J1" s="22"/>
      <c r="K1" s="21"/>
      <c r="N1" s="22"/>
      <c r="O1" s="21"/>
      <c r="P1" s="21"/>
    </row>
    <row r="2" spans="1:16" ht="12.75" customHeight="1" x14ac:dyDescent="0.2">
      <c r="G2" s="6"/>
      <c r="J2" s="22"/>
      <c r="K2" s="21"/>
      <c r="N2" s="22"/>
      <c r="O2" s="21"/>
      <c r="P2" s="21"/>
    </row>
    <row r="3" spans="1:16" ht="30" customHeight="1" x14ac:dyDescent="0.2">
      <c r="A3" s="69">
        <f>'BM04'!A13</f>
        <v>1</v>
      </c>
      <c r="B3" s="318" t="str">
        <f>'BM04'!B13</f>
        <v>REQUALIFICAÇÃO E AMPLIAÇÃO DA AV MONSENHOR VICENTE FREITAS: TRECHO 1 - (CONSTRUÇÃO DE 1 NOVA FAIXA DE ROLAGEM) - COMPRIMENTO 2300 M - TSD</v>
      </c>
      <c r="C3" s="318"/>
      <c r="D3" s="318"/>
      <c r="E3" s="318"/>
      <c r="F3" s="318"/>
      <c r="G3" s="318"/>
      <c r="H3" s="318"/>
      <c r="I3" s="318"/>
      <c r="J3" s="22"/>
      <c r="K3" s="21"/>
      <c r="N3" s="22"/>
      <c r="O3" s="21"/>
      <c r="P3" s="21"/>
    </row>
    <row r="4" spans="1:16" x14ac:dyDescent="0.2">
      <c r="A4" s="1"/>
      <c r="B4" s="24"/>
      <c r="C4" s="24"/>
      <c r="D4" s="24"/>
      <c r="E4" s="24"/>
      <c r="F4" s="24"/>
      <c r="G4" s="24"/>
      <c r="H4" s="24"/>
      <c r="I4" s="24"/>
      <c r="J4" s="22"/>
      <c r="K4" s="21"/>
      <c r="N4" s="22"/>
      <c r="O4" s="21"/>
      <c r="P4" s="21"/>
    </row>
    <row r="5" spans="1:16" x14ac:dyDescent="0.2">
      <c r="A5" s="68" t="str">
        <f>'BM04'!A14</f>
        <v>1.1</v>
      </c>
      <c r="B5" s="291" t="str">
        <f>'BM04'!B14</f>
        <v>SERVIÇOS PRELIMINARES</v>
      </c>
      <c r="C5" s="291"/>
      <c r="D5" s="291"/>
      <c r="E5" s="291"/>
      <c r="F5" s="291"/>
      <c r="G5" s="291"/>
      <c r="H5" s="291"/>
      <c r="I5" s="291"/>
      <c r="J5" s="22"/>
      <c r="K5" s="21"/>
      <c r="N5" s="22"/>
      <c r="O5" s="21"/>
      <c r="P5" s="21"/>
    </row>
    <row r="6" spans="1:16" ht="12.75" customHeight="1" x14ac:dyDescent="0.2">
      <c r="G6" s="6"/>
      <c r="J6" s="22"/>
      <c r="K6" s="21"/>
      <c r="N6" s="22"/>
      <c r="O6" s="21"/>
      <c r="P6" s="21"/>
    </row>
    <row r="7" spans="1:16" ht="30" hidden="1" customHeight="1" x14ac:dyDescent="0.2">
      <c r="A7" s="1" t="str">
        <f>'BM04'!A15</f>
        <v>1.1.1</v>
      </c>
      <c r="B7" s="290" t="str">
        <f>'BM04'!B15</f>
        <v>SERVIÇOS TOPOGRÁFICOS PARA PAVIMENTAÇÃO, INCLUSIVE NOTA DE SERVIÇOS, ACOMPANHAMENTO E GREIDE (ADAPTADO DO SINAPI 78472)</v>
      </c>
      <c r="C7" s="290"/>
      <c r="D7" s="290"/>
      <c r="E7" s="290"/>
      <c r="F7" s="290"/>
      <c r="G7" s="290"/>
      <c r="H7" s="290"/>
      <c r="I7" s="290"/>
      <c r="J7" s="22"/>
      <c r="K7" s="21"/>
      <c r="N7" s="22"/>
      <c r="O7" s="21"/>
      <c r="P7" s="21"/>
    </row>
    <row r="8" spans="1:16" ht="12.75" hidden="1" customHeight="1" x14ac:dyDescent="0.2">
      <c r="G8" s="6"/>
      <c r="J8" s="22"/>
      <c r="K8" s="21"/>
      <c r="N8" s="22"/>
      <c r="O8" s="21"/>
      <c r="P8" s="21"/>
    </row>
    <row r="9" spans="1:16" s="77" customFormat="1" ht="12.75" hidden="1" customHeight="1" x14ac:dyDescent="0.2">
      <c r="A9" s="319" t="s">
        <v>0</v>
      </c>
      <c r="B9" s="319"/>
      <c r="C9" s="319"/>
      <c r="D9" s="319"/>
      <c r="E9" s="319" t="s">
        <v>135</v>
      </c>
      <c r="F9" s="319" t="s">
        <v>1</v>
      </c>
      <c r="G9" s="319" t="s">
        <v>2</v>
      </c>
      <c r="H9" s="320" t="s">
        <v>3</v>
      </c>
      <c r="I9" s="320" t="s">
        <v>136</v>
      </c>
      <c r="J9"/>
      <c r="K9"/>
      <c r="L9"/>
    </row>
    <row r="10" spans="1:16" s="77" customFormat="1" ht="12.75" hidden="1" customHeight="1" x14ac:dyDescent="0.2">
      <c r="A10" s="75" t="s">
        <v>10</v>
      </c>
      <c r="B10" s="75" t="s">
        <v>11</v>
      </c>
      <c r="C10" s="75" t="s">
        <v>10</v>
      </c>
      <c r="D10" s="75" t="s">
        <v>11</v>
      </c>
      <c r="E10" s="319"/>
      <c r="F10" s="319"/>
      <c r="G10" s="319"/>
      <c r="H10" s="320"/>
      <c r="I10" s="320"/>
      <c r="J10"/>
      <c r="K10"/>
      <c r="L10"/>
    </row>
    <row r="11" spans="1:16" s="77" customFormat="1" ht="12.75" hidden="1" customHeight="1" x14ac:dyDescent="0.2">
      <c r="A11" s="83"/>
      <c r="B11" s="83"/>
      <c r="C11" s="83"/>
      <c r="D11" s="83"/>
      <c r="E11" s="83"/>
      <c r="F11" s="83"/>
      <c r="G11" s="83"/>
      <c r="H11" s="84"/>
      <c r="I11" s="84"/>
      <c r="J11"/>
      <c r="K11"/>
      <c r="L11"/>
    </row>
    <row r="12" spans="1:16" ht="12.75" hidden="1" customHeight="1" x14ac:dyDescent="0.2">
      <c r="A12" s="5" t="s">
        <v>126</v>
      </c>
      <c r="G12" s="6"/>
      <c r="H12" s="17">
        <v>14222.78</v>
      </c>
      <c r="I12" s="5" t="s">
        <v>41</v>
      </c>
      <c r="J12"/>
      <c r="K12"/>
      <c r="L12"/>
      <c r="N12" s="22"/>
      <c r="O12" s="21"/>
      <c r="P12" s="21"/>
    </row>
    <row r="13" spans="1:16" s="77" customFormat="1" ht="12.75" hidden="1" customHeight="1" x14ac:dyDescent="0.2">
      <c r="A13" s="78"/>
      <c r="B13" s="79"/>
      <c r="C13" s="79"/>
      <c r="D13" s="79"/>
      <c r="E13" s="79"/>
      <c r="F13" s="80"/>
      <c r="G13" s="80"/>
      <c r="H13" s="81"/>
      <c r="I13" s="82"/>
      <c r="J13"/>
      <c r="K13"/>
      <c r="L13"/>
    </row>
    <row r="14" spans="1:16" s="77" customFormat="1" ht="12.75" hidden="1" customHeight="1" x14ac:dyDescent="0.2">
      <c r="A14" s="78"/>
      <c r="B14" s="79"/>
      <c r="C14" s="79"/>
      <c r="D14" s="79"/>
      <c r="E14" s="79"/>
      <c r="F14" s="80"/>
      <c r="G14" s="122" t="s">
        <v>137</v>
      </c>
      <c r="H14" s="19">
        <f>H12</f>
        <v>14222.78</v>
      </c>
      <c r="I14" s="10" t="s">
        <v>41</v>
      </c>
      <c r="J14"/>
      <c r="K14"/>
      <c r="L14"/>
    </row>
    <row r="15" spans="1:16" ht="12.75" hidden="1" customHeight="1" x14ac:dyDescent="0.2">
      <c r="G15" s="6"/>
      <c r="H15" s="17"/>
      <c r="J15"/>
      <c r="K15"/>
      <c r="L15"/>
      <c r="N15" s="22"/>
      <c r="O15" s="21"/>
      <c r="P15" s="21"/>
    </row>
    <row r="16" spans="1:16" ht="12.75" hidden="1" customHeight="1" x14ac:dyDescent="0.2">
      <c r="A16" s="5" t="s">
        <v>7</v>
      </c>
      <c r="H16" s="18">
        <v>0</v>
      </c>
      <c r="I16" s="5" t="s">
        <v>41</v>
      </c>
      <c r="J16"/>
      <c r="K16"/>
      <c r="L16"/>
    </row>
    <row r="17" spans="1:16" ht="12.75" hidden="1" customHeight="1" x14ac:dyDescent="0.2">
      <c r="A17" s="5" t="s">
        <v>8</v>
      </c>
      <c r="H17" s="20">
        <f>H12</f>
        <v>14222.78</v>
      </c>
      <c r="I17" s="5" t="s">
        <v>41</v>
      </c>
      <c r="J17" s="22"/>
    </row>
    <row r="18" spans="1:16" ht="12.75" hidden="1" customHeight="1" x14ac:dyDescent="0.2">
      <c r="A18" s="5" t="s">
        <v>9</v>
      </c>
      <c r="H18" s="20">
        <f>H16+H17</f>
        <v>14222.78</v>
      </c>
      <c r="I18" s="5" t="s">
        <v>41</v>
      </c>
      <c r="J18" s="22"/>
    </row>
    <row r="19" spans="1:16" ht="12.75" hidden="1" customHeight="1" x14ac:dyDescent="0.2">
      <c r="A19" s="8"/>
      <c r="B19" s="8"/>
      <c r="C19" s="8"/>
      <c r="J19" s="22"/>
    </row>
    <row r="20" spans="1:16" ht="30" hidden="1" customHeight="1" x14ac:dyDescent="0.2">
      <c r="A20" s="1" t="str">
        <f>'BM04'!A16</f>
        <v>1.1.2</v>
      </c>
      <c r="B20" s="290" t="str">
        <f>'BM04'!B16</f>
        <v>LIMPEZA MECANIZADA DE CAMADA VEGETAL, VEGETAÇÃO E PEQUENAS ÁRVORES (DIÂMETRO DE TRONCO MENOR QUE 0,20 M), COM TRATOR DE ESTEIRAS.AF_05/2018</v>
      </c>
      <c r="C20" s="290"/>
      <c r="D20" s="290"/>
      <c r="E20" s="290"/>
      <c r="F20" s="290"/>
      <c r="G20" s="290"/>
      <c r="H20" s="290"/>
      <c r="I20" s="290"/>
      <c r="J20" s="22"/>
      <c r="K20" s="21"/>
      <c r="N20" s="22"/>
      <c r="O20" s="21"/>
      <c r="P20" s="21"/>
    </row>
    <row r="21" spans="1:16" ht="12.75" hidden="1" customHeight="1" x14ac:dyDescent="0.2">
      <c r="G21" s="6"/>
      <c r="J21" s="22"/>
      <c r="K21" s="21"/>
      <c r="N21" s="22"/>
      <c r="O21" s="21"/>
      <c r="P21" s="21"/>
    </row>
    <row r="22" spans="1:16" s="77" customFormat="1" ht="12.75" hidden="1" customHeight="1" x14ac:dyDescent="0.2">
      <c r="A22" s="319" t="s">
        <v>0</v>
      </c>
      <c r="B22" s="319"/>
      <c r="C22" s="319"/>
      <c r="D22" s="319"/>
      <c r="E22" s="319" t="s">
        <v>135</v>
      </c>
      <c r="F22" s="319" t="s">
        <v>1</v>
      </c>
      <c r="G22" s="319" t="s">
        <v>2</v>
      </c>
      <c r="H22" s="320" t="s">
        <v>3</v>
      </c>
      <c r="I22" s="320" t="s">
        <v>136</v>
      </c>
      <c r="J22"/>
      <c r="K22"/>
      <c r="L22"/>
    </row>
    <row r="23" spans="1:16" s="77" customFormat="1" ht="12.75" hidden="1" customHeight="1" x14ac:dyDescent="0.2">
      <c r="A23" s="75" t="s">
        <v>10</v>
      </c>
      <c r="B23" s="75" t="s">
        <v>11</v>
      </c>
      <c r="C23" s="75" t="s">
        <v>10</v>
      </c>
      <c r="D23" s="75" t="s">
        <v>11</v>
      </c>
      <c r="E23" s="319"/>
      <c r="F23" s="319"/>
      <c r="G23" s="319"/>
      <c r="H23" s="320"/>
      <c r="I23" s="320"/>
      <c r="J23"/>
      <c r="K23"/>
      <c r="L23"/>
    </row>
    <row r="24" spans="1:16" s="77" customFormat="1" ht="12.75" hidden="1" customHeight="1" x14ac:dyDescent="0.2">
      <c r="A24" s="83"/>
      <c r="B24" s="83"/>
      <c r="C24" s="83"/>
      <c r="D24" s="83"/>
      <c r="E24" s="83"/>
      <c r="F24" s="83"/>
      <c r="G24" s="83"/>
      <c r="H24" s="84"/>
      <c r="I24" s="84"/>
      <c r="J24"/>
      <c r="K24"/>
      <c r="L24"/>
    </row>
    <row r="25" spans="1:16" ht="12.75" hidden="1" customHeight="1" x14ac:dyDescent="0.2">
      <c r="A25" s="5" t="s">
        <v>126</v>
      </c>
      <c r="G25" s="6"/>
      <c r="H25" s="20">
        <v>14222.78</v>
      </c>
      <c r="I25" s="5" t="s">
        <v>41</v>
      </c>
      <c r="J25"/>
      <c r="K25"/>
      <c r="L25"/>
      <c r="N25" s="22"/>
      <c r="O25" s="21"/>
      <c r="P25" s="21"/>
    </row>
    <row r="26" spans="1:16" s="77" customFormat="1" ht="12.75" hidden="1" customHeight="1" x14ac:dyDescent="0.2">
      <c r="A26" s="78"/>
      <c r="B26" s="79"/>
      <c r="C26" s="79"/>
      <c r="D26" s="79"/>
      <c r="E26" s="79"/>
      <c r="F26" s="80"/>
      <c r="G26" s="80"/>
      <c r="H26" s="81"/>
      <c r="I26" s="82"/>
      <c r="J26"/>
      <c r="K26"/>
      <c r="L26"/>
    </row>
    <row r="27" spans="1:16" s="77" customFormat="1" ht="12.75" hidden="1" customHeight="1" x14ac:dyDescent="0.2">
      <c r="A27" s="78"/>
      <c r="B27" s="79"/>
      <c r="C27" s="79"/>
      <c r="D27" s="79"/>
      <c r="E27" s="79"/>
      <c r="F27" s="80"/>
      <c r="G27" s="122" t="s">
        <v>137</v>
      </c>
      <c r="H27" s="19">
        <f>H25</f>
        <v>14222.78</v>
      </c>
      <c r="I27" s="10" t="s">
        <v>41</v>
      </c>
      <c r="J27"/>
      <c r="K27"/>
      <c r="L27"/>
    </row>
    <row r="28" spans="1:16" ht="12.75" hidden="1" customHeight="1" x14ac:dyDescent="0.2">
      <c r="G28" s="6"/>
      <c r="H28" s="17"/>
      <c r="J28"/>
      <c r="K28"/>
      <c r="L28"/>
      <c r="N28" s="22"/>
      <c r="O28" s="21"/>
      <c r="P28" s="21"/>
    </row>
    <row r="29" spans="1:16" ht="12.75" hidden="1" customHeight="1" x14ac:dyDescent="0.2">
      <c r="A29" s="5" t="s">
        <v>7</v>
      </c>
      <c r="H29" s="20">
        <v>0</v>
      </c>
      <c r="I29" s="5" t="s">
        <v>41</v>
      </c>
      <c r="J29" s="22"/>
    </row>
    <row r="30" spans="1:16" ht="12.75" hidden="1" customHeight="1" x14ac:dyDescent="0.2">
      <c r="A30" s="5" t="s">
        <v>8</v>
      </c>
      <c r="H30" s="20">
        <f>H27</f>
        <v>14222.78</v>
      </c>
      <c r="I30" s="5" t="s">
        <v>41</v>
      </c>
      <c r="J30" s="22"/>
    </row>
    <row r="31" spans="1:16" ht="12.75" hidden="1" customHeight="1" x14ac:dyDescent="0.2">
      <c r="A31" s="5" t="s">
        <v>9</v>
      </c>
      <c r="H31" s="20">
        <f>H29+H30</f>
        <v>14222.78</v>
      </c>
      <c r="I31" s="5" t="s">
        <v>41</v>
      </c>
      <c r="J31" s="22"/>
    </row>
    <row r="32" spans="1:16" ht="12.75" hidden="1" customHeight="1" x14ac:dyDescent="0.2">
      <c r="A32" s="8"/>
      <c r="B32" s="8"/>
      <c r="C32" s="8"/>
      <c r="J32" s="22"/>
    </row>
    <row r="33" spans="1:16" ht="30" hidden="1" customHeight="1" x14ac:dyDescent="0.2">
      <c r="A33" s="1" t="str">
        <f>'BM04'!A17</f>
        <v>1.1.3</v>
      </c>
      <c r="B33" s="290" t="str">
        <f>'BM04'!B17</f>
        <v>TRANSPORTE COM CAMINHÃO BASCULANTE DE 10 M³, EM VIA URBANA PAVIMENTADA, ADICIONAL PARA DMT EXCEDENTE A 30 KM (UNIDADE: TXKM). AF_07/2020</v>
      </c>
      <c r="C33" s="290"/>
      <c r="D33" s="290"/>
      <c r="E33" s="290"/>
      <c r="F33" s="290"/>
      <c r="G33" s="290"/>
      <c r="H33" s="290"/>
      <c r="I33" s="290"/>
      <c r="J33" s="70"/>
      <c r="K33" s="21"/>
      <c r="N33" s="22"/>
      <c r="O33" s="21"/>
      <c r="P33" s="21"/>
    </row>
    <row r="34" spans="1:16" ht="12.75" hidden="1" customHeight="1" x14ac:dyDescent="0.2">
      <c r="G34" s="6"/>
      <c r="J34" s="22"/>
      <c r="K34" s="21"/>
      <c r="N34" s="22"/>
      <c r="O34" s="21"/>
      <c r="P34" s="21"/>
    </row>
    <row r="35" spans="1:16" s="77" customFormat="1" ht="12.75" hidden="1" customHeight="1" x14ac:dyDescent="0.2">
      <c r="A35" s="321" t="s">
        <v>0</v>
      </c>
      <c r="B35" s="321"/>
      <c r="C35" s="321"/>
      <c r="D35" s="321"/>
      <c r="E35" s="317" t="s">
        <v>154</v>
      </c>
      <c r="F35" s="321" t="s">
        <v>157</v>
      </c>
      <c r="G35" s="317" t="s">
        <v>155</v>
      </c>
      <c r="H35" s="317" t="s">
        <v>156</v>
      </c>
      <c r="I35" s="317" t="s">
        <v>136</v>
      </c>
      <c r="J35"/>
      <c r="K35"/>
    </row>
    <row r="36" spans="1:16" s="77" customFormat="1" ht="12.75" hidden="1" customHeight="1" x14ac:dyDescent="0.2">
      <c r="A36" s="71" t="s">
        <v>10</v>
      </c>
      <c r="B36" s="71" t="s">
        <v>11</v>
      </c>
      <c r="C36" s="71" t="s">
        <v>10</v>
      </c>
      <c r="D36" s="71" t="s">
        <v>11</v>
      </c>
      <c r="E36" s="317"/>
      <c r="F36" s="321"/>
      <c r="G36" s="317"/>
      <c r="H36" s="317"/>
      <c r="I36" s="317"/>
      <c r="J36"/>
      <c r="K36"/>
    </row>
    <row r="37" spans="1:16" s="77" customFormat="1" ht="12.75" hidden="1" customHeight="1" x14ac:dyDescent="0.2">
      <c r="A37" s="86"/>
      <c r="B37" s="86"/>
      <c r="C37" s="86"/>
      <c r="D37" s="86"/>
      <c r="E37" s="87"/>
      <c r="F37" s="86"/>
      <c r="G37" s="87"/>
      <c r="H37" s="87"/>
      <c r="I37" s="85"/>
      <c r="J37"/>
      <c r="K37"/>
    </row>
    <row r="38" spans="1:16" s="77" customFormat="1" ht="12.75" hidden="1" customHeight="1" x14ac:dyDescent="0.2">
      <c r="A38" s="5" t="s">
        <v>126</v>
      </c>
      <c r="B38" s="86"/>
      <c r="C38" s="86"/>
      <c r="D38" s="86"/>
      <c r="E38" s="17">
        <f>H27</f>
        <v>14222.78</v>
      </c>
      <c r="F38" s="17">
        <v>1</v>
      </c>
      <c r="G38" s="17">
        <v>0.1</v>
      </c>
      <c r="H38" s="17">
        <f>E38*F38*G38</f>
        <v>1422.2780000000002</v>
      </c>
      <c r="I38" s="85"/>
      <c r="J38"/>
      <c r="K38"/>
    </row>
    <row r="39" spans="1:16" s="77" customFormat="1" ht="12.75" hidden="1" customHeight="1" x14ac:dyDescent="0.2">
      <c r="A39" s="88"/>
      <c r="B39" s="89"/>
      <c r="C39" s="90"/>
      <c r="D39" s="89"/>
      <c r="E39" s="91"/>
      <c r="F39" s="91"/>
      <c r="G39" s="91">
        <f>F39*E39</f>
        <v>0</v>
      </c>
      <c r="H39" s="89"/>
      <c r="I39" s="85"/>
      <c r="J39"/>
      <c r="K39"/>
    </row>
    <row r="40" spans="1:16" s="77" customFormat="1" ht="12.75" hidden="1" customHeight="1" x14ac:dyDescent="0.2">
      <c r="A40" s="88"/>
      <c r="B40" s="89"/>
      <c r="C40" s="90"/>
      <c r="D40" s="89"/>
      <c r="E40" s="91"/>
      <c r="F40" s="91"/>
      <c r="G40" s="91"/>
      <c r="H40" s="85"/>
      <c r="I40" s="85"/>
      <c r="J40"/>
      <c r="K40"/>
    </row>
    <row r="41" spans="1:16" s="77" customFormat="1" ht="12.75" hidden="1" customHeight="1" x14ac:dyDescent="0.2">
      <c r="A41" s="90"/>
      <c r="B41" s="89"/>
      <c r="C41" s="90"/>
      <c r="D41" s="89"/>
      <c r="E41" s="89"/>
      <c r="G41" s="123" t="s">
        <v>18</v>
      </c>
      <c r="H41" s="19">
        <f>H38</f>
        <v>1422.2780000000002</v>
      </c>
      <c r="I41" s="125" t="s">
        <v>5</v>
      </c>
      <c r="J41"/>
      <c r="K41"/>
    </row>
    <row r="42" spans="1:16" ht="12.75" hidden="1" customHeight="1" x14ac:dyDescent="0.2">
      <c r="G42" s="6"/>
      <c r="J42" s="22"/>
      <c r="K42" s="21"/>
      <c r="N42" s="22"/>
      <c r="O42" s="21"/>
      <c r="P42" s="21"/>
    </row>
    <row r="43" spans="1:16" ht="12.75" hidden="1" customHeight="1" x14ac:dyDescent="0.2">
      <c r="A43" s="5" t="s">
        <v>7</v>
      </c>
      <c r="H43" s="18">
        <v>0</v>
      </c>
      <c r="I43" s="5" t="s">
        <v>42</v>
      </c>
      <c r="J43" s="22"/>
    </row>
    <row r="44" spans="1:16" ht="12.75" hidden="1" customHeight="1" x14ac:dyDescent="0.2">
      <c r="A44" s="5" t="s">
        <v>8</v>
      </c>
      <c r="H44" s="20">
        <f>H41</f>
        <v>1422.2780000000002</v>
      </c>
      <c r="I44" s="5" t="s">
        <v>42</v>
      </c>
      <c r="J44" s="22"/>
    </row>
    <row r="45" spans="1:16" ht="12.75" hidden="1" customHeight="1" x14ac:dyDescent="0.2">
      <c r="A45" s="5" t="s">
        <v>9</v>
      </c>
      <c r="H45" s="20">
        <f>H43+H44</f>
        <v>1422.2780000000002</v>
      </c>
      <c r="I45" s="5" t="s">
        <v>42</v>
      </c>
      <c r="J45" s="22"/>
    </row>
    <row r="46" spans="1:16" ht="12.75" customHeight="1" x14ac:dyDescent="0.2">
      <c r="A46" s="8"/>
      <c r="B46" s="8"/>
      <c r="C46" s="8"/>
      <c r="J46" s="22"/>
    </row>
    <row r="47" spans="1:16" x14ac:dyDescent="0.2">
      <c r="A47" s="68" t="str">
        <f>'BM04'!A18</f>
        <v>1.2</v>
      </c>
      <c r="B47" s="291" t="str">
        <f>'BM04'!B18</f>
        <v>MOVIMENTAÇÃO DE TERRA</v>
      </c>
      <c r="C47" s="291"/>
      <c r="D47" s="291"/>
      <c r="E47" s="291"/>
      <c r="F47" s="291"/>
      <c r="G47" s="291"/>
      <c r="H47" s="291"/>
      <c r="I47" s="291"/>
      <c r="J47" s="22"/>
      <c r="K47" s="21"/>
      <c r="N47" s="22"/>
      <c r="O47" s="21"/>
      <c r="P47" s="21"/>
    </row>
    <row r="48" spans="1:16" x14ac:dyDescent="0.2">
      <c r="A48" s="1"/>
      <c r="B48" s="24"/>
      <c r="C48" s="24"/>
      <c r="D48" s="24"/>
      <c r="E48" s="24"/>
      <c r="F48" s="24"/>
      <c r="G48" s="24"/>
      <c r="H48" s="24"/>
      <c r="I48" s="24"/>
      <c r="J48" s="22"/>
      <c r="K48" s="21"/>
      <c r="N48" s="22"/>
      <c r="O48" s="21"/>
      <c r="P48" s="21"/>
    </row>
    <row r="49" spans="1:16" ht="30" hidden="1" customHeight="1" x14ac:dyDescent="0.2">
      <c r="A49" s="1" t="str">
        <f>'BM04'!A19</f>
        <v>1.2.1</v>
      </c>
      <c r="B49" s="290" t="str">
        <f>'BM04'!B19</f>
        <v>SERVIÇOS TOPOGRÁFICOS PARA PAVIMENTAÇÃO, INCLUSIVE NOTA DE SERVIÇOS, ACOMPANHAMENTO E GREIDE (ADAPTADO DO SINAPI 78472)</v>
      </c>
      <c r="C49" s="290"/>
      <c r="D49" s="290"/>
      <c r="E49" s="290"/>
      <c r="F49" s="290"/>
      <c r="G49" s="290"/>
      <c r="H49" s="290"/>
      <c r="I49" s="290"/>
      <c r="J49" s="22"/>
      <c r="K49" s="21"/>
      <c r="N49" s="22"/>
      <c r="O49" s="21"/>
      <c r="P49" s="21"/>
    </row>
    <row r="50" spans="1:16" ht="12.75" hidden="1" customHeight="1" x14ac:dyDescent="0.2">
      <c r="G50" s="6"/>
      <c r="J50" s="22"/>
      <c r="K50" s="21"/>
      <c r="N50" s="22"/>
      <c r="O50" s="21"/>
      <c r="P50" s="21"/>
    </row>
    <row r="51" spans="1:16" s="77" customFormat="1" ht="12.75" hidden="1" customHeight="1" x14ac:dyDescent="0.2">
      <c r="A51" s="319" t="s">
        <v>0</v>
      </c>
      <c r="B51" s="319"/>
      <c r="C51" s="319"/>
      <c r="D51" s="319"/>
      <c r="E51" s="319" t="s">
        <v>135</v>
      </c>
      <c r="F51" s="319" t="s">
        <v>1</v>
      </c>
      <c r="G51" s="319" t="s">
        <v>2</v>
      </c>
      <c r="H51" s="320" t="s">
        <v>3</v>
      </c>
      <c r="I51" s="320" t="s">
        <v>136</v>
      </c>
      <c r="J51"/>
      <c r="K51"/>
      <c r="L51"/>
    </row>
    <row r="52" spans="1:16" s="77" customFormat="1" ht="12.75" hidden="1" customHeight="1" x14ac:dyDescent="0.2">
      <c r="A52" s="75" t="s">
        <v>10</v>
      </c>
      <c r="B52" s="75" t="s">
        <v>11</v>
      </c>
      <c r="C52" s="75" t="s">
        <v>10</v>
      </c>
      <c r="D52" s="75" t="s">
        <v>11</v>
      </c>
      <c r="E52" s="319"/>
      <c r="F52" s="319"/>
      <c r="G52" s="319"/>
      <c r="H52" s="320"/>
      <c r="I52" s="320"/>
      <c r="J52"/>
      <c r="K52"/>
      <c r="L52"/>
    </row>
    <row r="53" spans="1:16" s="77" customFormat="1" ht="12.75" hidden="1" customHeight="1" x14ac:dyDescent="0.2">
      <c r="A53" s="83"/>
      <c r="B53" s="83"/>
      <c r="C53" s="83"/>
      <c r="D53" s="83"/>
      <c r="E53" s="83"/>
      <c r="F53" s="83"/>
      <c r="G53" s="83"/>
      <c r="H53" s="84"/>
      <c r="I53" s="84"/>
      <c r="J53"/>
      <c r="K53"/>
      <c r="L53"/>
    </row>
    <row r="54" spans="1:16" ht="12.75" hidden="1" customHeight="1" x14ac:dyDescent="0.2">
      <c r="A54" s="5" t="s">
        <v>191</v>
      </c>
      <c r="G54" s="6"/>
      <c r="H54" s="17">
        <v>2188.12</v>
      </c>
      <c r="I54" s="5" t="s">
        <v>41</v>
      </c>
      <c r="J54"/>
      <c r="K54"/>
      <c r="L54"/>
      <c r="N54" s="22"/>
      <c r="O54" s="21"/>
      <c r="P54" s="21"/>
    </row>
    <row r="55" spans="1:16" s="77" customFormat="1" ht="12.75" hidden="1" customHeight="1" x14ac:dyDescent="0.2">
      <c r="A55" s="5" t="s">
        <v>192</v>
      </c>
      <c r="B55" s="79"/>
      <c r="C55" s="79"/>
      <c r="D55" s="79"/>
      <c r="E55" s="79"/>
      <c r="F55" s="80"/>
      <c r="G55" s="80"/>
      <c r="H55" s="17">
        <v>12034.66</v>
      </c>
      <c r="I55" s="82"/>
      <c r="J55"/>
      <c r="K55"/>
      <c r="L55"/>
    </row>
    <row r="56" spans="1:16" s="77" customFormat="1" ht="12.75" hidden="1" customHeight="1" x14ac:dyDescent="0.2">
      <c r="A56" s="78"/>
      <c r="B56" s="79"/>
      <c r="C56" s="79"/>
      <c r="D56" s="79"/>
      <c r="E56" s="79"/>
      <c r="F56" s="80"/>
      <c r="G56" s="122" t="s">
        <v>137</v>
      </c>
      <c r="H56" s="19">
        <f>H54+H55</f>
        <v>14222.779999999999</v>
      </c>
      <c r="I56" s="10" t="s">
        <v>41</v>
      </c>
      <c r="J56"/>
      <c r="K56"/>
      <c r="L56"/>
    </row>
    <row r="57" spans="1:16" ht="12.75" hidden="1" customHeight="1" x14ac:dyDescent="0.2">
      <c r="G57" s="6"/>
      <c r="H57" s="17"/>
      <c r="J57"/>
      <c r="K57"/>
      <c r="L57"/>
      <c r="N57" s="22"/>
      <c r="O57" s="21"/>
      <c r="P57" s="21"/>
    </row>
    <row r="58" spans="1:16" ht="12.75" hidden="1" customHeight="1" x14ac:dyDescent="0.2">
      <c r="A58" s="5" t="s">
        <v>7</v>
      </c>
      <c r="H58" s="17">
        <v>2188.12</v>
      </c>
      <c r="I58" s="5" t="s">
        <v>41</v>
      </c>
      <c r="J58" s="22"/>
    </row>
    <row r="59" spans="1:16" ht="12.75" hidden="1" customHeight="1" x14ac:dyDescent="0.2">
      <c r="A59" s="5" t="s">
        <v>8</v>
      </c>
      <c r="H59" s="17">
        <f>H55</f>
        <v>12034.66</v>
      </c>
      <c r="I59" s="5" t="s">
        <v>41</v>
      </c>
      <c r="J59" s="22"/>
    </row>
    <row r="60" spans="1:16" ht="12.75" hidden="1" customHeight="1" x14ac:dyDescent="0.2">
      <c r="A60" s="5" t="s">
        <v>9</v>
      </c>
      <c r="H60" s="17">
        <f>H58+H59</f>
        <v>14222.779999999999</v>
      </c>
      <c r="I60" s="5" t="s">
        <v>41</v>
      </c>
      <c r="J60" s="22"/>
    </row>
    <row r="61" spans="1:16" ht="12.75" hidden="1" customHeight="1" x14ac:dyDescent="0.2">
      <c r="A61" s="8"/>
      <c r="B61" s="8"/>
      <c r="C61" s="8"/>
      <c r="J61" s="22"/>
    </row>
    <row r="62" spans="1:16" ht="45" hidden="1" customHeight="1" x14ac:dyDescent="0.2">
      <c r="A62" s="1" t="str">
        <f>'BM04'!A20</f>
        <v>1.2.2</v>
      </c>
      <c r="B62" s="290" t="str">
        <f>'BM04'!B20</f>
        <v>ATERRO MECANIZADO DE VALA COM ESCAVADEIRA HIDRÁULICA (CAPACIDADE DA CAÇAMBA: 0,8M³ / POTÊNCIA: 111HP), LARGURA MAIOR QUE 1,5M, PROFUNDIDADE DE 1,5 A 3,0M, COM AREIA PARA ATERRO. ADAPTADOR DO SINAPI 94305</v>
      </c>
      <c r="C62" s="290"/>
      <c r="D62" s="290"/>
      <c r="E62" s="290"/>
      <c r="F62" s="290"/>
      <c r="G62" s="290"/>
      <c r="H62" s="290"/>
      <c r="I62" s="290"/>
      <c r="J62" s="22"/>
      <c r="K62" s="21"/>
      <c r="N62" s="22"/>
      <c r="O62" s="21"/>
      <c r="P62" s="21"/>
    </row>
    <row r="63" spans="1:16" ht="12.75" hidden="1" customHeight="1" x14ac:dyDescent="0.2">
      <c r="G63" s="6"/>
      <c r="J63" s="22"/>
      <c r="K63" s="21"/>
      <c r="N63" s="22"/>
      <c r="O63" s="21"/>
      <c r="P63" s="21"/>
    </row>
    <row r="64" spans="1:16" ht="12.75" hidden="1" customHeight="1" x14ac:dyDescent="0.2">
      <c r="A64" s="321" t="s">
        <v>127</v>
      </c>
      <c r="B64" s="321"/>
      <c r="C64" s="321"/>
      <c r="D64" s="321"/>
      <c r="E64" s="71" t="s">
        <v>128</v>
      </c>
      <c r="F64" s="71" t="s">
        <v>129</v>
      </c>
      <c r="G64" s="321" t="s">
        <v>6</v>
      </c>
      <c r="J64" s="22"/>
      <c r="K64" s="21"/>
      <c r="N64" s="22"/>
      <c r="O64" s="21"/>
      <c r="P64" s="21"/>
    </row>
    <row r="65" spans="1:16" ht="12.75" hidden="1" customHeight="1" x14ac:dyDescent="0.2">
      <c r="A65" s="71" t="s">
        <v>10</v>
      </c>
      <c r="B65" s="71" t="s">
        <v>11</v>
      </c>
      <c r="C65" s="71" t="s">
        <v>10</v>
      </c>
      <c r="D65" s="71" t="s">
        <v>11</v>
      </c>
      <c r="E65" s="71" t="s">
        <v>131</v>
      </c>
      <c r="F65" s="71" t="s">
        <v>132</v>
      </c>
      <c r="G65" s="321"/>
      <c r="J65" s="22"/>
      <c r="K65" s="21"/>
      <c r="N65" s="22"/>
      <c r="O65" s="21"/>
      <c r="P65" s="21"/>
    </row>
    <row r="66" spans="1:16" ht="12.75" hidden="1" customHeight="1" x14ac:dyDescent="0.2">
      <c r="G66" s="6"/>
      <c r="J66" s="22"/>
      <c r="K66" s="21"/>
      <c r="N66" s="22"/>
      <c r="O66" s="21"/>
      <c r="P66" s="21"/>
    </row>
    <row r="67" spans="1:16" ht="12.75" hidden="1" customHeight="1" x14ac:dyDescent="0.2">
      <c r="A67" s="23" t="s">
        <v>189</v>
      </c>
      <c r="B67" s="1"/>
      <c r="C67" s="1"/>
      <c r="D67" s="1"/>
      <c r="F67" s="17">
        <v>11100</v>
      </c>
      <c r="G67" s="6"/>
      <c r="J67" s="22"/>
      <c r="K67" s="21"/>
      <c r="N67" s="22"/>
      <c r="O67" s="21"/>
      <c r="P67" s="21"/>
    </row>
    <row r="68" spans="1:16" ht="12.75" hidden="1" customHeight="1" x14ac:dyDescent="0.2">
      <c r="A68" s="23" t="s">
        <v>190</v>
      </c>
      <c r="B68" s="1"/>
      <c r="C68" s="1"/>
      <c r="D68" s="1"/>
      <c r="F68" s="17">
        <v>1400</v>
      </c>
      <c r="G68" s="6"/>
      <c r="J68" s="22"/>
      <c r="K68" s="21"/>
      <c r="N68" s="22"/>
      <c r="O68" s="21"/>
      <c r="P68" s="21"/>
    </row>
    <row r="69" spans="1:16" ht="12.75" hidden="1" customHeight="1" x14ac:dyDescent="0.2">
      <c r="G69" s="6"/>
      <c r="J69" s="22"/>
      <c r="K69" s="21"/>
      <c r="N69" s="22"/>
      <c r="O69" s="21"/>
      <c r="P69" s="21"/>
    </row>
    <row r="70" spans="1:16" ht="12.75" hidden="1" customHeight="1" x14ac:dyDescent="0.2">
      <c r="E70" s="122" t="s">
        <v>17</v>
      </c>
      <c r="F70" s="19">
        <f>F67+F68</f>
        <v>12500</v>
      </c>
      <c r="G70" s="10" t="s">
        <v>93</v>
      </c>
      <c r="I70" s="22"/>
      <c r="J70" s="21"/>
      <c r="M70" s="22"/>
      <c r="N70" s="21"/>
      <c r="O70" s="21"/>
    </row>
    <row r="71" spans="1:16" ht="12.75" hidden="1" customHeight="1" x14ac:dyDescent="0.2">
      <c r="G71" s="6"/>
      <c r="J71" s="22"/>
      <c r="K71" s="21"/>
      <c r="N71" s="22"/>
      <c r="O71" s="21"/>
      <c r="P71" s="21"/>
    </row>
    <row r="72" spans="1:16" ht="12.75" hidden="1" customHeight="1" x14ac:dyDescent="0.2">
      <c r="A72" s="5" t="s">
        <v>7</v>
      </c>
      <c r="H72" s="17">
        <v>11100</v>
      </c>
      <c r="I72" s="5" t="s">
        <v>93</v>
      </c>
      <c r="J72" s="22"/>
    </row>
    <row r="73" spans="1:16" ht="12.75" hidden="1" customHeight="1" x14ac:dyDescent="0.2">
      <c r="A73" s="5" t="s">
        <v>8</v>
      </c>
      <c r="H73" s="17">
        <f>F68</f>
        <v>1400</v>
      </c>
      <c r="I73" s="5" t="s">
        <v>93</v>
      </c>
      <c r="J73" s="22"/>
    </row>
    <row r="74" spans="1:16" ht="12.75" hidden="1" customHeight="1" x14ac:dyDescent="0.2">
      <c r="A74" s="5" t="s">
        <v>9</v>
      </c>
      <c r="H74" s="17">
        <f>H72+H73</f>
        <v>12500</v>
      </c>
      <c r="I74" s="5" t="s">
        <v>93</v>
      </c>
      <c r="J74" s="22"/>
    </row>
    <row r="75" spans="1:16" ht="12.75" hidden="1" customHeight="1" x14ac:dyDescent="0.2">
      <c r="A75" s="8"/>
      <c r="B75" s="8"/>
      <c r="C75" s="8"/>
      <c r="J75" s="22"/>
    </row>
    <row r="76" spans="1:16" ht="30" hidden="1" customHeight="1" x14ac:dyDescent="0.2">
      <c r="A76" s="1" t="str">
        <f>'BM04'!A21</f>
        <v>1.2.3</v>
      </c>
      <c r="B76" s="290" t="str">
        <f>'BM04'!B21</f>
        <v>ESCAVAÇÃO, CARGA E TRANSPORTE DE MATERIAL DE 1ª CATEGORIA - DMT DE 1.000 A 1.200 M - CAMINHO DE SERVIÇO EM LEITO NATURAL -COM CARREGADEIRA E CAMINHÃO BASCULANTE DE 14 M³</v>
      </c>
      <c r="C76" s="290"/>
      <c r="D76" s="290"/>
      <c r="E76" s="290"/>
      <c r="F76" s="290"/>
      <c r="G76" s="290"/>
      <c r="H76" s="290"/>
      <c r="I76" s="290"/>
      <c r="J76" s="22"/>
      <c r="K76" s="21"/>
      <c r="N76" s="22"/>
      <c r="O76" s="21"/>
      <c r="P76" s="21"/>
    </row>
    <row r="77" spans="1:16" ht="12.75" hidden="1" customHeight="1" x14ac:dyDescent="0.2">
      <c r="G77" s="6"/>
      <c r="J77" s="22"/>
      <c r="K77" s="21"/>
      <c r="N77" s="22"/>
      <c r="O77" s="21"/>
      <c r="P77" s="21"/>
    </row>
    <row r="78" spans="1:16" ht="12.75" hidden="1" customHeight="1" x14ac:dyDescent="0.2">
      <c r="A78" s="321" t="s">
        <v>127</v>
      </c>
      <c r="B78" s="321"/>
      <c r="C78" s="321"/>
      <c r="D78" s="321"/>
      <c r="E78" s="71" t="s">
        <v>128</v>
      </c>
      <c r="F78" s="71" t="s">
        <v>129</v>
      </c>
      <c r="G78" s="71" t="s">
        <v>130</v>
      </c>
      <c r="H78" s="72" t="s">
        <v>129</v>
      </c>
      <c r="I78" s="321" t="s">
        <v>6</v>
      </c>
      <c r="J78" s="22"/>
      <c r="K78" s="21"/>
      <c r="N78" s="22"/>
      <c r="O78" s="21"/>
      <c r="P78" s="21"/>
    </row>
    <row r="79" spans="1:16" ht="12.75" hidden="1" customHeight="1" x14ac:dyDescent="0.2">
      <c r="A79" s="71" t="s">
        <v>10</v>
      </c>
      <c r="B79" s="71" t="s">
        <v>11</v>
      </c>
      <c r="C79" s="71" t="s">
        <v>10</v>
      </c>
      <c r="D79" s="71" t="s">
        <v>11</v>
      </c>
      <c r="E79" s="71" t="s">
        <v>131</v>
      </c>
      <c r="F79" s="71" t="s">
        <v>132</v>
      </c>
      <c r="G79" s="71" t="s">
        <v>133</v>
      </c>
      <c r="H79" s="72" t="s">
        <v>134</v>
      </c>
      <c r="I79" s="321"/>
      <c r="J79" s="22"/>
      <c r="K79" s="21"/>
      <c r="N79" s="22"/>
      <c r="O79" s="21"/>
      <c r="P79" s="21"/>
    </row>
    <row r="80" spans="1:16" ht="12.75" hidden="1" customHeight="1" x14ac:dyDescent="0.2">
      <c r="G80" s="6"/>
      <c r="J80" s="22"/>
      <c r="K80" s="21"/>
      <c r="N80" s="22"/>
      <c r="O80" s="21"/>
      <c r="P80" s="21"/>
    </row>
    <row r="81" spans="1:17" ht="12.75" hidden="1" customHeight="1" x14ac:dyDescent="0.2">
      <c r="A81" s="74" t="s">
        <v>33</v>
      </c>
      <c r="B81" s="1">
        <v>0</v>
      </c>
      <c r="C81" s="1">
        <v>51</v>
      </c>
      <c r="D81" s="1">
        <v>5.07</v>
      </c>
      <c r="F81" s="17">
        <v>0</v>
      </c>
      <c r="G81" s="17">
        <v>1.25</v>
      </c>
      <c r="H81" s="17">
        <f>F81*G81</f>
        <v>0</v>
      </c>
      <c r="J81" s="22"/>
      <c r="K81" s="21"/>
      <c r="N81" s="22"/>
      <c r="O81" s="21"/>
      <c r="P81" s="21"/>
    </row>
    <row r="82" spans="1:17" ht="12.75" hidden="1" customHeight="1" x14ac:dyDescent="0.2">
      <c r="G82" s="6"/>
      <c r="J82" s="22"/>
      <c r="K82" s="21"/>
      <c r="N82" s="22"/>
      <c r="O82" s="21"/>
      <c r="P82" s="21"/>
    </row>
    <row r="83" spans="1:17" ht="12.75" hidden="1" customHeight="1" x14ac:dyDescent="0.2">
      <c r="G83" s="122" t="s">
        <v>17</v>
      </c>
      <c r="H83" s="19">
        <f>H81</f>
        <v>0</v>
      </c>
      <c r="I83" s="10" t="s">
        <v>93</v>
      </c>
      <c r="K83" s="22"/>
      <c r="L83" s="21"/>
      <c r="O83" s="22"/>
      <c r="P83" s="21"/>
      <c r="Q83" s="21"/>
    </row>
    <row r="84" spans="1:17" ht="12.75" hidden="1" customHeight="1" x14ac:dyDescent="0.2">
      <c r="G84" s="6"/>
      <c r="H84" s="17"/>
      <c r="J84" s="22"/>
      <c r="K84" s="21"/>
      <c r="N84" s="22"/>
      <c r="O84" s="21"/>
      <c r="P84" s="21"/>
    </row>
    <row r="85" spans="1:17" ht="12.75" hidden="1" customHeight="1" x14ac:dyDescent="0.2">
      <c r="A85" s="5" t="s">
        <v>7</v>
      </c>
      <c r="H85" s="17">
        <v>0</v>
      </c>
      <c r="I85" s="5" t="s">
        <v>93</v>
      </c>
    </row>
    <row r="86" spans="1:17" ht="12.75" hidden="1" customHeight="1" x14ac:dyDescent="0.2">
      <c r="A86" s="5" t="s">
        <v>8</v>
      </c>
      <c r="H86" s="17">
        <f>H83</f>
        <v>0</v>
      </c>
      <c r="I86" s="5" t="s">
        <v>93</v>
      </c>
    </row>
    <row r="87" spans="1:17" ht="12.75" hidden="1" customHeight="1" x14ac:dyDescent="0.2">
      <c r="A87" s="5" t="s">
        <v>9</v>
      </c>
      <c r="H87" s="17">
        <f>H85+H86</f>
        <v>0</v>
      </c>
      <c r="I87" s="5" t="s">
        <v>93</v>
      </c>
    </row>
    <row r="88" spans="1:17" ht="12.75" hidden="1" customHeight="1" x14ac:dyDescent="0.2">
      <c r="A88" s="8"/>
      <c r="B88" s="8"/>
      <c r="C88" s="8"/>
    </row>
    <row r="89" spans="1:17" ht="30" hidden="1" customHeight="1" x14ac:dyDescent="0.2">
      <c r="A89" s="1" t="str">
        <f>'BM04'!A22</f>
        <v>1.2.4</v>
      </c>
      <c r="B89" s="290" t="str">
        <f>'BM04'!B22</f>
        <v>TRANSPORTE COM CAMINHÃO BASCULANTE DE 10 M³, EM VIA URBANA PAVIMENTADA, ADICIONAL PARA DMT EXCEDENTE A 30 KM (UNIDADE: TXKM). AF_07/2020</v>
      </c>
      <c r="C89" s="290"/>
      <c r="D89" s="290"/>
      <c r="E89" s="290"/>
      <c r="F89" s="290"/>
      <c r="G89" s="290"/>
      <c r="H89" s="290"/>
      <c r="I89" s="290"/>
      <c r="J89" s="22"/>
      <c r="K89" s="21"/>
      <c r="N89" s="22"/>
      <c r="O89" s="21"/>
      <c r="P89" s="21"/>
    </row>
    <row r="90" spans="1:17" ht="12.75" hidden="1" customHeight="1" x14ac:dyDescent="0.2">
      <c r="G90" s="6"/>
      <c r="J90" s="22"/>
      <c r="K90" s="21"/>
      <c r="N90" s="22"/>
      <c r="O90" s="21"/>
      <c r="P90" s="21"/>
    </row>
    <row r="91" spans="1:17" s="77" customFormat="1" ht="12.75" hidden="1" customHeight="1" x14ac:dyDescent="0.2">
      <c r="A91" s="329" t="s">
        <v>0</v>
      </c>
      <c r="B91" s="330"/>
      <c r="C91" s="330"/>
      <c r="D91" s="331"/>
      <c r="E91" s="322" t="s">
        <v>158</v>
      </c>
      <c r="F91" s="315" t="s">
        <v>159</v>
      </c>
      <c r="G91" s="315" t="s">
        <v>35</v>
      </c>
      <c r="H91" s="322" t="s">
        <v>5</v>
      </c>
      <c r="I91" s="322" t="s">
        <v>136</v>
      </c>
      <c r="J91"/>
      <c r="K91"/>
    </row>
    <row r="92" spans="1:17" s="77" customFormat="1" ht="12.75" hidden="1" customHeight="1" x14ac:dyDescent="0.2">
      <c r="A92" s="71" t="s">
        <v>10</v>
      </c>
      <c r="B92" s="71" t="s">
        <v>11</v>
      </c>
      <c r="C92" s="71" t="s">
        <v>10</v>
      </c>
      <c r="D92" s="71" t="s">
        <v>11</v>
      </c>
      <c r="E92" s="323"/>
      <c r="F92" s="316"/>
      <c r="G92" s="316"/>
      <c r="H92" s="323"/>
      <c r="I92" s="323"/>
      <c r="J92"/>
      <c r="K92"/>
    </row>
    <row r="93" spans="1:17" s="77" customFormat="1" ht="12.75" hidden="1" customHeight="1" x14ac:dyDescent="0.2">
      <c r="A93" s="86"/>
      <c r="B93" s="86"/>
      <c r="C93" s="86"/>
      <c r="D93" s="86"/>
      <c r="E93" s="87"/>
      <c r="F93" s="86"/>
      <c r="G93" s="87"/>
      <c r="H93" s="87"/>
      <c r="I93" s="85"/>
      <c r="J93"/>
      <c r="K93"/>
    </row>
    <row r="94" spans="1:17" s="77" customFormat="1" ht="12.75" hidden="1" customHeight="1" x14ac:dyDescent="0.2">
      <c r="A94" s="345" t="s">
        <v>189</v>
      </c>
      <c r="B94" s="345"/>
      <c r="C94" s="345"/>
      <c r="D94" s="345"/>
      <c r="E94" s="166"/>
      <c r="F94" s="86"/>
      <c r="G94" s="87"/>
      <c r="H94" s="87">
        <v>55515.51</v>
      </c>
      <c r="I94" s="85"/>
      <c r="J94"/>
      <c r="K94"/>
    </row>
    <row r="95" spans="1:17" s="77" customFormat="1" ht="12.75" hidden="1" customHeight="1" x14ac:dyDescent="0.2">
      <c r="A95" s="344" t="s">
        <v>190</v>
      </c>
      <c r="B95" s="344"/>
      <c r="C95" s="344"/>
      <c r="D95" s="344"/>
      <c r="E95" s="166">
        <v>4297.3537234042542</v>
      </c>
      <c r="F95" s="86">
        <v>1.6</v>
      </c>
      <c r="G95" s="87">
        <v>4.2300000000000004</v>
      </c>
      <c r="H95" s="87">
        <f>E95*F95*G95</f>
        <v>29084.489999999998</v>
      </c>
      <c r="I95" s="85"/>
      <c r="J95" s="227">
        <f>7000*F95*G95</f>
        <v>47376.000000000007</v>
      </c>
      <c r="K95"/>
      <c r="L95" s="227">
        <f>J95*0.66</f>
        <v>31268.160000000007</v>
      </c>
    </row>
    <row r="96" spans="1:17" s="77" customFormat="1" ht="12.75" hidden="1" customHeight="1" x14ac:dyDescent="0.2">
      <c r="A96" s="346" t="s">
        <v>196</v>
      </c>
      <c r="B96" s="346"/>
      <c r="C96" s="346"/>
      <c r="D96" s="346"/>
      <c r="E96" s="166">
        <f>(2000)/(F96*G96)</f>
        <v>295.50827423167846</v>
      </c>
      <c r="F96" s="86">
        <v>1.6</v>
      </c>
      <c r="G96" s="87">
        <v>4.2300000000000004</v>
      </c>
      <c r="H96" s="87">
        <f>E96*F96*G96</f>
        <v>2000</v>
      </c>
      <c r="I96" s="85"/>
      <c r="K96"/>
      <c r="L96" s="227">
        <f>7000*86.98</f>
        <v>608860</v>
      </c>
    </row>
    <row r="97" spans="1:16" s="77" customFormat="1" ht="12.75" hidden="1" customHeight="1" x14ac:dyDescent="0.2">
      <c r="A97" s="88"/>
      <c r="B97" s="89"/>
      <c r="C97" s="90"/>
      <c r="D97" s="89"/>
      <c r="E97" s="91"/>
      <c r="F97" s="91"/>
      <c r="G97" s="91"/>
      <c r="H97" s="85"/>
      <c r="I97" s="85"/>
      <c r="J97"/>
      <c r="K97"/>
      <c r="L97" s="227">
        <f>8*378.66</f>
        <v>3029.28</v>
      </c>
    </row>
    <row r="98" spans="1:16" s="77" customFormat="1" ht="12.75" hidden="1" customHeight="1" x14ac:dyDescent="0.2">
      <c r="A98" s="90"/>
      <c r="B98" s="89"/>
      <c r="C98" s="90"/>
      <c r="D98" s="89"/>
      <c r="E98" s="89"/>
      <c r="F98" s="123" t="s">
        <v>18</v>
      </c>
      <c r="G98" s="124">
        <f>H94+H95</f>
        <v>84600</v>
      </c>
      <c r="H98" s="125" t="s">
        <v>42</v>
      </c>
      <c r="I98" s="85"/>
      <c r="J98"/>
      <c r="K98"/>
      <c r="L98" s="228">
        <f>SUM(L95:L97)</f>
        <v>643157.44000000006</v>
      </c>
      <c r="M98" s="77" t="s">
        <v>220</v>
      </c>
    </row>
    <row r="99" spans="1:16" ht="12.75" hidden="1" customHeight="1" x14ac:dyDescent="0.2">
      <c r="G99" s="6"/>
      <c r="J99" s="22"/>
      <c r="K99" s="21"/>
      <c r="N99" s="22"/>
      <c r="O99" s="21"/>
      <c r="P99" s="21"/>
    </row>
    <row r="100" spans="1:16" ht="12.75" hidden="1" customHeight="1" x14ac:dyDescent="0.2">
      <c r="A100" s="5" t="s">
        <v>7</v>
      </c>
      <c r="H100" s="18">
        <f>H94+H95+H96</f>
        <v>86600</v>
      </c>
      <c r="I100" s="5" t="s">
        <v>42</v>
      </c>
    </row>
    <row r="101" spans="1:16" ht="12.75" hidden="1" customHeight="1" x14ac:dyDescent="0.2">
      <c r="A101" s="5" t="s">
        <v>8</v>
      </c>
      <c r="H101" s="18"/>
      <c r="I101" s="5" t="s">
        <v>42</v>
      </c>
    </row>
    <row r="102" spans="1:16" ht="12.75" hidden="1" customHeight="1" x14ac:dyDescent="0.2">
      <c r="A102" s="5" t="s">
        <v>9</v>
      </c>
      <c r="H102" s="20">
        <f>H100+H101</f>
        <v>86600</v>
      </c>
      <c r="I102" s="5" t="s">
        <v>42</v>
      </c>
    </row>
    <row r="103" spans="1:16" ht="12.75" hidden="1" customHeight="1" x14ac:dyDescent="0.2">
      <c r="A103" s="8"/>
      <c r="B103" s="8"/>
      <c r="C103" s="8"/>
    </row>
    <row r="104" spans="1:16" ht="16.899999999999999" hidden="1" customHeight="1" x14ac:dyDescent="0.2">
      <c r="A104" s="1" t="str">
        <f>'BM04'!A23</f>
        <v>1.2.5</v>
      </c>
      <c r="B104" s="290" t="str">
        <f>'BM04'!B23</f>
        <v>ESCAVAÇÃO, CARGA, TRANSPORTE E ESPALHAMENTO DO MATERIAL EXISTE (MONTE DA LINHA FÉRREA)</v>
      </c>
      <c r="C104" s="290"/>
      <c r="D104" s="290"/>
      <c r="E104" s="290"/>
      <c r="F104" s="290"/>
      <c r="G104" s="290"/>
      <c r="H104" s="290"/>
      <c r="I104" s="290"/>
    </row>
    <row r="105" spans="1:16" ht="12.75" hidden="1" customHeight="1" x14ac:dyDescent="0.2">
      <c r="A105" s="8"/>
      <c r="B105" s="8"/>
      <c r="C105" s="8"/>
    </row>
    <row r="106" spans="1:16" ht="12.75" hidden="1" customHeight="1" x14ac:dyDescent="0.2">
      <c r="A106" s="329" t="s">
        <v>127</v>
      </c>
      <c r="B106" s="330"/>
      <c r="C106" s="330"/>
      <c r="D106" s="331"/>
      <c r="E106" s="71" t="s">
        <v>128</v>
      </c>
      <c r="F106" s="71" t="s">
        <v>129</v>
      </c>
      <c r="G106" s="71" t="s">
        <v>130</v>
      </c>
      <c r="H106" s="72" t="s">
        <v>129</v>
      </c>
      <c r="I106" s="315" t="s">
        <v>6</v>
      </c>
    </row>
    <row r="107" spans="1:16" ht="12.75" hidden="1" customHeight="1" x14ac:dyDescent="0.2">
      <c r="A107" s="71" t="s">
        <v>10</v>
      </c>
      <c r="B107" s="71" t="s">
        <v>11</v>
      </c>
      <c r="C107" s="71" t="s">
        <v>10</v>
      </c>
      <c r="D107" s="71" t="s">
        <v>11</v>
      </c>
      <c r="E107" s="71" t="s">
        <v>131</v>
      </c>
      <c r="F107" s="71" t="s">
        <v>132</v>
      </c>
      <c r="G107" s="71" t="s">
        <v>133</v>
      </c>
      <c r="H107" s="72" t="s">
        <v>134</v>
      </c>
      <c r="I107" s="316"/>
    </row>
    <row r="108" spans="1:16" ht="12.75" hidden="1" customHeight="1" x14ac:dyDescent="0.2">
      <c r="G108" s="6"/>
    </row>
    <row r="109" spans="1:16" ht="12.75" hidden="1" customHeight="1" x14ac:dyDescent="0.2">
      <c r="A109" s="344" t="s">
        <v>190</v>
      </c>
      <c r="B109" s="344"/>
      <c r="C109" s="344"/>
      <c r="D109" s="344"/>
      <c r="F109" s="17"/>
      <c r="G109" s="17"/>
      <c r="H109" s="17">
        <v>10151.370000000001</v>
      </c>
    </row>
    <row r="110" spans="1:16" ht="12.75" hidden="1" customHeight="1" x14ac:dyDescent="0.2">
      <c r="G110" s="6"/>
    </row>
    <row r="111" spans="1:16" ht="12.75" hidden="1" customHeight="1" x14ac:dyDescent="0.2">
      <c r="G111" s="122" t="s">
        <v>17</v>
      </c>
      <c r="H111" s="19">
        <f>H109</f>
        <v>10151.370000000001</v>
      </c>
      <c r="I111" s="10" t="s">
        <v>93</v>
      </c>
    </row>
    <row r="112" spans="1:16" ht="12.75" hidden="1" customHeight="1" x14ac:dyDescent="0.2">
      <c r="G112" s="6"/>
      <c r="H112" s="17"/>
    </row>
    <row r="113" spans="1:16" ht="12.75" hidden="1" customHeight="1" x14ac:dyDescent="0.2">
      <c r="A113" s="5" t="s">
        <v>7</v>
      </c>
      <c r="H113" s="17">
        <f>H111</f>
        <v>10151.370000000001</v>
      </c>
      <c r="I113" s="5" t="s">
        <v>93</v>
      </c>
    </row>
    <row r="114" spans="1:16" ht="12.75" hidden="1" customHeight="1" x14ac:dyDescent="0.2">
      <c r="A114" s="5" t="s">
        <v>8</v>
      </c>
      <c r="H114" s="17"/>
      <c r="I114" s="5" t="s">
        <v>93</v>
      </c>
    </row>
    <row r="115" spans="1:16" ht="12.75" hidden="1" customHeight="1" x14ac:dyDescent="0.2">
      <c r="A115" s="5" t="s">
        <v>9</v>
      </c>
      <c r="H115" s="17">
        <f>H113+H114</f>
        <v>10151.370000000001</v>
      </c>
      <c r="I115" s="5" t="s">
        <v>93</v>
      </c>
    </row>
    <row r="116" spans="1:16" ht="12.75" customHeight="1" x14ac:dyDescent="0.2">
      <c r="A116" s="8"/>
      <c r="B116" s="8"/>
      <c r="C116" s="8"/>
    </row>
    <row r="117" spans="1:16" x14ac:dyDescent="0.2">
      <c r="A117" s="68" t="str">
        <f>'BM04'!A24</f>
        <v>1.3</v>
      </c>
      <c r="B117" s="291" t="str">
        <f>'BM04'!B24</f>
        <v>PAVIMENTAÇÃO ASFÁLTICA - TSD</v>
      </c>
      <c r="C117" s="291"/>
      <c r="D117" s="291"/>
      <c r="E117" s="291"/>
      <c r="F117" s="291"/>
      <c r="G117" s="291"/>
      <c r="H117" s="291"/>
      <c r="I117" s="291"/>
      <c r="J117" s="22"/>
      <c r="K117" s="21"/>
      <c r="N117" s="22"/>
      <c r="O117" s="21"/>
      <c r="P117" s="21"/>
    </row>
    <row r="118" spans="1:16" x14ac:dyDescent="0.2">
      <c r="A118" s="1"/>
      <c r="B118" s="24"/>
      <c r="C118" s="24"/>
      <c r="D118" s="24"/>
      <c r="E118" s="24"/>
      <c r="F118" s="24"/>
      <c r="G118" s="24"/>
      <c r="H118" s="24"/>
      <c r="I118" s="24"/>
      <c r="J118" s="22"/>
      <c r="K118" s="21"/>
      <c r="N118" s="22"/>
      <c r="O118" s="21"/>
      <c r="P118" s="21"/>
    </row>
    <row r="119" spans="1:16" ht="30" hidden="1" customHeight="1" x14ac:dyDescent="0.2">
      <c r="A119" s="1" t="str">
        <f>'BM04'!A25</f>
        <v>1.3.1</v>
      </c>
      <c r="B119" s="290" t="str">
        <f>'BM04'!B25</f>
        <v xml:space="preserve">TRANSPORTE COM CAMINHÃO BASCULANTE DE 10 M³, EM VIA URBANA PAVIMENTADA, ADICIONAL PARA DMT EXCEDENTE A 30 KM (UNIDADE: TXKM). AF_07/2020 </v>
      </c>
      <c r="C119" s="290"/>
      <c r="D119" s="290"/>
      <c r="E119" s="290"/>
      <c r="F119" s="290"/>
      <c r="G119" s="290"/>
      <c r="H119" s="290"/>
      <c r="I119" s="290"/>
      <c r="J119" s="22"/>
      <c r="K119" s="21"/>
      <c r="N119" s="22"/>
      <c r="O119" s="21"/>
      <c r="P119" s="21"/>
    </row>
    <row r="120" spans="1:16" ht="12.75" hidden="1" customHeight="1" x14ac:dyDescent="0.2">
      <c r="G120" s="6"/>
      <c r="J120" s="22"/>
      <c r="K120" s="21"/>
      <c r="N120" s="22"/>
      <c r="O120" s="21"/>
      <c r="P120" s="21"/>
    </row>
    <row r="121" spans="1:16" s="77" customFormat="1" ht="12.75" hidden="1" customHeight="1" x14ac:dyDescent="0.2">
      <c r="A121" s="329" t="s">
        <v>0</v>
      </c>
      <c r="B121" s="330"/>
      <c r="C121" s="330"/>
      <c r="D121" s="331"/>
      <c r="E121" s="322" t="s">
        <v>138</v>
      </c>
      <c r="F121" s="315" t="s">
        <v>35</v>
      </c>
      <c r="G121" s="322" t="s">
        <v>5</v>
      </c>
      <c r="H121" s="322" t="s">
        <v>136</v>
      </c>
      <c r="I121" s="85"/>
      <c r="J121"/>
      <c r="K121"/>
    </row>
    <row r="122" spans="1:16" s="77" customFormat="1" ht="12.75" hidden="1" customHeight="1" x14ac:dyDescent="0.2">
      <c r="A122" s="71" t="s">
        <v>10</v>
      </c>
      <c r="B122" s="71" t="s">
        <v>11</v>
      </c>
      <c r="C122" s="71" t="s">
        <v>10</v>
      </c>
      <c r="D122" s="71" t="s">
        <v>11</v>
      </c>
      <c r="E122" s="323"/>
      <c r="F122" s="316"/>
      <c r="G122" s="323"/>
      <c r="H122" s="323"/>
      <c r="I122" s="85"/>
      <c r="J122"/>
      <c r="K122"/>
    </row>
    <row r="123" spans="1:16" s="77" customFormat="1" ht="12.75" hidden="1" customHeight="1" x14ac:dyDescent="0.2">
      <c r="A123" s="86"/>
      <c r="B123" s="86"/>
      <c r="C123" s="86"/>
      <c r="D123" s="86"/>
      <c r="E123" s="87"/>
      <c r="F123" s="86"/>
      <c r="G123" s="87"/>
      <c r="H123" s="87"/>
      <c r="I123" s="85"/>
      <c r="J123"/>
      <c r="K123"/>
    </row>
    <row r="124" spans="1:16" s="77" customFormat="1" ht="12.75" hidden="1" customHeight="1" x14ac:dyDescent="0.2">
      <c r="A124" s="86"/>
      <c r="B124" s="86"/>
      <c r="C124" s="86"/>
      <c r="D124" s="86"/>
      <c r="E124" s="87"/>
      <c r="F124" s="86"/>
      <c r="G124" s="87"/>
      <c r="H124" s="87"/>
      <c r="I124" s="85"/>
      <c r="J124"/>
      <c r="K124"/>
    </row>
    <row r="125" spans="1:16" s="77" customFormat="1" ht="12.75" hidden="1" customHeight="1" x14ac:dyDescent="0.2">
      <c r="A125" s="88"/>
      <c r="B125" s="89"/>
      <c r="C125" s="90"/>
      <c r="D125" s="89"/>
      <c r="E125" s="91"/>
      <c r="F125" s="91"/>
      <c r="G125" s="91">
        <f>F125*E125</f>
        <v>0</v>
      </c>
      <c r="H125" s="89"/>
      <c r="I125" s="85"/>
      <c r="J125"/>
      <c r="K125"/>
    </row>
    <row r="126" spans="1:16" s="77" customFormat="1" ht="12.75" hidden="1" customHeight="1" x14ac:dyDescent="0.2">
      <c r="A126" s="88"/>
      <c r="B126" s="89"/>
      <c r="C126" s="90"/>
      <c r="D126" s="89"/>
      <c r="E126" s="91"/>
      <c r="F126" s="91"/>
      <c r="G126" s="91">
        <f>F126*E126</f>
        <v>0</v>
      </c>
      <c r="H126" s="89"/>
      <c r="I126" s="85"/>
      <c r="J126"/>
      <c r="K126"/>
    </row>
    <row r="127" spans="1:16" s="77" customFormat="1" ht="12.75" hidden="1" customHeight="1" x14ac:dyDescent="0.2">
      <c r="A127" s="88"/>
      <c r="B127" s="89"/>
      <c r="C127" s="90"/>
      <c r="D127" s="89"/>
      <c r="E127" s="91"/>
      <c r="F127" s="91"/>
      <c r="G127" s="91"/>
      <c r="H127" s="85"/>
      <c r="I127" s="85"/>
      <c r="J127"/>
      <c r="K127"/>
    </row>
    <row r="128" spans="1:16" s="77" customFormat="1" ht="12.75" hidden="1" customHeight="1" x14ac:dyDescent="0.2">
      <c r="A128" s="90"/>
      <c r="B128" s="89"/>
      <c r="C128" s="90"/>
      <c r="D128" s="89"/>
      <c r="E128" s="89"/>
      <c r="F128" s="123" t="s">
        <v>18</v>
      </c>
      <c r="G128" s="124">
        <f>SUM(G125:G126)</f>
        <v>0</v>
      </c>
      <c r="H128" s="125" t="s">
        <v>42</v>
      </c>
      <c r="I128" s="85"/>
      <c r="J128"/>
      <c r="K128"/>
    </row>
    <row r="129" spans="1:16" ht="12.75" hidden="1" customHeight="1" x14ac:dyDescent="0.2">
      <c r="G129" s="6"/>
      <c r="J129" s="22"/>
      <c r="K129" s="21"/>
      <c r="N129" s="22"/>
      <c r="O129" s="21"/>
      <c r="P129" s="21"/>
    </row>
    <row r="130" spans="1:16" ht="12.75" hidden="1" customHeight="1" x14ac:dyDescent="0.2">
      <c r="A130" s="5" t="s">
        <v>7</v>
      </c>
      <c r="H130" s="18">
        <v>0</v>
      </c>
      <c r="I130" s="5" t="s">
        <v>42</v>
      </c>
    </row>
    <row r="131" spans="1:16" ht="12.75" hidden="1" customHeight="1" x14ac:dyDescent="0.2">
      <c r="A131" s="5" t="s">
        <v>8</v>
      </c>
      <c r="H131" s="7"/>
      <c r="I131" s="5" t="s">
        <v>42</v>
      </c>
    </row>
    <row r="132" spans="1:16" ht="12.75" hidden="1" customHeight="1" x14ac:dyDescent="0.2">
      <c r="A132" s="5" t="s">
        <v>9</v>
      </c>
      <c r="H132" s="20">
        <f>H130+H131</f>
        <v>0</v>
      </c>
      <c r="I132" s="5" t="s">
        <v>42</v>
      </c>
    </row>
    <row r="133" spans="1:16" ht="12.75" hidden="1" customHeight="1" x14ac:dyDescent="0.2">
      <c r="A133" s="8"/>
      <c r="B133" s="8"/>
      <c r="C133" s="8"/>
    </row>
    <row r="134" spans="1:16" ht="30" hidden="1" customHeight="1" x14ac:dyDescent="0.2">
      <c r="A134" s="1" t="str">
        <f>'BM04'!A26</f>
        <v>1.3.2</v>
      </c>
      <c r="B134" s="290" t="str">
        <f>'BM04'!B26</f>
        <v>SERVIÇOS TOPOGRÁFICOS PARA PAVIMENTAÇÃO, INCLUSIVE NOTA DE SERVIÇOS, ACOMPANHAMENTO E GREIDE (ADAPTADO DO SINAPI 78472)</v>
      </c>
      <c r="C134" s="290"/>
      <c r="D134" s="290"/>
      <c r="E134" s="290"/>
      <c r="F134" s="290"/>
      <c r="G134" s="290"/>
      <c r="H134" s="290"/>
      <c r="I134" s="290"/>
      <c r="J134" s="22"/>
      <c r="K134" s="21"/>
      <c r="N134" s="22"/>
      <c r="O134" s="21"/>
      <c r="P134" s="21"/>
    </row>
    <row r="135" spans="1:16" ht="12.75" hidden="1" customHeight="1" x14ac:dyDescent="0.2">
      <c r="G135" s="6"/>
      <c r="J135" s="22"/>
      <c r="K135" s="21"/>
      <c r="N135" s="22"/>
      <c r="O135" s="21"/>
      <c r="P135" s="21"/>
    </row>
    <row r="136" spans="1:16" s="77" customFormat="1" ht="12.75" hidden="1" customHeight="1" x14ac:dyDescent="0.2">
      <c r="A136" s="324" t="s">
        <v>0</v>
      </c>
      <c r="B136" s="325"/>
      <c r="C136" s="325"/>
      <c r="D136" s="326"/>
      <c r="E136" s="327" t="s">
        <v>135</v>
      </c>
      <c r="F136" s="327" t="s">
        <v>1</v>
      </c>
      <c r="G136" s="327" t="s">
        <v>2</v>
      </c>
      <c r="H136" s="336" t="s">
        <v>3</v>
      </c>
      <c r="I136" s="336" t="s">
        <v>136</v>
      </c>
      <c r="J136"/>
      <c r="K136"/>
      <c r="L136"/>
    </row>
    <row r="137" spans="1:16" s="77" customFormat="1" ht="12.75" hidden="1" customHeight="1" x14ac:dyDescent="0.2">
      <c r="A137" s="75" t="s">
        <v>10</v>
      </c>
      <c r="B137" s="75" t="s">
        <v>11</v>
      </c>
      <c r="C137" s="75" t="s">
        <v>10</v>
      </c>
      <c r="D137" s="75" t="s">
        <v>11</v>
      </c>
      <c r="E137" s="328"/>
      <c r="F137" s="328"/>
      <c r="G137" s="328"/>
      <c r="H137" s="337"/>
      <c r="I137" s="337"/>
      <c r="J137"/>
      <c r="K137"/>
      <c r="L137"/>
    </row>
    <row r="138" spans="1:16" s="77" customFormat="1" ht="12.75" hidden="1" customHeight="1" x14ac:dyDescent="0.2">
      <c r="A138" s="83"/>
      <c r="B138" s="83"/>
      <c r="C138" s="83"/>
      <c r="D138" s="83"/>
      <c r="E138" s="83"/>
      <c r="F138" s="83"/>
      <c r="G138" s="83"/>
      <c r="H138" s="84"/>
      <c r="I138" s="84"/>
      <c r="J138"/>
      <c r="K138"/>
      <c r="L138"/>
    </row>
    <row r="139" spans="1:16" ht="12.75" hidden="1" customHeight="1" x14ac:dyDescent="0.2">
      <c r="A139" s="5" t="s">
        <v>126</v>
      </c>
      <c r="G139" s="6"/>
      <c r="H139" s="20">
        <v>14222.78</v>
      </c>
      <c r="I139" s="5" t="s">
        <v>41</v>
      </c>
      <c r="J139"/>
      <c r="K139"/>
      <c r="L139"/>
      <c r="N139" s="22"/>
      <c r="O139" s="21"/>
      <c r="P139" s="21"/>
    </row>
    <row r="140" spans="1:16" s="77" customFormat="1" ht="12.75" hidden="1" customHeight="1" x14ac:dyDescent="0.2">
      <c r="A140" s="78"/>
      <c r="B140" s="79"/>
      <c r="C140" s="79"/>
      <c r="D140" s="79"/>
      <c r="E140" s="79"/>
      <c r="F140" s="80"/>
      <c r="G140" s="80"/>
      <c r="H140" s="81"/>
      <c r="I140" s="82"/>
      <c r="J140"/>
      <c r="K140"/>
      <c r="L140"/>
    </row>
    <row r="141" spans="1:16" s="77" customFormat="1" ht="12.75" hidden="1" customHeight="1" x14ac:dyDescent="0.2">
      <c r="A141" s="78"/>
      <c r="B141" s="79"/>
      <c r="C141" s="79"/>
      <c r="D141" s="79"/>
      <c r="E141" s="79"/>
      <c r="F141" s="80"/>
      <c r="G141" s="122" t="s">
        <v>137</v>
      </c>
      <c r="H141" s="19">
        <f>H139</f>
        <v>14222.78</v>
      </c>
      <c r="I141" s="10" t="s">
        <v>41</v>
      </c>
      <c r="J141"/>
      <c r="K141"/>
      <c r="L141"/>
    </row>
    <row r="142" spans="1:16" ht="12.75" hidden="1" customHeight="1" x14ac:dyDescent="0.2">
      <c r="G142" s="6"/>
      <c r="H142" s="17"/>
      <c r="J142"/>
      <c r="K142"/>
      <c r="L142"/>
      <c r="N142" s="22"/>
      <c r="O142" s="21"/>
      <c r="P142" s="21"/>
    </row>
    <row r="143" spans="1:16" ht="12.75" hidden="1" customHeight="1" x14ac:dyDescent="0.2">
      <c r="A143" s="5" t="s">
        <v>7</v>
      </c>
      <c r="H143" s="18">
        <f>H141</f>
        <v>14222.78</v>
      </c>
      <c r="I143" s="5" t="s">
        <v>41</v>
      </c>
    </row>
    <row r="144" spans="1:16" ht="12.75" hidden="1" customHeight="1" x14ac:dyDescent="0.2">
      <c r="A144" s="5" t="s">
        <v>8</v>
      </c>
      <c r="H144" s="18"/>
      <c r="I144" s="5" t="s">
        <v>41</v>
      </c>
    </row>
    <row r="145" spans="1:16" ht="12.75" hidden="1" customHeight="1" x14ac:dyDescent="0.2">
      <c r="A145" s="5" t="s">
        <v>9</v>
      </c>
      <c r="H145" s="20">
        <f>H143+H144</f>
        <v>14222.78</v>
      </c>
      <c r="I145" s="5" t="s">
        <v>41</v>
      </c>
    </row>
    <row r="146" spans="1:16" ht="12.75" hidden="1" customHeight="1" x14ac:dyDescent="0.2">
      <c r="A146" s="8"/>
      <c r="B146" s="8"/>
      <c r="C146" s="8"/>
    </row>
    <row r="147" spans="1:16" ht="15" hidden="1" customHeight="1" x14ac:dyDescent="0.2">
      <c r="A147" s="1" t="str">
        <f>'BM04'!A27</f>
        <v>1.3.3</v>
      </c>
      <c r="B147" s="290" t="str">
        <f>'BM04'!B27</f>
        <v>REGULARIZAÇÃO E COMPACTAÇÃO DE SUBLEITO DE SOLO PREDOMINANTEMENTE ARENOSO. AF_11/2019</v>
      </c>
      <c r="C147" s="290"/>
      <c r="D147" s="290"/>
      <c r="E147" s="290"/>
      <c r="F147" s="290"/>
      <c r="G147" s="290"/>
      <c r="H147" s="290"/>
      <c r="I147" s="290"/>
      <c r="J147" s="22"/>
      <c r="K147" s="21"/>
      <c r="N147" s="22"/>
      <c r="O147" s="21"/>
      <c r="P147" s="21"/>
    </row>
    <row r="148" spans="1:16" ht="12.75" hidden="1" customHeight="1" x14ac:dyDescent="0.2">
      <c r="G148" s="6"/>
      <c r="J148" s="22"/>
      <c r="K148" s="21"/>
      <c r="N148" s="22"/>
      <c r="O148" s="21"/>
      <c r="P148" s="21"/>
    </row>
    <row r="149" spans="1:16" s="77" customFormat="1" ht="12.75" hidden="1" customHeight="1" x14ac:dyDescent="0.2">
      <c r="A149" s="324" t="s">
        <v>0</v>
      </c>
      <c r="B149" s="325"/>
      <c r="C149" s="325"/>
      <c r="D149" s="326"/>
      <c r="E149" s="327" t="s">
        <v>135</v>
      </c>
      <c r="F149" s="327" t="s">
        <v>1</v>
      </c>
      <c r="G149" s="327" t="s">
        <v>2</v>
      </c>
      <c r="H149" s="336" t="s">
        <v>3</v>
      </c>
      <c r="I149" s="336" t="s">
        <v>136</v>
      </c>
      <c r="J149"/>
      <c r="K149"/>
      <c r="L149"/>
    </row>
    <row r="150" spans="1:16" s="77" customFormat="1" ht="12.75" hidden="1" customHeight="1" x14ac:dyDescent="0.2">
      <c r="A150" s="75" t="s">
        <v>10</v>
      </c>
      <c r="B150" s="75" t="s">
        <v>11</v>
      </c>
      <c r="C150" s="75" t="s">
        <v>10</v>
      </c>
      <c r="D150" s="75" t="s">
        <v>11</v>
      </c>
      <c r="E150" s="328"/>
      <c r="F150" s="328"/>
      <c r="G150" s="328"/>
      <c r="H150" s="337"/>
      <c r="I150" s="337"/>
      <c r="J150"/>
      <c r="K150"/>
      <c r="L150"/>
    </row>
    <row r="151" spans="1:16" s="77" customFormat="1" ht="12.75" hidden="1" customHeight="1" x14ac:dyDescent="0.2">
      <c r="A151" s="83"/>
      <c r="B151" s="83"/>
      <c r="C151" s="83"/>
      <c r="D151" s="83"/>
      <c r="E151" s="83"/>
      <c r="F151" s="83"/>
      <c r="G151" s="83"/>
      <c r="H151" s="84"/>
      <c r="I151" s="84"/>
      <c r="J151"/>
      <c r="K151"/>
      <c r="L151"/>
    </row>
    <row r="152" spans="1:16" ht="12.75" hidden="1" customHeight="1" x14ac:dyDescent="0.2">
      <c r="A152" s="5" t="s">
        <v>126</v>
      </c>
      <c r="G152" s="6"/>
      <c r="H152" s="20">
        <v>14222.78</v>
      </c>
      <c r="I152" s="5" t="s">
        <v>41</v>
      </c>
      <c r="J152"/>
      <c r="K152"/>
      <c r="L152"/>
      <c r="N152" s="22"/>
      <c r="O152" s="21"/>
      <c r="P152" s="21"/>
    </row>
    <row r="153" spans="1:16" s="77" customFormat="1" ht="12.75" hidden="1" customHeight="1" x14ac:dyDescent="0.2">
      <c r="A153" s="78"/>
      <c r="B153" s="79"/>
      <c r="C153" s="79"/>
      <c r="D153" s="79"/>
      <c r="E153" s="79"/>
      <c r="F153" s="80"/>
      <c r="G153" s="80"/>
      <c r="H153" s="81"/>
      <c r="I153" s="82"/>
      <c r="J153"/>
      <c r="K153"/>
      <c r="L153"/>
    </row>
    <row r="154" spans="1:16" s="77" customFormat="1" ht="12.75" hidden="1" customHeight="1" x14ac:dyDescent="0.2">
      <c r="A154" s="78"/>
      <c r="B154" s="79"/>
      <c r="C154" s="79"/>
      <c r="D154" s="79"/>
      <c r="E154" s="79"/>
      <c r="F154" s="80"/>
      <c r="G154" s="122" t="s">
        <v>137</v>
      </c>
      <c r="H154" s="19">
        <f>H152</f>
        <v>14222.78</v>
      </c>
      <c r="I154" s="10" t="s">
        <v>41</v>
      </c>
      <c r="J154"/>
      <c r="K154"/>
      <c r="L154"/>
    </row>
    <row r="155" spans="1:16" ht="12.75" hidden="1" customHeight="1" x14ac:dyDescent="0.2">
      <c r="G155" s="6"/>
      <c r="H155" s="17"/>
      <c r="J155"/>
      <c r="K155"/>
      <c r="L155"/>
      <c r="N155" s="22"/>
      <c r="O155" s="21"/>
      <c r="P155" s="21"/>
    </row>
    <row r="156" spans="1:16" ht="12.75" hidden="1" customHeight="1" x14ac:dyDescent="0.2">
      <c r="A156" s="5" t="s">
        <v>7</v>
      </c>
      <c r="H156" s="17">
        <f>H154</f>
        <v>14222.78</v>
      </c>
      <c r="I156" s="5" t="s">
        <v>41</v>
      </c>
    </row>
    <row r="157" spans="1:16" ht="12.75" hidden="1" customHeight="1" x14ac:dyDescent="0.2">
      <c r="A157" s="5" t="s">
        <v>8</v>
      </c>
      <c r="H157" s="17"/>
      <c r="I157" s="5" t="s">
        <v>41</v>
      </c>
    </row>
    <row r="158" spans="1:16" ht="12.75" hidden="1" customHeight="1" x14ac:dyDescent="0.2">
      <c r="A158" s="5" t="s">
        <v>9</v>
      </c>
      <c r="H158" s="17">
        <f>H156+H157</f>
        <v>14222.78</v>
      </c>
      <c r="I158" s="5" t="s">
        <v>41</v>
      </c>
    </row>
    <row r="159" spans="1:16" ht="12.75" hidden="1" customHeight="1" x14ac:dyDescent="0.2">
      <c r="A159" s="8"/>
      <c r="B159" s="8"/>
      <c r="C159" s="8"/>
    </row>
    <row r="160" spans="1:16" ht="45" hidden="1" customHeight="1" x14ac:dyDescent="0.2">
      <c r="A160" s="1" t="str">
        <f>'BM04'!A28</f>
        <v>1.3.4</v>
      </c>
      <c r="B160" s="290" t="str">
        <f>'BM04'!B28</f>
        <v>EXECUÇÃO E COMPACTAÇÃO DE BASE E OU SUB BASE PARA PAVIMENTAÇÃO DE SOLOS DE COMPORTAMENTO LATERÍTICO (ARENOSO) - EXCLUSIVE SOLO, ESCAVAÇÃO, CARGA E TRANSPORTE. AF_11/2019</v>
      </c>
      <c r="C160" s="290"/>
      <c r="D160" s="290"/>
      <c r="E160" s="290"/>
      <c r="F160" s="290"/>
      <c r="G160" s="290"/>
      <c r="H160" s="290"/>
      <c r="I160" s="290"/>
      <c r="J160" s="22"/>
      <c r="K160" s="21"/>
      <c r="N160" s="22"/>
      <c r="O160" s="21"/>
      <c r="P160" s="21"/>
    </row>
    <row r="161" spans="1:16" ht="12.75" hidden="1" customHeight="1" x14ac:dyDescent="0.2">
      <c r="G161" s="6"/>
      <c r="J161" s="22"/>
      <c r="K161" s="21"/>
      <c r="N161" s="22"/>
      <c r="O161" s="21"/>
      <c r="P161" s="21"/>
    </row>
    <row r="162" spans="1:16" s="77" customFormat="1" ht="12.75" hidden="1" customHeight="1" x14ac:dyDescent="0.2">
      <c r="A162" s="324" t="s">
        <v>0</v>
      </c>
      <c r="B162" s="325"/>
      <c r="C162" s="325"/>
      <c r="D162" s="326"/>
      <c r="E162" s="327" t="s">
        <v>1</v>
      </c>
      <c r="F162" s="327" t="s">
        <v>2</v>
      </c>
      <c r="G162" s="336" t="s">
        <v>139</v>
      </c>
      <c r="H162" s="336" t="s">
        <v>129</v>
      </c>
      <c r="I162" s="336" t="s">
        <v>136</v>
      </c>
      <c r="J162"/>
      <c r="K162"/>
    </row>
    <row r="163" spans="1:16" s="77" customFormat="1" ht="12.75" hidden="1" customHeight="1" x14ac:dyDescent="0.2">
      <c r="A163" s="75" t="s">
        <v>10</v>
      </c>
      <c r="B163" s="75" t="s">
        <v>11</v>
      </c>
      <c r="C163" s="75" t="s">
        <v>10</v>
      </c>
      <c r="D163" s="75" t="s">
        <v>11</v>
      </c>
      <c r="E163" s="328"/>
      <c r="F163" s="328"/>
      <c r="G163" s="337"/>
      <c r="H163" s="337"/>
      <c r="I163" s="337"/>
      <c r="J163"/>
      <c r="K163"/>
    </row>
    <row r="164" spans="1:16" s="77" customFormat="1" ht="12.75" hidden="1" customHeight="1" x14ac:dyDescent="0.2">
      <c r="A164" s="92"/>
      <c r="B164" s="93"/>
      <c r="C164" s="92"/>
      <c r="D164" s="94"/>
      <c r="E164" s="94">
        <f>(C164-A164)*20+D164-B164</f>
        <v>0</v>
      </c>
      <c r="F164" s="94"/>
      <c r="G164" s="94"/>
      <c r="H164" s="94">
        <f>E164*F164*G164</f>
        <v>0</v>
      </c>
      <c r="I164" s="95"/>
      <c r="J164"/>
      <c r="K164"/>
    </row>
    <row r="165" spans="1:16" s="77" customFormat="1" ht="12.75" hidden="1" customHeight="1" x14ac:dyDescent="0.2">
      <c r="A165" s="92" t="s">
        <v>193</v>
      </c>
      <c r="B165" s="93"/>
      <c r="C165" s="92"/>
      <c r="D165" s="94"/>
      <c r="E165" s="73">
        <v>2188.1149999999998</v>
      </c>
      <c r="F165" s="93">
        <v>7.7</v>
      </c>
      <c r="G165" s="93">
        <v>0.2</v>
      </c>
      <c r="H165" s="93">
        <f>E165*F165*G165</f>
        <v>3369.6970999999999</v>
      </c>
      <c r="I165" s="202" t="s">
        <v>198</v>
      </c>
      <c r="J165"/>
      <c r="K165"/>
    </row>
    <row r="166" spans="1:16" s="77" customFormat="1" ht="12.75" hidden="1" customHeight="1" x14ac:dyDescent="0.2">
      <c r="A166" s="92" t="s">
        <v>197</v>
      </c>
      <c r="B166" s="73"/>
      <c r="C166" s="99"/>
      <c r="D166" s="97"/>
      <c r="E166" s="73">
        <v>2188.1149999999998</v>
      </c>
      <c r="F166" s="73">
        <v>7.3</v>
      </c>
      <c r="G166" s="73">
        <v>0.2</v>
      </c>
      <c r="H166" s="93">
        <f>E166*F166*G166</f>
        <v>3194.6478999999999</v>
      </c>
      <c r="I166" s="202" t="s">
        <v>199</v>
      </c>
      <c r="J166"/>
      <c r="K166"/>
    </row>
    <row r="167" spans="1:16" s="77" customFormat="1" ht="12.75" hidden="1" customHeight="1" x14ac:dyDescent="0.2">
      <c r="A167" s="98"/>
      <c r="B167" s="73"/>
      <c r="C167" s="99"/>
      <c r="D167" s="97"/>
      <c r="E167" s="73"/>
      <c r="F167" s="73"/>
      <c r="G167" s="101"/>
      <c r="H167" s="102"/>
      <c r="I167" s="103"/>
      <c r="J167"/>
      <c r="K167"/>
    </row>
    <row r="168" spans="1:16" s="77" customFormat="1" ht="12.75" hidden="1" customHeight="1" x14ac:dyDescent="0.2">
      <c r="A168" s="88"/>
      <c r="B168" s="97"/>
      <c r="C168" s="88"/>
      <c r="D168" s="97"/>
      <c r="E168" s="97"/>
      <c r="F168" s="97"/>
      <c r="G168" s="104" t="s">
        <v>140</v>
      </c>
      <c r="H168" s="105">
        <f>SUM(H165:H166)</f>
        <v>6564.3449999999993</v>
      </c>
      <c r="I168" s="10" t="s">
        <v>93</v>
      </c>
      <c r="J168"/>
      <c r="K168"/>
    </row>
    <row r="169" spans="1:16" ht="12.75" hidden="1" customHeight="1" x14ac:dyDescent="0.2">
      <c r="H169" s="7"/>
    </row>
    <row r="170" spans="1:16" ht="12.75" hidden="1" customHeight="1" x14ac:dyDescent="0.2">
      <c r="A170" s="5" t="s">
        <v>7</v>
      </c>
      <c r="H170" s="18">
        <f>H168</f>
        <v>6564.3449999999993</v>
      </c>
      <c r="I170" s="5" t="s">
        <v>93</v>
      </c>
    </row>
    <row r="171" spans="1:16" ht="12.75" hidden="1" customHeight="1" x14ac:dyDescent="0.2">
      <c r="A171" s="5" t="s">
        <v>8</v>
      </c>
      <c r="H171" s="17"/>
      <c r="I171" s="5" t="s">
        <v>93</v>
      </c>
    </row>
    <row r="172" spans="1:16" ht="12.75" hidden="1" customHeight="1" x14ac:dyDescent="0.2">
      <c r="A172" s="5" t="s">
        <v>9</v>
      </c>
      <c r="H172" s="17">
        <f>H170+H171</f>
        <v>6564.3449999999993</v>
      </c>
      <c r="I172" s="5" t="s">
        <v>93</v>
      </c>
    </row>
    <row r="173" spans="1:16" ht="12.75" hidden="1" customHeight="1" x14ac:dyDescent="0.2">
      <c r="A173" s="8"/>
      <c r="B173" s="8"/>
      <c r="C173" s="8"/>
    </row>
    <row r="174" spans="1:16" ht="15" hidden="1" customHeight="1" x14ac:dyDescent="0.2">
      <c r="A174" s="1" t="str">
        <f>'BM04'!A29</f>
        <v>1.3.5</v>
      </c>
      <c r="B174" s="290" t="str">
        <f>'BM04'!B29</f>
        <v>FORNECIMENTO DE EMULSÃO ASFÁLTICA RR-2C-E COM POLÍMERO</v>
      </c>
      <c r="C174" s="290"/>
      <c r="D174" s="290"/>
      <c r="E174" s="290"/>
      <c r="F174" s="290"/>
      <c r="G174" s="290"/>
      <c r="H174" s="290"/>
      <c r="I174" s="290"/>
      <c r="J174" s="22"/>
      <c r="K174" s="21"/>
      <c r="N174" s="22"/>
      <c r="O174" s="21"/>
      <c r="P174" s="21"/>
    </row>
    <row r="175" spans="1:16" ht="12.75" hidden="1" customHeight="1" x14ac:dyDescent="0.2">
      <c r="G175" s="6"/>
      <c r="J175" s="22"/>
      <c r="K175" s="21"/>
      <c r="N175" s="22"/>
      <c r="O175" s="21"/>
      <c r="P175" s="21"/>
    </row>
    <row r="176" spans="1:16" s="77" customFormat="1" ht="12.75" hidden="1" customHeight="1" x14ac:dyDescent="0.2">
      <c r="A176" s="332"/>
      <c r="B176" s="333"/>
      <c r="C176" s="106"/>
      <c r="D176" s="107"/>
      <c r="E176" s="107" t="s">
        <v>19</v>
      </c>
      <c r="F176" s="108">
        <f>G201</f>
        <v>14222.777499999997</v>
      </c>
      <c r="G176" s="109" t="s">
        <v>20</v>
      </c>
      <c r="H176" s="203" t="s">
        <v>200</v>
      </c>
      <c r="I176" s="111"/>
      <c r="J176"/>
      <c r="K176"/>
    </row>
    <row r="177" spans="1:16" s="77" customFormat="1" ht="12.75" hidden="1" customHeight="1" x14ac:dyDescent="0.2">
      <c r="A177" s="334"/>
      <c r="B177" s="335"/>
      <c r="C177" s="109"/>
      <c r="D177" s="109"/>
      <c r="E177" s="107" t="s">
        <v>21</v>
      </c>
      <c r="F177" s="112">
        <v>3.5</v>
      </c>
      <c r="G177" s="109" t="s">
        <v>22</v>
      </c>
      <c r="H177" s="110"/>
      <c r="I177" s="111"/>
      <c r="J177"/>
      <c r="K177"/>
    </row>
    <row r="178" spans="1:16" s="77" customFormat="1" ht="12.75" hidden="1" customHeight="1" x14ac:dyDescent="0.2">
      <c r="A178" s="76"/>
      <c r="B178" s="109"/>
      <c r="C178" s="109"/>
      <c r="D178" s="109"/>
      <c r="E178" s="126" t="s">
        <v>23</v>
      </c>
      <c r="F178" s="127">
        <f>ROUND((F176*F177)/1000,2)</f>
        <v>49.78</v>
      </c>
      <c r="G178" s="106" t="s">
        <v>12</v>
      </c>
      <c r="H178" s="110"/>
      <c r="I178" s="111"/>
      <c r="J178"/>
      <c r="K178"/>
    </row>
    <row r="179" spans="1:16" s="77" customFormat="1" ht="12.75" hidden="1" customHeight="1" x14ac:dyDescent="0.2">
      <c r="A179" s="113"/>
      <c r="B179" s="114"/>
      <c r="C179" s="111"/>
      <c r="D179" s="111"/>
      <c r="E179" s="111"/>
      <c r="F179" s="111"/>
      <c r="G179" s="111"/>
      <c r="H179" s="111"/>
      <c r="I179" s="111"/>
      <c r="J179"/>
      <c r="K179"/>
    </row>
    <row r="180" spans="1:16" ht="12.75" hidden="1" customHeight="1" x14ac:dyDescent="0.2">
      <c r="A180" s="5" t="s">
        <v>7</v>
      </c>
      <c r="H180" s="18">
        <f>F178</f>
        <v>49.78</v>
      </c>
      <c r="I180" s="5" t="s">
        <v>30</v>
      </c>
    </row>
    <row r="181" spans="1:16" ht="12.75" hidden="1" customHeight="1" x14ac:dyDescent="0.2">
      <c r="A181" s="5" t="s">
        <v>8</v>
      </c>
      <c r="H181" s="18"/>
      <c r="I181" s="5" t="s">
        <v>30</v>
      </c>
    </row>
    <row r="182" spans="1:16" ht="12.75" hidden="1" customHeight="1" x14ac:dyDescent="0.2">
      <c r="A182" s="5" t="s">
        <v>9</v>
      </c>
      <c r="H182" s="18">
        <f>H180+H181</f>
        <v>49.78</v>
      </c>
      <c r="I182" s="5" t="s">
        <v>30</v>
      </c>
    </row>
    <row r="183" spans="1:16" ht="12.75" hidden="1" customHeight="1" x14ac:dyDescent="0.2">
      <c r="A183" s="8"/>
      <c r="B183" s="8"/>
      <c r="C183" s="8"/>
    </row>
    <row r="184" spans="1:16" ht="15" hidden="1" customHeight="1" x14ac:dyDescent="0.2">
      <c r="A184" s="1" t="str">
        <f>'BM04'!A30</f>
        <v>1.3.6</v>
      </c>
      <c r="B184" s="290" t="str">
        <f>'BM04'!B30</f>
        <v>ASFALTO DILUIDO CM-30 EXCLUSIVE TRANSPORTE</v>
      </c>
      <c r="C184" s="290"/>
      <c r="D184" s="290"/>
      <c r="E184" s="290"/>
      <c r="F184" s="290"/>
      <c r="G184" s="290"/>
      <c r="H184" s="290"/>
      <c r="I184" s="290"/>
      <c r="J184" s="22"/>
      <c r="K184" s="21"/>
      <c r="N184" s="22"/>
      <c r="O184" s="21"/>
      <c r="P184" s="21"/>
    </row>
    <row r="185" spans="1:16" ht="12.75" hidden="1" customHeight="1" x14ac:dyDescent="0.2">
      <c r="G185" s="6"/>
      <c r="J185" s="22"/>
      <c r="K185" s="21"/>
      <c r="N185" s="22"/>
      <c r="O185" s="21"/>
      <c r="P185" s="21"/>
    </row>
    <row r="186" spans="1:16" s="77" customFormat="1" ht="12.75" hidden="1" customHeight="1" x14ac:dyDescent="0.2">
      <c r="A186" s="332"/>
      <c r="B186" s="333"/>
      <c r="C186" s="106"/>
      <c r="D186" s="107"/>
      <c r="E186" s="107" t="s">
        <v>19</v>
      </c>
      <c r="F186" s="108">
        <f>F176</f>
        <v>14222.777499999997</v>
      </c>
      <c r="G186" s="109" t="s">
        <v>20</v>
      </c>
      <c r="H186" s="203" t="s">
        <v>202</v>
      </c>
      <c r="I186" s="111"/>
      <c r="J186"/>
      <c r="K186"/>
    </row>
    <row r="187" spans="1:16" s="77" customFormat="1" ht="12.75" hidden="1" customHeight="1" x14ac:dyDescent="0.2">
      <c r="A187" s="334"/>
      <c r="B187" s="335"/>
      <c r="C187" s="109"/>
      <c r="D187" s="109"/>
      <c r="E187" s="107" t="s">
        <v>21</v>
      </c>
      <c r="F187" s="112">
        <v>1.2</v>
      </c>
      <c r="G187" s="109" t="s">
        <v>22</v>
      </c>
      <c r="H187" s="110"/>
      <c r="I187" s="111"/>
      <c r="J187"/>
      <c r="K187"/>
    </row>
    <row r="188" spans="1:16" s="77" customFormat="1" ht="12.75" hidden="1" customHeight="1" x14ac:dyDescent="0.2">
      <c r="A188" s="76"/>
      <c r="B188" s="109"/>
      <c r="C188" s="109"/>
      <c r="D188" s="109"/>
      <c r="E188" s="126" t="s">
        <v>23</v>
      </c>
      <c r="F188" s="127">
        <f>ROUND((F186*F187)/1000,2)</f>
        <v>17.07</v>
      </c>
      <c r="G188" s="106" t="s">
        <v>12</v>
      </c>
      <c r="H188" s="110"/>
      <c r="I188" s="111"/>
      <c r="J188"/>
      <c r="K188"/>
    </row>
    <row r="189" spans="1:16" s="77" customFormat="1" ht="12.75" hidden="1" customHeight="1" x14ac:dyDescent="0.2">
      <c r="A189" s="113"/>
      <c r="B189" s="114"/>
      <c r="C189" s="111"/>
      <c r="D189" s="111"/>
      <c r="E189" s="111"/>
      <c r="F189" s="111"/>
      <c r="G189" s="111"/>
      <c r="H189" s="111"/>
      <c r="I189" s="111"/>
      <c r="J189"/>
      <c r="K189"/>
    </row>
    <row r="190" spans="1:16" ht="12.75" hidden="1" customHeight="1" x14ac:dyDescent="0.2">
      <c r="A190" s="5" t="s">
        <v>7</v>
      </c>
      <c r="H190" s="18">
        <f>F188</f>
        <v>17.07</v>
      </c>
      <c r="I190" s="5" t="s">
        <v>31</v>
      </c>
    </row>
    <row r="191" spans="1:16" ht="12.75" hidden="1" customHeight="1" x14ac:dyDescent="0.2">
      <c r="A191" s="5" t="s">
        <v>8</v>
      </c>
      <c r="H191" s="18"/>
      <c r="I191" s="5" t="s">
        <v>31</v>
      </c>
    </row>
    <row r="192" spans="1:16" ht="12.75" hidden="1" customHeight="1" x14ac:dyDescent="0.2">
      <c r="A192" s="5" t="s">
        <v>9</v>
      </c>
      <c r="H192" s="18">
        <f>H190+H191</f>
        <v>17.07</v>
      </c>
      <c r="I192" s="5" t="s">
        <v>31</v>
      </c>
    </row>
    <row r="193" spans="1:16" ht="12.75" hidden="1" customHeight="1" x14ac:dyDescent="0.2">
      <c r="A193" s="8"/>
      <c r="B193" s="8"/>
      <c r="C193" s="8"/>
    </row>
    <row r="194" spans="1:16" ht="15" hidden="1" customHeight="1" x14ac:dyDescent="0.2">
      <c r="A194" s="1" t="str">
        <f>'BM04'!A31</f>
        <v>1.3.7</v>
      </c>
      <c r="B194" s="290" t="str">
        <f>'BM04'!B31</f>
        <v>TSD EXCLUSIVE FORNECIMENTO DA EMULSÃO</v>
      </c>
      <c r="C194" s="290"/>
      <c r="D194" s="290"/>
      <c r="E194" s="290"/>
      <c r="F194" s="290"/>
      <c r="G194" s="290"/>
      <c r="H194" s="290"/>
      <c r="I194" s="290"/>
      <c r="J194" s="22"/>
      <c r="K194" s="21"/>
      <c r="N194" s="22"/>
      <c r="O194" s="21"/>
      <c r="P194" s="21"/>
    </row>
    <row r="195" spans="1:16" ht="12.75" hidden="1" customHeight="1" x14ac:dyDescent="0.2">
      <c r="G195" s="6"/>
      <c r="J195"/>
      <c r="K195"/>
      <c r="N195" s="22"/>
      <c r="O195" s="21"/>
      <c r="P195" s="21"/>
    </row>
    <row r="196" spans="1:16" s="77" customFormat="1" ht="12.75" hidden="1" customHeight="1" x14ac:dyDescent="0.2">
      <c r="A196" s="324" t="s">
        <v>0</v>
      </c>
      <c r="B196" s="325"/>
      <c r="C196" s="325"/>
      <c r="D196" s="326"/>
      <c r="E196" s="327" t="s">
        <v>1</v>
      </c>
      <c r="F196" s="327" t="s">
        <v>2</v>
      </c>
      <c r="G196" s="336" t="s">
        <v>3</v>
      </c>
      <c r="H196" s="336" t="s">
        <v>136</v>
      </c>
      <c r="I196" s="115"/>
      <c r="J196"/>
      <c r="K196"/>
    </row>
    <row r="197" spans="1:16" s="77" customFormat="1" ht="12.75" hidden="1" customHeight="1" x14ac:dyDescent="0.2">
      <c r="A197" s="75" t="s">
        <v>10</v>
      </c>
      <c r="B197" s="75" t="s">
        <v>11</v>
      </c>
      <c r="C197" s="75" t="s">
        <v>10</v>
      </c>
      <c r="D197" s="75" t="s">
        <v>11</v>
      </c>
      <c r="E197" s="328"/>
      <c r="F197" s="328"/>
      <c r="G197" s="337"/>
      <c r="H197" s="337"/>
      <c r="I197" s="115"/>
      <c r="J197"/>
      <c r="K197"/>
    </row>
    <row r="198" spans="1:16" s="77" customFormat="1" ht="12.75" hidden="1" customHeight="1" x14ac:dyDescent="0.2">
      <c r="A198" s="116"/>
      <c r="B198" s="94"/>
      <c r="C198" s="116"/>
      <c r="D198" s="94"/>
      <c r="E198" s="94">
        <v>2188.1196153846149</v>
      </c>
      <c r="F198" s="94">
        <v>6.5</v>
      </c>
      <c r="G198" s="94">
        <f>(E198*F198)</f>
        <v>14222.777499999997</v>
      </c>
      <c r="H198" s="117"/>
      <c r="I198" s="118"/>
      <c r="J198"/>
      <c r="K198"/>
    </row>
    <row r="199" spans="1:16" s="77" customFormat="1" ht="12.75" hidden="1" customHeight="1" x14ac:dyDescent="0.2">
      <c r="A199" s="119"/>
      <c r="B199" s="93"/>
      <c r="C199" s="92"/>
      <c r="D199" s="93"/>
      <c r="E199" s="93">
        <f>((C199-A199)*20+(D199-B199))</f>
        <v>0</v>
      </c>
      <c r="F199" s="93"/>
      <c r="G199" s="93">
        <f>E199*F199</f>
        <v>0</v>
      </c>
      <c r="H199" s="120"/>
      <c r="I199" s="118"/>
      <c r="J199"/>
      <c r="K199"/>
    </row>
    <row r="200" spans="1:16" s="77" customFormat="1" ht="12.75" hidden="1" customHeight="1" x14ac:dyDescent="0.2">
      <c r="A200" s="88"/>
      <c r="B200" s="97"/>
      <c r="C200" s="88"/>
      <c r="D200" s="97"/>
      <c r="E200" s="97"/>
      <c r="F200" s="97"/>
      <c r="G200" s="97"/>
      <c r="H200" s="338"/>
      <c r="I200" s="339"/>
      <c r="J200"/>
      <c r="K200"/>
    </row>
    <row r="201" spans="1:16" s="77" customFormat="1" ht="12.75" hidden="1" customHeight="1" x14ac:dyDescent="0.2">
      <c r="A201" s="88"/>
      <c r="B201" s="97"/>
      <c r="C201" s="88"/>
      <c r="D201" s="97"/>
      <c r="E201" s="97"/>
      <c r="F201" s="128" t="s">
        <v>19</v>
      </c>
      <c r="G201" s="129">
        <f>SUM(G198:G200)</f>
        <v>14222.777499999997</v>
      </c>
      <c r="H201" s="130" t="s">
        <v>41</v>
      </c>
      <c r="I201" s="118"/>
      <c r="J201"/>
      <c r="K201"/>
    </row>
    <row r="202" spans="1:16" s="77" customFormat="1" ht="12.75" hidden="1" customHeight="1" x14ac:dyDescent="0.2">
      <c r="A202" s="88"/>
      <c r="B202" s="97"/>
      <c r="C202" s="88"/>
      <c r="D202" s="97"/>
      <c r="E202" s="97"/>
      <c r="F202" s="97"/>
      <c r="G202" s="97"/>
      <c r="H202" s="97"/>
      <c r="I202" s="118"/>
      <c r="J202"/>
      <c r="K202"/>
    </row>
    <row r="203" spans="1:16" ht="12.75" hidden="1" customHeight="1" x14ac:dyDescent="0.2">
      <c r="A203" s="5" t="s">
        <v>7</v>
      </c>
      <c r="H203" s="18">
        <f>G201</f>
        <v>14222.777499999997</v>
      </c>
      <c r="I203" s="5" t="s">
        <v>41</v>
      </c>
    </row>
    <row r="204" spans="1:16" ht="12.75" hidden="1" customHeight="1" x14ac:dyDescent="0.2">
      <c r="A204" s="5" t="s">
        <v>8</v>
      </c>
      <c r="H204" s="7"/>
      <c r="I204" s="5" t="s">
        <v>41</v>
      </c>
    </row>
    <row r="205" spans="1:16" ht="12.75" hidden="1" customHeight="1" x14ac:dyDescent="0.2">
      <c r="A205" s="5" t="s">
        <v>9</v>
      </c>
      <c r="H205" s="7">
        <f>H203+H204</f>
        <v>14222.777499999997</v>
      </c>
      <c r="I205" s="5" t="s">
        <v>41</v>
      </c>
    </row>
    <row r="206" spans="1:16" ht="12.75" hidden="1" customHeight="1" x14ac:dyDescent="0.2">
      <c r="H206" s="20"/>
    </row>
    <row r="207" spans="1:16" ht="12.75" hidden="1" customHeight="1" x14ac:dyDescent="0.2">
      <c r="A207" s="5" t="str">
        <f>'BM04'!A32</f>
        <v>1.3.8</v>
      </c>
      <c r="B207" s="5" t="str">
        <f>'BM04'!B32</f>
        <v>BASE ESTAB. GRANUL.C/MISTURA EXCLUSIVE TRANSPORTE (MATERIAL DE JAZIDA)</v>
      </c>
      <c r="H207" s="20"/>
    </row>
    <row r="208" spans="1:16" ht="12.75" hidden="1" customHeight="1" x14ac:dyDescent="0.2">
      <c r="H208" s="20"/>
    </row>
    <row r="209" spans="1:9" ht="12.75" hidden="1" customHeight="1" x14ac:dyDescent="0.2">
      <c r="A209" s="324" t="s">
        <v>0</v>
      </c>
      <c r="B209" s="325"/>
      <c r="C209" s="325"/>
      <c r="D209" s="326"/>
      <c r="E209" s="327" t="s">
        <v>1</v>
      </c>
      <c r="F209" s="327" t="s">
        <v>2</v>
      </c>
      <c r="G209" s="336" t="s">
        <v>139</v>
      </c>
      <c r="H209" s="336" t="s">
        <v>129</v>
      </c>
      <c r="I209" s="336" t="s">
        <v>136</v>
      </c>
    </row>
    <row r="210" spans="1:9" ht="12.75" hidden="1" customHeight="1" x14ac:dyDescent="0.2">
      <c r="A210" s="75" t="s">
        <v>10</v>
      </c>
      <c r="B210" s="75" t="s">
        <v>11</v>
      </c>
      <c r="C210" s="75" t="s">
        <v>10</v>
      </c>
      <c r="D210" s="75" t="s">
        <v>11</v>
      </c>
      <c r="E210" s="328"/>
      <c r="F210" s="328"/>
      <c r="G210" s="337"/>
      <c r="H210" s="337"/>
      <c r="I210" s="337"/>
    </row>
    <row r="211" spans="1:9" ht="12.75" hidden="1" customHeight="1" x14ac:dyDescent="0.2">
      <c r="A211" s="92"/>
      <c r="B211" s="93"/>
      <c r="C211" s="92"/>
      <c r="D211" s="94"/>
      <c r="E211" s="94">
        <f>(C211-A211)*20+D211-B211</f>
        <v>0</v>
      </c>
      <c r="F211" s="94"/>
      <c r="G211" s="94"/>
      <c r="H211" s="94">
        <f>E211*F211*G211</f>
        <v>0</v>
      </c>
      <c r="I211" s="95"/>
    </row>
    <row r="212" spans="1:9" ht="12.75" hidden="1" customHeight="1" x14ac:dyDescent="0.2">
      <c r="A212" s="92" t="s">
        <v>197</v>
      </c>
      <c r="B212" s="93"/>
      <c r="C212" s="92"/>
      <c r="D212" s="97"/>
      <c r="E212" s="73">
        <f>E198</f>
        <v>2188.1196153846149</v>
      </c>
      <c r="F212" s="73">
        <v>7.3</v>
      </c>
      <c r="G212" s="93">
        <v>0.2</v>
      </c>
      <c r="H212" s="93">
        <f>E212*F212*G212</f>
        <v>3194.6546384615376</v>
      </c>
      <c r="I212" s="96"/>
    </row>
    <row r="213" spans="1:9" ht="12.75" hidden="1" customHeight="1" x14ac:dyDescent="0.2">
      <c r="A213" s="98"/>
      <c r="B213" s="73"/>
      <c r="C213" s="99"/>
      <c r="D213" s="97"/>
      <c r="E213" s="73">
        <f t="shared" ref="E213" si="0">((C213-A213)*20+(D213-B213))</f>
        <v>0</v>
      </c>
      <c r="F213" s="73"/>
      <c r="G213" s="73"/>
      <c r="H213" s="93"/>
      <c r="I213" s="100"/>
    </row>
    <row r="214" spans="1:9" ht="12.75" hidden="1" customHeight="1" x14ac:dyDescent="0.2">
      <c r="A214" s="98"/>
      <c r="B214" s="73"/>
      <c r="C214" s="99"/>
      <c r="D214" s="97"/>
      <c r="E214" s="73"/>
      <c r="F214" s="73"/>
      <c r="G214" s="101"/>
      <c r="H214" s="102"/>
      <c r="I214" s="103"/>
    </row>
    <row r="215" spans="1:9" ht="12.75" hidden="1" customHeight="1" x14ac:dyDescent="0.2">
      <c r="A215" s="88"/>
      <c r="B215" s="97"/>
      <c r="C215" s="88"/>
      <c r="D215" s="97"/>
      <c r="E215" s="97"/>
      <c r="F215" s="97"/>
      <c r="G215" s="104" t="s">
        <v>140</v>
      </c>
      <c r="H215" s="105">
        <f>SUM(H212:H212)</f>
        <v>3194.6546384615376</v>
      </c>
      <c r="I215" s="10" t="s">
        <v>93</v>
      </c>
    </row>
    <row r="216" spans="1:9" ht="12.75" hidden="1" customHeight="1" x14ac:dyDescent="0.2">
      <c r="H216" s="7"/>
    </row>
    <row r="217" spans="1:9" ht="12.75" hidden="1" customHeight="1" x14ac:dyDescent="0.2">
      <c r="A217" s="5" t="s">
        <v>7</v>
      </c>
      <c r="H217" s="18">
        <f>H215</f>
        <v>3194.6546384615376</v>
      </c>
      <c r="I217" s="5" t="s">
        <v>93</v>
      </c>
    </row>
    <row r="218" spans="1:9" ht="12.75" hidden="1" customHeight="1" x14ac:dyDescent="0.2">
      <c r="A218" s="5" t="s">
        <v>8</v>
      </c>
      <c r="H218" s="20"/>
      <c r="I218" s="5" t="s">
        <v>93</v>
      </c>
    </row>
    <row r="219" spans="1:9" ht="12.75" hidden="1" customHeight="1" x14ac:dyDescent="0.2">
      <c r="A219" s="5" t="s">
        <v>9</v>
      </c>
      <c r="H219" s="20">
        <f>H217+H218</f>
        <v>3194.6546384615376</v>
      </c>
      <c r="I219" s="5" t="s">
        <v>93</v>
      </c>
    </row>
    <row r="220" spans="1:9" ht="12.75" hidden="1" customHeight="1" x14ac:dyDescent="0.2">
      <c r="H220" s="20"/>
    </row>
    <row r="221" spans="1:9" ht="12.75" hidden="1" customHeight="1" x14ac:dyDescent="0.2">
      <c r="H221" s="20"/>
    </row>
    <row r="222" spans="1:9" ht="12.75" hidden="1" customHeight="1" x14ac:dyDescent="0.2">
      <c r="A222" s="5" t="str">
        <f>'BM04'!A33</f>
        <v>1.3.9</v>
      </c>
      <c r="B222" s="5" t="str">
        <f>'BM04'!B33</f>
        <v>SUB-BASE ESTAB. GRANUL.S/MISTURA EXCLUSIVE TRANSP (MATERIAL DE JAZIDA).</v>
      </c>
      <c r="H222" s="20"/>
    </row>
    <row r="223" spans="1:9" ht="12.75" hidden="1" customHeight="1" x14ac:dyDescent="0.2">
      <c r="H223" s="20"/>
    </row>
    <row r="224" spans="1:9" ht="12.75" hidden="1" customHeight="1" x14ac:dyDescent="0.2">
      <c r="A224" s="324" t="s">
        <v>0</v>
      </c>
      <c r="B224" s="325"/>
      <c r="C224" s="325"/>
      <c r="D224" s="326"/>
      <c r="E224" s="327" t="s">
        <v>1</v>
      </c>
      <c r="F224" s="327" t="s">
        <v>2</v>
      </c>
      <c r="G224" s="336" t="s">
        <v>139</v>
      </c>
      <c r="H224" s="336" t="s">
        <v>129</v>
      </c>
      <c r="I224" s="336" t="s">
        <v>136</v>
      </c>
    </row>
    <row r="225" spans="1:9" ht="12.75" hidden="1" customHeight="1" x14ac:dyDescent="0.2">
      <c r="A225" s="75" t="s">
        <v>10</v>
      </c>
      <c r="B225" s="75" t="s">
        <v>11</v>
      </c>
      <c r="C225" s="75" t="s">
        <v>10</v>
      </c>
      <c r="D225" s="75" t="s">
        <v>11</v>
      </c>
      <c r="E225" s="328"/>
      <c r="F225" s="328"/>
      <c r="G225" s="337"/>
      <c r="H225" s="337"/>
      <c r="I225" s="337"/>
    </row>
    <row r="226" spans="1:9" ht="12.75" hidden="1" customHeight="1" x14ac:dyDescent="0.2">
      <c r="A226" s="92"/>
      <c r="B226" s="93"/>
      <c r="C226" s="92"/>
      <c r="D226" s="94"/>
      <c r="E226" s="94">
        <f>(C226-A226)*20+D226-B226</f>
        <v>0</v>
      </c>
      <c r="F226" s="94"/>
      <c r="G226" s="94"/>
      <c r="H226" s="94">
        <f>E226*F226*G226</f>
        <v>0</v>
      </c>
      <c r="I226" s="95"/>
    </row>
    <row r="227" spans="1:9" ht="12.75" hidden="1" customHeight="1" x14ac:dyDescent="0.2">
      <c r="A227" s="92" t="s">
        <v>194</v>
      </c>
      <c r="B227" s="93"/>
      <c r="C227" s="92"/>
      <c r="D227" s="97"/>
      <c r="E227" s="73">
        <f>E212</f>
        <v>2188.1196153846149</v>
      </c>
      <c r="F227" s="73">
        <v>7.7</v>
      </c>
      <c r="G227" s="93">
        <v>0.2</v>
      </c>
      <c r="H227" s="93">
        <f>E227*F227*G227</f>
        <v>3369.7042076923071</v>
      </c>
      <c r="I227" s="96"/>
    </row>
    <row r="228" spans="1:9" ht="12.75" hidden="1" customHeight="1" x14ac:dyDescent="0.2">
      <c r="A228" s="98"/>
      <c r="B228" s="73"/>
      <c r="C228" s="99"/>
      <c r="D228" s="97"/>
      <c r="E228" s="73">
        <f t="shared" ref="E228" si="1">((C228-A228)*20+(D228-B228))</f>
        <v>0</v>
      </c>
      <c r="F228" s="73"/>
      <c r="G228" s="73"/>
      <c r="H228" s="93"/>
      <c r="I228" s="100"/>
    </row>
    <row r="229" spans="1:9" ht="12.75" hidden="1" customHeight="1" x14ac:dyDescent="0.2">
      <c r="A229" s="98"/>
      <c r="B229" s="73"/>
      <c r="C229" s="99"/>
      <c r="D229" s="97"/>
      <c r="E229" s="73"/>
      <c r="F229" s="73"/>
      <c r="G229" s="101"/>
      <c r="H229" s="102"/>
      <c r="I229" s="103"/>
    </row>
    <row r="230" spans="1:9" ht="12.75" hidden="1" customHeight="1" x14ac:dyDescent="0.2">
      <c r="A230" s="88"/>
      <c r="B230" s="97"/>
      <c r="C230" s="88"/>
      <c r="D230" s="97"/>
      <c r="E230" s="97"/>
      <c r="F230" s="97"/>
      <c r="G230" s="104" t="s">
        <v>140</v>
      </c>
      <c r="H230" s="105">
        <f>SUM(H227:H227)</f>
        <v>3369.7042076923071</v>
      </c>
      <c r="I230" s="10" t="s">
        <v>93</v>
      </c>
    </row>
    <row r="231" spans="1:9" ht="12.75" hidden="1" customHeight="1" x14ac:dyDescent="0.2">
      <c r="H231" s="7"/>
    </row>
    <row r="232" spans="1:9" ht="12.75" hidden="1" customHeight="1" x14ac:dyDescent="0.2">
      <c r="A232" s="5" t="s">
        <v>7</v>
      </c>
      <c r="H232" s="18">
        <f>H230</f>
        <v>3369.7042076923071</v>
      </c>
      <c r="I232" s="5" t="s">
        <v>93</v>
      </c>
    </row>
    <row r="233" spans="1:9" ht="12.75" hidden="1" customHeight="1" x14ac:dyDescent="0.2">
      <c r="A233" s="5" t="s">
        <v>8</v>
      </c>
      <c r="H233" s="20"/>
      <c r="I233" s="5" t="s">
        <v>93</v>
      </c>
    </row>
    <row r="234" spans="1:9" ht="12.75" hidden="1" customHeight="1" x14ac:dyDescent="0.2">
      <c r="A234" s="5" t="s">
        <v>9</v>
      </c>
      <c r="H234" s="20">
        <f>H232+H233</f>
        <v>3369.7042076923071</v>
      </c>
      <c r="I234" s="5" t="s">
        <v>93</v>
      </c>
    </row>
    <row r="235" spans="1:9" ht="12.75" hidden="1" customHeight="1" x14ac:dyDescent="0.2">
      <c r="H235" s="20"/>
    </row>
    <row r="236" spans="1:9" ht="12.75" hidden="1" customHeight="1" x14ac:dyDescent="0.2">
      <c r="A236" s="5" t="str">
        <f>'BM04'!A34</f>
        <v>1.3.10</v>
      </c>
      <c r="B236" s="5" t="str">
        <f>'BM04'!B34</f>
        <v>TRANSPORTE DE SOLO/AREIA EM CAMINHAO BASCULANTE ROD NPAV</v>
      </c>
      <c r="H236" s="20"/>
    </row>
    <row r="237" spans="1:9" ht="12.75" hidden="1" customHeight="1" x14ac:dyDescent="0.2">
      <c r="H237" s="20"/>
    </row>
    <row r="238" spans="1:9" ht="12.75" hidden="1" customHeight="1" x14ac:dyDescent="0.2">
      <c r="A238" s="329" t="s">
        <v>0</v>
      </c>
      <c r="B238" s="330"/>
      <c r="C238" s="330"/>
      <c r="D238" s="331"/>
      <c r="E238" s="322" t="s">
        <v>158</v>
      </c>
      <c r="F238" s="322" t="s">
        <v>159</v>
      </c>
      <c r="G238" s="322" t="s">
        <v>35</v>
      </c>
      <c r="H238" s="322" t="s">
        <v>5</v>
      </c>
      <c r="I238" s="322" t="s">
        <v>136</v>
      </c>
    </row>
    <row r="239" spans="1:9" ht="12.75" hidden="1" customHeight="1" x14ac:dyDescent="0.2">
      <c r="A239" s="71" t="s">
        <v>10</v>
      </c>
      <c r="B239" s="71" t="s">
        <v>11</v>
      </c>
      <c r="C239" s="71" t="s">
        <v>10</v>
      </c>
      <c r="D239" s="71" t="s">
        <v>11</v>
      </c>
      <c r="E239" s="323"/>
      <c r="F239" s="323"/>
      <c r="G239" s="323"/>
      <c r="H239" s="323"/>
      <c r="I239" s="323"/>
    </row>
    <row r="240" spans="1:9" ht="12.75" hidden="1" customHeight="1" x14ac:dyDescent="0.2">
      <c r="A240" s="86"/>
      <c r="B240" s="86"/>
      <c r="C240" s="86"/>
      <c r="D240" s="86"/>
      <c r="E240" s="87"/>
      <c r="F240" s="86"/>
      <c r="G240" s="87"/>
      <c r="H240" s="87"/>
      <c r="I240" s="85"/>
    </row>
    <row r="241" spans="1:9" ht="12.75" hidden="1" customHeight="1" x14ac:dyDescent="0.2">
      <c r="A241" s="23" t="s">
        <v>195</v>
      </c>
      <c r="B241" s="1"/>
      <c r="C241" s="1" t="s">
        <v>194</v>
      </c>
      <c r="D241" s="1"/>
      <c r="E241" s="190">
        <f>H230</f>
        <v>3369.7042076923071</v>
      </c>
      <c r="F241" s="86">
        <v>2.04</v>
      </c>
      <c r="G241" s="87">
        <v>9</v>
      </c>
      <c r="H241" s="87">
        <f>E241*F241*G241</f>
        <v>61867.769253230756</v>
      </c>
      <c r="I241" s="85"/>
    </row>
    <row r="242" spans="1:9" ht="12.75" hidden="1" customHeight="1" x14ac:dyDescent="0.2">
      <c r="A242" s="23" t="s">
        <v>201</v>
      </c>
      <c r="B242" s="89"/>
      <c r="C242" s="90" t="s">
        <v>197</v>
      </c>
      <c r="D242" s="89"/>
      <c r="E242" s="190">
        <f>H219</f>
        <v>3194.6546384615376</v>
      </c>
      <c r="F242" s="91">
        <v>2.15</v>
      </c>
      <c r="G242" s="91">
        <v>19</v>
      </c>
      <c r="H242" s="87">
        <f>E242*F242*G242</f>
        <v>130501.64198115381</v>
      </c>
      <c r="I242" s="85"/>
    </row>
    <row r="243" spans="1:9" ht="12.75" hidden="1" customHeight="1" x14ac:dyDescent="0.2">
      <c r="A243" s="88"/>
      <c r="B243" s="89"/>
      <c r="C243" s="90"/>
      <c r="D243" s="89"/>
      <c r="E243" s="91"/>
      <c r="F243" s="91"/>
      <c r="G243" s="123" t="s">
        <v>18</v>
      </c>
      <c r="H243" s="124">
        <f>H241+H242</f>
        <v>192369.41123438458</v>
      </c>
      <c r="I243" s="125" t="s">
        <v>42</v>
      </c>
    </row>
    <row r="244" spans="1:9" ht="12.75" hidden="1" customHeight="1" x14ac:dyDescent="0.2">
      <c r="A244" s="90"/>
      <c r="B244" s="89"/>
      <c r="C244" s="90"/>
      <c r="D244" s="89"/>
      <c r="E244" s="89"/>
      <c r="F244" s="77"/>
      <c r="G244" s="77"/>
      <c r="H244" s="77"/>
      <c r="I244" s="85"/>
    </row>
    <row r="245" spans="1:9" ht="12.75" hidden="1" customHeight="1" x14ac:dyDescent="0.2">
      <c r="G245" s="6"/>
    </row>
    <row r="246" spans="1:9" ht="12.75" hidden="1" customHeight="1" x14ac:dyDescent="0.2">
      <c r="A246" s="5" t="s">
        <v>7</v>
      </c>
      <c r="H246" s="191">
        <f>H243</f>
        <v>192369.41123438458</v>
      </c>
      <c r="I246" s="5" t="s">
        <v>42</v>
      </c>
    </row>
    <row r="247" spans="1:9" ht="12.75" hidden="1" customHeight="1" x14ac:dyDescent="0.2">
      <c r="A247" s="5" t="s">
        <v>8</v>
      </c>
      <c r="H247" s="192"/>
      <c r="I247" s="5" t="s">
        <v>42</v>
      </c>
    </row>
    <row r="248" spans="1:9" ht="12.75" hidden="1" customHeight="1" x14ac:dyDescent="0.2">
      <c r="A248" s="5" t="s">
        <v>9</v>
      </c>
      <c r="H248" s="193">
        <f>H243</f>
        <v>192369.41123438458</v>
      </c>
      <c r="I248" s="5" t="s">
        <v>42</v>
      </c>
    </row>
    <row r="249" spans="1:9" ht="12.75" hidden="1" customHeight="1" x14ac:dyDescent="0.2">
      <c r="H249" s="193"/>
    </row>
    <row r="250" spans="1:9" ht="12.75" hidden="1" customHeight="1" x14ac:dyDescent="0.2">
      <c r="A250" s="5" t="str">
        <f>'BM04'!A35</f>
        <v>1.3.11</v>
      </c>
      <c r="B250" s="5" t="str">
        <f>'BM04'!B35</f>
        <v>IMPRIMACAO EXCLUSIVE LIGANTE</v>
      </c>
      <c r="H250" s="193"/>
    </row>
    <row r="251" spans="1:9" ht="12.75" hidden="1" customHeight="1" x14ac:dyDescent="0.2">
      <c r="H251" s="193"/>
    </row>
    <row r="252" spans="1:9" ht="12.75" hidden="1" customHeight="1" x14ac:dyDescent="0.2">
      <c r="A252" s="324" t="s">
        <v>0</v>
      </c>
      <c r="B252" s="325"/>
      <c r="C252" s="325"/>
      <c r="D252" s="326"/>
      <c r="E252" s="327" t="s">
        <v>1</v>
      </c>
      <c r="F252" s="327" t="s">
        <v>2</v>
      </c>
      <c r="G252" s="336" t="s">
        <v>3</v>
      </c>
      <c r="H252" s="336" t="s">
        <v>136</v>
      </c>
      <c r="I252" s="115"/>
    </row>
    <row r="253" spans="1:9" ht="12.75" hidden="1" customHeight="1" x14ac:dyDescent="0.2">
      <c r="A253" s="75" t="s">
        <v>10</v>
      </c>
      <c r="B253" s="75" t="s">
        <v>11</v>
      </c>
      <c r="C253" s="75" t="s">
        <v>10</v>
      </c>
      <c r="D253" s="75" t="s">
        <v>11</v>
      </c>
      <c r="E253" s="328"/>
      <c r="F253" s="328"/>
      <c r="G253" s="337"/>
      <c r="H253" s="337"/>
      <c r="I253" s="115"/>
    </row>
    <row r="254" spans="1:9" ht="12.75" hidden="1" customHeight="1" x14ac:dyDescent="0.2">
      <c r="A254" s="116"/>
      <c r="B254" s="94"/>
      <c r="C254" s="116"/>
      <c r="D254" s="94"/>
      <c r="E254" s="94">
        <f>E227</f>
        <v>2188.1196153846149</v>
      </c>
      <c r="F254" s="94">
        <v>6.5</v>
      </c>
      <c r="G254" s="94">
        <f>E254*F254</f>
        <v>14222.777499999997</v>
      </c>
      <c r="H254" s="117"/>
      <c r="I254" s="118"/>
    </row>
    <row r="255" spans="1:9" ht="12.75" hidden="1" customHeight="1" x14ac:dyDescent="0.2">
      <c r="A255" s="119"/>
      <c r="B255" s="93"/>
      <c r="C255" s="92"/>
      <c r="D255" s="93"/>
      <c r="E255" s="93">
        <f>((C255-A255)*20+(D255-B255))</f>
        <v>0</v>
      </c>
      <c r="F255" s="93"/>
      <c r="G255" s="93">
        <f>E255*F255</f>
        <v>0</v>
      </c>
      <c r="H255" s="120"/>
      <c r="I255" s="118"/>
    </row>
    <row r="256" spans="1:9" ht="12.75" hidden="1" customHeight="1" x14ac:dyDescent="0.2">
      <c r="A256" s="88"/>
      <c r="B256" s="97"/>
      <c r="C256" s="88"/>
      <c r="D256" s="97"/>
      <c r="E256" s="97"/>
      <c r="F256" s="97"/>
      <c r="G256" s="97"/>
      <c r="H256" s="338"/>
      <c r="I256" s="339"/>
    </row>
    <row r="257" spans="1:9" ht="12.75" hidden="1" customHeight="1" x14ac:dyDescent="0.2">
      <c r="A257" s="88"/>
      <c r="B257" s="97"/>
      <c r="C257" s="88"/>
      <c r="D257" s="97"/>
      <c r="E257" s="97"/>
      <c r="F257" s="128" t="s">
        <v>19</v>
      </c>
      <c r="G257" s="129">
        <f>SUM(G254:G256)</f>
        <v>14222.777499999997</v>
      </c>
      <c r="H257" s="130" t="s">
        <v>41</v>
      </c>
      <c r="I257" s="118"/>
    </row>
    <row r="258" spans="1:9" ht="12.75" hidden="1" customHeight="1" x14ac:dyDescent="0.2">
      <c r="A258" s="88"/>
      <c r="B258" s="97"/>
      <c r="C258" s="88"/>
      <c r="D258" s="97"/>
      <c r="E258" s="97"/>
      <c r="F258" s="97"/>
      <c r="G258" s="97"/>
      <c r="H258" s="97"/>
      <c r="I258" s="118"/>
    </row>
    <row r="259" spans="1:9" ht="12.75" hidden="1" customHeight="1" x14ac:dyDescent="0.2">
      <c r="A259" s="5" t="s">
        <v>7</v>
      </c>
      <c r="H259" s="18">
        <f>G257</f>
        <v>14222.777499999997</v>
      </c>
      <c r="I259" s="5" t="s">
        <v>41</v>
      </c>
    </row>
    <row r="260" spans="1:9" ht="12.75" hidden="1" customHeight="1" x14ac:dyDescent="0.2">
      <c r="A260" s="5" t="s">
        <v>8</v>
      </c>
      <c r="H260" s="7"/>
      <c r="I260" s="5" t="s">
        <v>41</v>
      </c>
    </row>
    <row r="261" spans="1:9" ht="12.75" hidden="1" customHeight="1" x14ac:dyDescent="0.2">
      <c r="A261" s="5" t="s">
        <v>9</v>
      </c>
      <c r="H261" s="7">
        <f>H259+H260</f>
        <v>14222.777499999997</v>
      </c>
      <c r="I261" s="5" t="s">
        <v>41</v>
      </c>
    </row>
    <row r="262" spans="1:9" ht="12.75" hidden="1" customHeight="1" x14ac:dyDescent="0.2">
      <c r="H262" s="20"/>
    </row>
    <row r="263" spans="1:9" ht="12.75" hidden="1" customHeight="1" x14ac:dyDescent="0.2">
      <c r="A263" s="5" t="str">
        <f>'BM04'!A36</f>
        <v>1.3.12</v>
      </c>
      <c r="B263" s="5" t="str">
        <f>'BM04'!B36</f>
        <v>TRANSPORTE DE MATERIAIS ASFALTICO A FRIO</v>
      </c>
      <c r="H263" s="193"/>
    </row>
    <row r="264" spans="1:9" ht="12.75" hidden="1" customHeight="1" x14ac:dyDescent="0.2">
      <c r="H264" s="193"/>
    </row>
    <row r="265" spans="1:9" ht="12.75" hidden="1" customHeight="1" x14ac:dyDescent="0.2">
      <c r="A265" s="311" t="s">
        <v>0</v>
      </c>
      <c r="B265" s="312"/>
      <c r="C265" s="311" t="s">
        <v>0</v>
      </c>
      <c r="D265" s="312"/>
      <c r="E265" s="309" t="s">
        <v>3</v>
      </c>
      <c r="F265" s="309" t="s">
        <v>203</v>
      </c>
      <c r="G265" s="309" t="s">
        <v>204</v>
      </c>
      <c r="H265" s="309" t="s">
        <v>205</v>
      </c>
      <c r="I265" s="309" t="s">
        <v>6</v>
      </c>
    </row>
    <row r="266" spans="1:9" ht="12.75" hidden="1" customHeight="1" x14ac:dyDescent="0.2">
      <c r="A266" s="204" t="s">
        <v>206</v>
      </c>
      <c r="B266" s="204" t="s">
        <v>207</v>
      </c>
      <c r="C266" s="204" t="s">
        <v>206</v>
      </c>
      <c r="D266" s="204" t="s">
        <v>207</v>
      </c>
      <c r="E266" s="310"/>
      <c r="F266" s="310"/>
      <c r="G266" s="310"/>
      <c r="H266" s="310"/>
      <c r="I266" s="310"/>
    </row>
    <row r="267" spans="1:9" ht="12.75" hidden="1" customHeight="1" x14ac:dyDescent="0.2">
      <c r="A267" s="205" t="s">
        <v>208</v>
      </c>
      <c r="B267" s="206"/>
      <c r="C267" s="206"/>
      <c r="D267" s="206"/>
      <c r="E267" s="207">
        <f>H261</f>
        <v>14222.777499999997</v>
      </c>
      <c r="F267" s="208">
        <v>1.2</v>
      </c>
      <c r="G267" s="207">
        <v>465</v>
      </c>
      <c r="H267" s="209">
        <f>(E267*F267*G267)/1000</f>
        <v>7936.3098449999979</v>
      </c>
      <c r="I267" s="210"/>
    </row>
    <row r="268" spans="1:9" ht="12.75" hidden="1" customHeight="1" x14ac:dyDescent="0.2">
      <c r="A268" s="205" t="s">
        <v>209</v>
      </c>
      <c r="B268" s="206"/>
      <c r="C268" s="206"/>
      <c r="D268" s="206"/>
      <c r="E268" s="207">
        <f>E267</f>
        <v>14222.777499999997</v>
      </c>
      <c r="F268" s="208">
        <v>3</v>
      </c>
      <c r="G268" s="207">
        <f>G267</f>
        <v>465</v>
      </c>
      <c r="H268" s="209">
        <f>(E268*F268*G268)/1000</f>
        <v>19840.774612499994</v>
      </c>
      <c r="I268" s="210"/>
    </row>
    <row r="269" spans="1:9" ht="12.75" hidden="1" customHeight="1" x14ac:dyDescent="0.2">
      <c r="A269" s="205" t="s">
        <v>210</v>
      </c>
      <c r="B269" s="206"/>
      <c r="C269" s="206"/>
      <c r="D269" s="206"/>
      <c r="E269" s="207">
        <f>E267</f>
        <v>14222.777499999997</v>
      </c>
      <c r="F269" s="208">
        <v>0.5</v>
      </c>
      <c r="G269" s="207">
        <f>G267</f>
        <v>465</v>
      </c>
      <c r="H269" s="209">
        <f>(E269*F269*G269)/1000</f>
        <v>3306.7957687499993</v>
      </c>
      <c r="I269" s="210"/>
    </row>
    <row r="270" spans="1:9" ht="12.75" hidden="1" customHeight="1" x14ac:dyDescent="0.2">
      <c r="A270" s="206"/>
      <c r="B270" s="206"/>
      <c r="C270" s="206"/>
      <c r="D270" s="206"/>
      <c r="E270" s="207"/>
      <c r="F270" s="207"/>
      <c r="G270" s="207"/>
      <c r="H270" s="207"/>
      <c r="I270" s="210"/>
    </row>
    <row r="271" spans="1:9" ht="12.75" hidden="1" customHeight="1" x14ac:dyDescent="0.2">
      <c r="A271" s="211"/>
      <c r="B271" s="211"/>
      <c r="C271" s="211"/>
      <c r="D271" s="211"/>
      <c r="E271" s="211"/>
      <c r="F271" s="212"/>
      <c r="G271" s="213" t="s">
        <v>18</v>
      </c>
      <c r="H271" s="214">
        <f>SUM(H267:H270)</f>
        <v>31083.880226249992</v>
      </c>
      <c r="I271" s="215" t="s">
        <v>5</v>
      </c>
    </row>
    <row r="272" spans="1:9" ht="12.75" hidden="1" customHeight="1" x14ac:dyDescent="0.2">
      <c r="A272" s="216"/>
      <c r="B272" s="216"/>
      <c r="C272" s="216"/>
      <c r="D272" s="216"/>
      <c r="E272" s="216"/>
      <c r="F272" s="217"/>
      <c r="G272" s="218"/>
      <c r="H272" s="219"/>
      <c r="I272" s="216"/>
    </row>
    <row r="273" spans="1:9" ht="12.75" hidden="1" customHeight="1" x14ac:dyDescent="0.2">
      <c r="A273" s="216" t="s">
        <v>7</v>
      </c>
      <c r="B273" s="216"/>
      <c r="C273" s="216"/>
      <c r="D273" s="216"/>
      <c r="E273" s="216"/>
      <c r="F273" s="216"/>
      <c r="G273" s="216"/>
      <c r="H273" s="220">
        <f>H271</f>
        <v>31083.880226249992</v>
      </c>
      <c r="I273" s="216" t="s">
        <v>5</v>
      </c>
    </row>
    <row r="274" spans="1:9" ht="12.75" hidden="1" customHeight="1" x14ac:dyDescent="0.2">
      <c r="A274" s="216" t="s">
        <v>8</v>
      </c>
      <c r="B274" s="216"/>
      <c r="C274" s="216"/>
      <c r="D274" s="216"/>
      <c r="E274" s="216"/>
      <c r="F274" s="216"/>
      <c r="G274" s="216"/>
      <c r="H274" s="219"/>
      <c r="I274" s="216" t="s">
        <v>5</v>
      </c>
    </row>
    <row r="275" spans="1:9" ht="12.75" hidden="1" customHeight="1" x14ac:dyDescent="0.2">
      <c r="A275" s="216" t="s">
        <v>9</v>
      </c>
      <c r="B275" s="216"/>
      <c r="C275" s="216"/>
      <c r="D275" s="216"/>
      <c r="E275" s="216"/>
      <c r="F275" s="216"/>
      <c r="G275" s="216"/>
      <c r="H275" s="219">
        <f>ROUND(H273+H274,2)</f>
        <v>31083.88</v>
      </c>
      <c r="I275" s="216" t="s">
        <v>5</v>
      </c>
    </row>
    <row r="276" spans="1:9" ht="12.75" hidden="1" customHeight="1" x14ac:dyDescent="0.2">
      <c r="H276" s="193"/>
    </row>
    <row r="277" spans="1:9" ht="12.75" hidden="1" customHeight="1" x14ac:dyDescent="0.2">
      <c r="H277" s="193"/>
    </row>
    <row r="278" spans="1:9" ht="12.75" hidden="1" customHeight="1" x14ac:dyDescent="0.2">
      <c r="A278" s="5" t="str">
        <f>'BM04'!A37</f>
        <v>1.3.13</v>
      </c>
      <c r="B278" s="5" t="str">
        <f>'BM04'!B37</f>
        <v>TRANSPORTE COMERCIAL DE BRITA TSD</v>
      </c>
      <c r="H278" s="193"/>
    </row>
    <row r="279" spans="1:9" ht="12.75" hidden="1" customHeight="1" x14ac:dyDescent="0.2">
      <c r="H279" s="193"/>
    </row>
    <row r="280" spans="1:9" ht="12.75" hidden="1" customHeight="1" x14ac:dyDescent="0.2">
      <c r="A280" s="311" t="s">
        <v>0</v>
      </c>
      <c r="B280" s="312"/>
      <c r="C280" s="311" t="s">
        <v>0</v>
      </c>
      <c r="D280" s="312"/>
      <c r="E280" s="313" t="s">
        <v>3</v>
      </c>
      <c r="F280" s="309" t="s">
        <v>211</v>
      </c>
      <c r="G280" s="315" t="s">
        <v>212</v>
      </c>
      <c r="H280" s="315" t="s">
        <v>35</v>
      </c>
      <c r="I280" s="315" t="s">
        <v>205</v>
      </c>
    </row>
    <row r="281" spans="1:9" ht="12.75" hidden="1" customHeight="1" x14ac:dyDescent="0.2">
      <c r="A281" s="204" t="s">
        <v>206</v>
      </c>
      <c r="B281" s="204" t="s">
        <v>207</v>
      </c>
      <c r="C281" s="204" t="s">
        <v>206</v>
      </c>
      <c r="D281" s="204" t="s">
        <v>207</v>
      </c>
      <c r="E281" s="314"/>
      <c r="F281" s="310"/>
      <c r="G281" s="316"/>
      <c r="H281" s="316"/>
      <c r="I281" s="316"/>
    </row>
    <row r="282" spans="1:9" ht="12.75" hidden="1" customHeight="1" x14ac:dyDescent="0.2">
      <c r="A282" s="221" t="s">
        <v>213</v>
      </c>
      <c r="B282" s="222"/>
      <c r="C282" s="222"/>
      <c r="D282" s="222"/>
      <c r="E282" s="223">
        <f>E267</f>
        <v>14222.777499999997</v>
      </c>
      <c r="F282" s="13">
        <v>22</v>
      </c>
      <c r="G282" s="13">
        <v>1.4</v>
      </c>
      <c r="H282" s="223">
        <v>38</v>
      </c>
      <c r="I282" s="219">
        <f>(E282*F282*G282*H282)/1000</f>
        <v>16646.338785999993</v>
      </c>
    </row>
    <row r="283" spans="1:9" ht="12.75" hidden="1" customHeight="1" x14ac:dyDescent="0.2">
      <c r="A283" s="221" t="s">
        <v>214</v>
      </c>
      <c r="B283" s="222"/>
      <c r="C283" s="222"/>
      <c r="D283" s="222"/>
      <c r="E283" s="223">
        <f>E282</f>
        <v>14222.777499999997</v>
      </c>
      <c r="F283" s="13">
        <v>12</v>
      </c>
      <c r="G283" s="13">
        <v>1.4</v>
      </c>
      <c r="H283" s="223">
        <v>38</v>
      </c>
      <c r="I283" s="219">
        <f>(E283*F283*G283*H283)/1000</f>
        <v>9079.8211559999982</v>
      </c>
    </row>
    <row r="284" spans="1:9" ht="12.75" hidden="1" customHeight="1" x14ac:dyDescent="0.2">
      <c r="A284" s="222"/>
      <c r="B284" s="222"/>
      <c r="C284" s="222"/>
      <c r="D284" s="222"/>
      <c r="E284" s="223"/>
      <c r="F284" s="223"/>
      <c r="G284" s="223"/>
      <c r="H284" s="223"/>
      <c r="I284" s="224"/>
    </row>
    <row r="285" spans="1:9" ht="12.75" hidden="1" customHeight="1" x14ac:dyDescent="0.2">
      <c r="A285" s="216"/>
      <c r="B285" s="216"/>
      <c r="C285" s="216"/>
      <c r="D285" s="216"/>
      <c r="E285" s="216"/>
      <c r="F285" s="217"/>
      <c r="H285" s="225" t="s">
        <v>18</v>
      </c>
      <c r="I285" s="214">
        <f>SUM(I282:I283)</f>
        <v>25726.159941999991</v>
      </c>
    </row>
    <row r="286" spans="1:9" ht="12.75" hidden="1" customHeight="1" x14ac:dyDescent="0.2">
      <c r="H286" s="193"/>
    </row>
    <row r="287" spans="1:9" ht="12.75" hidden="1" customHeight="1" x14ac:dyDescent="0.2">
      <c r="A287" s="216" t="s">
        <v>7</v>
      </c>
      <c r="B287" s="216"/>
      <c r="C287" s="216"/>
      <c r="D287" s="216"/>
      <c r="E287" s="216"/>
      <c r="F287" s="216"/>
      <c r="G287" s="216"/>
      <c r="H287" s="220">
        <f>I285</f>
        <v>25726.159941999991</v>
      </c>
      <c r="I287" s="216" t="s">
        <v>5</v>
      </c>
    </row>
    <row r="288" spans="1:9" ht="12.75" hidden="1" customHeight="1" x14ac:dyDescent="0.2">
      <c r="A288" s="216" t="s">
        <v>8</v>
      </c>
      <c r="B288" s="216"/>
      <c r="C288" s="216"/>
      <c r="D288" s="216"/>
      <c r="E288" s="216"/>
      <c r="F288" s="216"/>
      <c r="G288" s="216"/>
      <c r="H288" s="219"/>
      <c r="I288" s="216" t="s">
        <v>5</v>
      </c>
    </row>
    <row r="289" spans="1:16" ht="12.75" hidden="1" customHeight="1" x14ac:dyDescent="0.2">
      <c r="A289" s="216" t="s">
        <v>9</v>
      </c>
      <c r="B289" s="216"/>
      <c r="C289" s="216"/>
      <c r="D289" s="216"/>
      <c r="E289" s="216"/>
      <c r="F289" s="216"/>
      <c r="G289" s="216"/>
      <c r="H289" s="219">
        <f>ROUND(H287+H288,2)</f>
        <v>25726.16</v>
      </c>
      <c r="I289" s="216" t="s">
        <v>5</v>
      </c>
    </row>
    <row r="290" spans="1:16" ht="12.75" hidden="1" customHeight="1" x14ac:dyDescent="0.2">
      <c r="H290" s="193"/>
    </row>
    <row r="291" spans="1:16" ht="12.75" customHeight="1" x14ac:dyDescent="0.2">
      <c r="H291" s="193"/>
    </row>
    <row r="292" spans="1:16" x14ac:dyDescent="0.2">
      <c r="A292" s="68" t="str">
        <f>'BM04'!A38</f>
        <v>1.4</v>
      </c>
      <c r="B292" s="291" t="str">
        <f>'BM04'!B38</f>
        <v>SINALIZAÇÃO VIÁRIA</v>
      </c>
      <c r="C292" s="291"/>
      <c r="D292" s="291"/>
      <c r="E292" s="291"/>
      <c r="F292" s="291"/>
      <c r="G292" s="291"/>
      <c r="H292" s="291"/>
      <c r="I292" s="291"/>
      <c r="J292" s="22"/>
      <c r="K292" s="21"/>
      <c r="N292" s="22"/>
      <c r="O292" s="21"/>
      <c r="P292" s="21"/>
    </row>
    <row r="293" spans="1:16" x14ac:dyDescent="0.2">
      <c r="A293" s="1"/>
      <c r="B293" s="24"/>
      <c r="C293" s="24"/>
      <c r="D293" s="24"/>
      <c r="E293" s="24"/>
      <c r="F293" s="24"/>
      <c r="G293" s="24"/>
      <c r="H293" s="24"/>
      <c r="I293" s="24"/>
      <c r="J293" s="22"/>
      <c r="K293" s="21"/>
      <c r="N293" s="22"/>
      <c r="O293" s="21"/>
      <c r="P293" s="21"/>
    </row>
    <row r="294" spans="1:16" ht="15" customHeight="1" x14ac:dyDescent="0.2">
      <c r="A294" s="1" t="str">
        <f>'BM04'!A39</f>
        <v>1.4.1</v>
      </c>
      <c r="B294" s="5" t="str">
        <f>'BM04'!B39</f>
        <v>FAIXA DE SINALIZAÇÃO HORIZONTAL - TERMOPLÁSTICO POR ASPERSÃO - E=1,5MM</v>
      </c>
      <c r="J294" s="22"/>
      <c r="K294" s="21"/>
      <c r="N294" s="22"/>
      <c r="O294" s="21"/>
      <c r="P294" s="21"/>
    </row>
    <row r="295" spans="1:16" ht="12.75" customHeight="1" x14ac:dyDescent="0.2">
      <c r="G295" s="6"/>
      <c r="J295" s="22"/>
      <c r="K295" s="21"/>
      <c r="N295" s="22"/>
      <c r="O295" s="21"/>
      <c r="P295" s="21"/>
    </row>
    <row r="296" spans="1:16" x14ac:dyDescent="0.2">
      <c r="A296" s="299" t="s">
        <v>0</v>
      </c>
      <c r="B296" s="300"/>
      <c r="C296" s="299" t="s">
        <v>0</v>
      </c>
      <c r="D296" s="300"/>
      <c r="E296" s="301" t="s">
        <v>13</v>
      </c>
      <c r="F296" s="301" t="s">
        <v>14</v>
      </c>
      <c r="G296" s="287" t="s">
        <v>222</v>
      </c>
      <c r="H296" s="287" t="s">
        <v>16</v>
      </c>
      <c r="I296" s="287" t="s">
        <v>6</v>
      </c>
    </row>
    <row r="297" spans="1:16" x14ac:dyDescent="0.2">
      <c r="A297" s="4" t="s">
        <v>10</v>
      </c>
      <c r="B297" s="4" t="s">
        <v>11</v>
      </c>
      <c r="C297" s="4" t="s">
        <v>10</v>
      </c>
      <c r="D297" s="4" t="s">
        <v>11</v>
      </c>
      <c r="E297" s="302"/>
      <c r="F297" s="302"/>
      <c r="G297" s="289"/>
      <c r="H297" s="288"/>
      <c r="I297" s="289"/>
    </row>
    <row r="298" spans="1:16" x14ac:dyDescent="0.2">
      <c r="A298" s="342" t="s">
        <v>238</v>
      </c>
      <c r="B298" s="342"/>
      <c r="C298" s="342"/>
      <c r="D298" s="342"/>
      <c r="E298" s="342"/>
      <c r="F298" s="342"/>
      <c r="G298" s="342"/>
      <c r="H298" s="342"/>
      <c r="I298" s="342"/>
    </row>
    <row r="299" spans="1:16" x14ac:dyDescent="0.2">
      <c r="A299" s="343"/>
      <c r="B299" s="343"/>
      <c r="C299" s="343"/>
      <c r="D299" s="343"/>
      <c r="E299" s="343"/>
      <c r="F299" s="343"/>
      <c r="G299" s="343"/>
      <c r="H299" s="343"/>
      <c r="I299" s="343"/>
    </row>
    <row r="300" spans="1:16" x14ac:dyDescent="0.2">
      <c r="A300" s="343"/>
      <c r="B300" s="343"/>
      <c r="C300" s="343"/>
      <c r="D300" s="343"/>
      <c r="E300" s="343"/>
      <c r="F300" s="343"/>
      <c r="G300" s="343"/>
      <c r="H300" s="343"/>
      <c r="I300" s="343"/>
    </row>
    <row r="301" spans="1:16" x14ac:dyDescent="0.2">
      <c r="G301" s="121" t="s">
        <v>137</v>
      </c>
      <c r="H301" s="19">
        <v>583.6</v>
      </c>
      <c r="I301" s="10" t="s">
        <v>41</v>
      </c>
      <c r="K301" s="166">
        <f>H301-'BM04'!E39</f>
        <v>-3.5248567394319252E-3</v>
      </c>
    </row>
    <row r="302" spans="1:16" x14ac:dyDescent="0.2">
      <c r="G302" s="12"/>
      <c r="H302" s="3"/>
      <c r="I302" s="14"/>
    </row>
    <row r="303" spans="1:16" ht="12.75" customHeight="1" x14ac:dyDescent="0.2">
      <c r="A303" s="5" t="s">
        <v>7</v>
      </c>
      <c r="H303" s="18">
        <v>0</v>
      </c>
      <c r="I303" s="5" t="s">
        <v>41</v>
      </c>
    </row>
    <row r="304" spans="1:16" ht="12.75" customHeight="1" x14ac:dyDescent="0.2">
      <c r="A304" s="5" t="s">
        <v>8</v>
      </c>
      <c r="H304" s="7">
        <f>H301</f>
        <v>583.6</v>
      </c>
      <c r="I304" s="5" t="s">
        <v>41</v>
      </c>
    </row>
    <row r="305" spans="1:16" ht="12.75" customHeight="1" x14ac:dyDescent="0.2">
      <c r="A305" s="5" t="s">
        <v>9</v>
      </c>
      <c r="H305" s="20">
        <f>H303+H304</f>
        <v>583.6</v>
      </c>
      <c r="I305" s="5" t="s">
        <v>41</v>
      </c>
    </row>
    <row r="306" spans="1:16" ht="12.75" hidden="1" customHeight="1" x14ac:dyDescent="0.2">
      <c r="A306" s="8"/>
      <c r="B306" s="8"/>
      <c r="C306" s="8"/>
    </row>
    <row r="307" spans="1:16" ht="15" hidden="1" customHeight="1" x14ac:dyDescent="0.2">
      <c r="A307" s="1" t="str">
        <f>'BM04'!A40</f>
        <v>1.4.2</v>
      </c>
      <c r="B307" s="290" t="str">
        <f>'BM04'!B40</f>
        <v>FORN. E COLOCAÇÃO DE TACHA REFLET. MONODIRECIONAL</v>
      </c>
      <c r="C307" s="290"/>
      <c r="D307" s="290"/>
      <c r="E307" s="290"/>
      <c r="F307" s="290"/>
      <c r="G307" s="290"/>
      <c r="H307" s="290"/>
      <c r="I307" s="290"/>
      <c r="J307" s="22"/>
      <c r="K307" s="21"/>
      <c r="N307" s="22"/>
      <c r="O307" s="21"/>
      <c r="P307" s="21"/>
    </row>
    <row r="308" spans="1:16" ht="12.75" hidden="1" customHeight="1" x14ac:dyDescent="0.2">
      <c r="G308" s="6"/>
      <c r="J308" s="22"/>
      <c r="K308" s="21"/>
      <c r="N308" s="22"/>
      <c r="O308" s="21"/>
      <c r="P308" s="21"/>
    </row>
    <row r="309" spans="1:16" hidden="1" x14ac:dyDescent="0.2">
      <c r="A309" s="299" t="s">
        <v>0</v>
      </c>
      <c r="B309" s="300"/>
      <c r="C309" s="305" t="s">
        <v>1</v>
      </c>
      <c r="D309" s="306"/>
      <c r="E309" s="287" t="s">
        <v>141</v>
      </c>
      <c r="F309" s="287" t="s">
        <v>34</v>
      </c>
      <c r="G309" s="287" t="s">
        <v>16</v>
      </c>
      <c r="I309" s="11"/>
    </row>
    <row r="310" spans="1:16" hidden="1" x14ac:dyDescent="0.2">
      <c r="A310" s="4" t="s">
        <v>10</v>
      </c>
      <c r="B310" s="4" t="s">
        <v>11</v>
      </c>
      <c r="C310" s="307"/>
      <c r="D310" s="308"/>
      <c r="E310" s="289"/>
      <c r="F310" s="289"/>
      <c r="G310" s="289"/>
      <c r="I310" s="11"/>
    </row>
    <row r="311" spans="1:16" hidden="1" x14ac:dyDescent="0.2">
      <c r="A311" s="14"/>
      <c r="B311" s="14"/>
      <c r="C311" s="1"/>
      <c r="D311" s="1"/>
      <c r="E311" s="13"/>
      <c r="F311" s="15"/>
      <c r="G311" s="16"/>
      <c r="I311" s="11"/>
    </row>
    <row r="312" spans="1:16" hidden="1" x14ac:dyDescent="0.2">
      <c r="A312" s="14"/>
      <c r="B312" s="14"/>
      <c r="C312" s="1"/>
      <c r="D312" s="1"/>
      <c r="E312" s="13"/>
      <c r="F312" s="15"/>
      <c r="G312" s="16"/>
      <c r="I312" s="11"/>
    </row>
    <row r="313" spans="1:16" hidden="1" x14ac:dyDescent="0.2">
      <c r="A313" s="14"/>
      <c r="B313" s="14"/>
      <c r="C313" s="1"/>
      <c r="D313" s="1"/>
      <c r="E313" s="13"/>
      <c r="F313" s="15"/>
      <c r="G313" s="16"/>
      <c r="I313" s="11"/>
    </row>
    <row r="314" spans="1:16" hidden="1" x14ac:dyDescent="0.2">
      <c r="A314" s="14"/>
      <c r="B314" s="14"/>
      <c r="C314" s="1"/>
      <c r="D314" s="1"/>
      <c r="E314" s="13"/>
      <c r="F314" s="15"/>
      <c r="G314" s="16"/>
      <c r="I314" s="11"/>
    </row>
    <row r="315" spans="1:16" hidden="1" x14ac:dyDescent="0.2">
      <c r="A315" s="14"/>
      <c r="B315" s="14"/>
      <c r="C315" s="1"/>
      <c r="D315" s="1"/>
      <c r="E315" s="13"/>
      <c r="F315" s="15"/>
      <c r="G315" s="16"/>
      <c r="I315" s="11"/>
    </row>
    <row r="316" spans="1:16" hidden="1" x14ac:dyDescent="0.2">
      <c r="A316" s="14"/>
      <c r="B316" s="14"/>
      <c r="C316" s="1"/>
      <c r="D316" s="1"/>
      <c r="E316" s="13"/>
      <c r="F316" s="15"/>
      <c r="G316" s="16"/>
      <c r="I316" s="11"/>
    </row>
    <row r="317" spans="1:16" hidden="1" x14ac:dyDescent="0.2">
      <c r="A317" s="14"/>
      <c r="B317" s="14"/>
      <c r="C317" s="1"/>
      <c r="D317" s="1"/>
      <c r="E317" s="13"/>
      <c r="F317" s="15"/>
      <c r="G317" s="16"/>
      <c r="I317" s="11"/>
    </row>
    <row r="318" spans="1:16" hidden="1" x14ac:dyDescent="0.2">
      <c r="A318" s="14"/>
      <c r="B318" s="14"/>
      <c r="C318" s="1"/>
      <c r="D318" s="1"/>
      <c r="E318" s="13"/>
      <c r="F318" s="15"/>
      <c r="G318" s="16"/>
      <c r="I318" s="11"/>
    </row>
    <row r="319" spans="1:16" hidden="1" x14ac:dyDescent="0.2">
      <c r="A319" s="14"/>
      <c r="B319" s="14"/>
      <c r="C319" s="1"/>
      <c r="D319" s="1"/>
      <c r="E319" s="13"/>
      <c r="F319" s="15"/>
      <c r="G319" s="16"/>
      <c r="I319" s="11"/>
    </row>
    <row r="320" spans="1:16" hidden="1" x14ac:dyDescent="0.2">
      <c r="A320" s="14"/>
      <c r="B320" s="14"/>
      <c r="C320" s="1"/>
      <c r="D320" s="1"/>
      <c r="E320" s="13"/>
      <c r="F320" s="9" t="s">
        <v>18</v>
      </c>
      <c r="G320" s="19"/>
      <c r="H320" s="10" t="s">
        <v>94</v>
      </c>
      <c r="I320" s="11"/>
    </row>
    <row r="321" spans="1:16" hidden="1" x14ac:dyDescent="0.2">
      <c r="A321" s="14"/>
      <c r="B321" s="14"/>
      <c r="C321" s="1"/>
      <c r="D321" s="1"/>
      <c r="E321" s="13"/>
      <c r="F321" s="15"/>
      <c r="G321" s="16"/>
      <c r="I321" s="11"/>
    </row>
    <row r="322" spans="1:16" ht="12.75" hidden="1" customHeight="1" x14ac:dyDescent="0.2">
      <c r="A322" s="5" t="s">
        <v>7</v>
      </c>
      <c r="H322" s="18">
        <v>0</v>
      </c>
      <c r="I322" s="5" t="s">
        <v>94</v>
      </c>
    </row>
    <row r="323" spans="1:16" ht="12.75" hidden="1" customHeight="1" x14ac:dyDescent="0.2">
      <c r="A323" s="5" t="s">
        <v>8</v>
      </c>
      <c r="H323" s="7">
        <f>G320</f>
        <v>0</v>
      </c>
      <c r="I323" s="5" t="s">
        <v>94</v>
      </c>
    </row>
    <row r="324" spans="1:16" ht="12.75" hidden="1" customHeight="1" x14ac:dyDescent="0.2">
      <c r="A324" s="5" t="s">
        <v>9</v>
      </c>
      <c r="H324" s="20">
        <f>H322+H323</f>
        <v>0</v>
      </c>
      <c r="I324" s="5" t="s">
        <v>94</v>
      </c>
    </row>
    <row r="325" spans="1:16" ht="12.75" hidden="1" customHeight="1" x14ac:dyDescent="0.2">
      <c r="A325" s="8"/>
      <c r="B325" s="8"/>
      <c r="C325" s="8"/>
    </row>
    <row r="326" spans="1:16" ht="30" hidden="1" customHeight="1" x14ac:dyDescent="0.2">
      <c r="A326" s="1" t="str">
        <f>'BM04'!A41</f>
        <v>1.4.3</v>
      </c>
      <c r="B326" s="290" t="str">
        <f>'BM04'!B41</f>
        <v>FORNECIMENTO E INSTALAÇÃO DE PLACA DE SINALIZAÇÃO EM CHAPA DE AÇO EM SUPORTE DE MADEIRA.</v>
      </c>
      <c r="C326" s="290"/>
      <c r="D326" s="290"/>
      <c r="E326" s="290"/>
      <c r="F326" s="290"/>
      <c r="G326" s="290"/>
      <c r="H326" s="290"/>
      <c r="I326" s="290"/>
      <c r="J326" s="22"/>
      <c r="K326" s="21"/>
      <c r="N326" s="22"/>
      <c r="O326" s="21"/>
      <c r="P326" s="21"/>
    </row>
    <row r="327" spans="1:16" ht="12.75" hidden="1" customHeight="1" x14ac:dyDescent="0.2">
      <c r="G327" s="6"/>
      <c r="J327" s="22"/>
      <c r="K327" s="21"/>
      <c r="N327" s="22"/>
      <c r="O327" s="21"/>
      <c r="P327" s="21"/>
    </row>
    <row r="328" spans="1:16" ht="12.75" hidden="1" customHeight="1" x14ac:dyDescent="0.2">
      <c r="A328" s="305" t="s">
        <v>15</v>
      </c>
      <c r="B328" s="306"/>
      <c r="C328" s="305" t="s">
        <v>1</v>
      </c>
      <c r="D328" s="306"/>
      <c r="E328" s="301" t="s">
        <v>34</v>
      </c>
      <c r="F328" s="301" t="s">
        <v>3</v>
      </c>
      <c r="G328" s="301" t="s">
        <v>16</v>
      </c>
      <c r="J328" s="22"/>
      <c r="K328" s="21"/>
      <c r="N328" s="22"/>
      <c r="O328" s="21"/>
      <c r="P328" s="21"/>
    </row>
    <row r="329" spans="1:16" ht="12.75" hidden="1" customHeight="1" x14ac:dyDescent="0.2">
      <c r="A329" s="307"/>
      <c r="B329" s="308"/>
      <c r="C329" s="307"/>
      <c r="D329" s="308"/>
      <c r="E329" s="302"/>
      <c r="F329" s="302"/>
      <c r="G329" s="302"/>
      <c r="J329" s="22"/>
      <c r="K329" s="21"/>
      <c r="N329" s="22"/>
      <c r="O329" s="21"/>
      <c r="P329" s="21"/>
    </row>
    <row r="330" spans="1:16" ht="12.75" hidden="1" customHeight="1" x14ac:dyDescent="0.2">
      <c r="A330" s="1"/>
      <c r="B330" s="1"/>
      <c r="C330" s="1"/>
      <c r="D330" s="1"/>
      <c r="E330" s="1"/>
      <c r="F330" s="1"/>
      <c r="G330" s="1"/>
      <c r="J330" s="22"/>
      <c r="K330" s="21"/>
      <c r="N330" s="22"/>
      <c r="O330" s="21"/>
      <c r="P330" s="21"/>
    </row>
    <row r="331" spans="1:16" ht="12.75" hidden="1" customHeight="1" x14ac:dyDescent="0.2">
      <c r="A331" s="14" t="s">
        <v>142</v>
      </c>
      <c r="B331" s="1"/>
      <c r="C331" s="1"/>
      <c r="D331" s="1"/>
      <c r="E331" s="17"/>
      <c r="F331" s="15"/>
      <c r="G331" s="17">
        <f>E331*F331</f>
        <v>0</v>
      </c>
      <c r="J331" s="22"/>
      <c r="K331" s="21"/>
      <c r="N331" s="22"/>
      <c r="O331" s="21"/>
      <c r="P331" s="21"/>
    </row>
    <row r="332" spans="1:16" ht="12.75" hidden="1" customHeight="1" x14ac:dyDescent="0.2">
      <c r="A332" s="14" t="s">
        <v>142</v>
      </c>
      <c r="B332" s="1"/>
      <c r="C332" s="1"/>
      <c r="D332" s="1"/>
      <c r="E332" s="17"/>
      <c r="F332" s="15"/>
      <c r="G332" s="17">
        <f>E332*F332</f>
        <v>0</v>
      </c>
      <c r="J332" s="22"/>
      <c r="K332" s="21"/>
      <c r="N332" s="22"/>
      <c r="O332" s="21"/>
      <c r="P332" s="21"/>
    </row>
    <row r="333" spans="1:16" ht="12.75" hidden="1" customHeight="1" x14ac:dyDescent="0.2">
      <c r="A333" s="14" t="s">
        <v>142</v>
      </c>
      <c r="B333" s="1"/>
      <c r="C333" s="1"/>
      <c r="D333" s="1"/>
      <c r="E333" s="17"/>
      <c r="F333" s="15"/>
      <c r="G333" s="17">
        <f>E333*F333</f>
        <v>0</v>
      </c>
      <c r="J333" s="22"/>
      <c r="K333" s="21"/>
      <c r="N333" s="22"/>
      <c r="O333" s="21"/>
      <c r="P333" s="21"/>
    </row>
    <row r="334" spans="1:16" ht="12.75" hidden="1" customHeight="1" x14ac:dyDescent="0.2">
      <c r="A334" s="14" t="s">
        <v>142</v>
      </c>
      <c r="B334" s="1"/>
      <c r="C334" s="1"/>
      <c r="D334" s="1"/>
      <c r="E334" s="17"/>
      <c r="F334" s="15"/>
      <c r="G334" s="17">
        <f>E334*F334</f>
        <v>0</v>
      </c>
      <c r="J334" s="22"/>
      <c r="K334" s="21"/>
      <c r="N334" s="22"/>
      <c r="O334" s="21"/>
      <c r="P334" s="21"/>
    </row>
    <row r="335" spans="1:16" ht="12.75" hidden="1" customHeight="1" x14ac:dyDescent="0.2">
      <c r="G335" s="6"/>
      <c r="J335" s="22"/>
      <c r="K335" s="21"/>
      <c r="N335" s="22"/>
      <c r="O335" s="21"/>
      <c r="P335" s="21"/>
    </row>
    <row r="336" spans="1:16" ht="12.75" hidden="1" customHeight="1" x14ac:dyDescent="0.2">
      <c r="F336" s="121" t="s">
        <v>18</v>
      </c>
      <c r="G336" s="19"/>
      <c r="H336" s="2" t="s">
        <v>41</v>
      </c>
      <c r="J336" s="22"/>
      <c r="K336" s="21"/>
      <c r="N336" s="22"/>
      <c r="O336" s="21"/>
      <c r="P336" s="21"/>
    </row>
    <row r="337" spans="1:16" ht="12.75" hidden="1" customHeight="1" x14ac:dyDescent="0.2">
      <c r="G337" s="6"/>
      <c r="J337" s="22"/>
      <c r="K337" s="21"/>
      <c r="N337" s="22"/>
      <c r="O337" s="21"/>
      <c r="P337" s="21"/>
    </row>
    <row r="338" spans="1:16" ht="12.75" hidden="1" customHeight="1" x14ac:dyDescent="0.2">
      <c r="A338" s="5" t="s">
        <v>7</v>
      </c>
      <c r="H338" s="18">
        <v>0</v>
      </c>
      <c r="I338" s="5" t="s">
        <v>41</v>
      </c>
    </row>
    <row r="339" spans="1:16" ht="12.75" hidden="1" customHeight="1" x14ac:dyDescent="0.2">
      <c r="A339" s="5" t="s">
        <v>8</v>
      </c>
      <c r="H339" s="18">
        <f>G336</f>
        <v>0</v>
      </c>
      <c r="I339" s="5" t="s">
        <v>41</v>
      </c>
    </row>
    <row r="340" spans="1:16" ht="12.75" hidden="1" customHeight="1" x14ac:dyDescent="0.2">
      <c r="A340" s="5" t="s">
        <v>9</v>
      </c>
      <c r="H340" s="20">
        <f>H338+H339</f>
        <v>0</v>
      </c>
      <c r="I340" s="5" t="s">
        <v>41</v>
      </c>
    </row>
    <row r="341" spans="1:16" ht="12.75" hidden="1" customHeight="1" x14ac:dyDescent="0.2">
      <c r="A341" s="8"/>
      <c r="B341" s="8"/>
      <c r="C341" s="8"/>
    </row>
    <row r="342" spans="1:16" ht="67.5" hidden="1" customHeight="1" x14ac:dyDescent="0.2">
      <c r="A342" s="1" t="str">
        <f>'BM04'!A42</f>
        <v>1.4.4</v>
      </c>
      <c r="B342" s="290" t="str">
        <f>'BM04'!B42</f>
        <v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v>
      </c>
      <c r="C342" s="290"/>
      <c r="D342" s="290"/>
      <c r="E342" s="290"/>
      <c r="F342" s="290"/>
      <c r="G342" s="290"/>
      <c r="H342" s="290"/>
      <c r="I342" s="290"/>
      <c r="J342" s="22"/>
      <c r="K342" s="21"/>
      <c r="N342" s="22"/>
      <c r="O342" s="21"/>
      <c r="P342" s="21"/>
    </row>
    <row r="343" spans="1:16" ht="12.75" hidden="1" customHeight="1" x14ac:dyDescent="0.2">
      <c r="G343" s="6"/>
      <c r="J343" s="22"/>
      <c r="K343" s="21"/>
      <c r="N343" s="22"/>
      <c r="O343" s="21"/>
      <c r="P343" s="21"/>
    </row>
    <row r="344" spans="1:16" ht="12.75" hidden="1" customHeight="1" x14ac:dyDescent="0.2">
      <c r="A344" s="305" t="s">
        <v>15</v>
      </c>
      <c r="B344" s="305"/>
      <c r="C344" s="305" t="s">
        <v>1</v>
      </c>
      <c r="D344" s="305"/>
      <c r="E344" s="301" t="s">
        <v>139</v>
      </c>
      <c r="F344" s="301" t="s">
        <v>3</v>
      </c>
      <c r="G344" s="301" t="s">
        <v>143</v>
      </c>
      <c r="H344" s="301" t="s">
        <v>16</v>
      </c>
      <c r="J344" s="22"/>
      <c r="K344" s="21"/>
      <c r="N344" s="22"/>
      <c r="O344" s="21"/>
      <c r="P344" s="21"/>
    </row>
    <row r="345" spans="1:16" ht="12.75" hidden="1" customHeight="1" x14ac:dyDescent="0.2">
      <c r="A345" s="305"/>
      <c r="B345" s="305"/>
      <c r="C345" s="305"/>
      <c r="D345" s="305"/>
      <c r="E345" s="301"/>
      <c r="F345" s="301"/>
      <c r="G345" s="301"/>
      <c r="H345" s="301"/>
      <c r="J345" s="22"/>
      <c r="K345" s="21"/>
      <c r="N345" s="22"/>
      <c r="O345" s="21"/>
      <c r="P345" s="21"/>
    </row>
    <row r="346" spans="1:16" ht="12.75" hidden="1" customHeight="1" x14ac:dyDescent="0.2">
      <c r="G346" s="6"/>
      <c r="J346" s="22"/>
      <c r="K346" s="21"/>
      <c r="N346" s="22"/>
      <c r="O346" s="21"/>
      <c r="P346" s="21"/>
    </row>
    <row r="347" spans="1:16" ht="12.75" hidden="1" customHeight="1" x14ac:dyDescent="0.2">
      <c r="G347" s="6"/>
      <c r="J347" s="22"/>
      <c r="K347" s="21"/>
      <c r="N347" s="22"/>
      <c r="O347" s="21"/>
      <c r="P347" s="21"/>
    </row>
    <row r="348" spans="1:16" ht="12.75" hidden="1" customHeight="1" x14ac:dyDescent="0.2">
      <c r="G348" s="6"/>
      <c r="J348" s="22"/>
      <c r="K348" s="21"/>
      <c r="N348" s="22"/>
      <c r="O348" s="21"/>
      <c r="P348" s="21"/>
    </row>
    <row r="349" spans="1:16" ht="12.75" hidden="1" customHeight="1" x14ac:dyDescent="0.2">
      <c r="G349" s="121" t="s">
        <v>18</v>
      </c>
      <c r="H349" s="19"/>
      <c r="I349" s="2" t="s">
        <v>94</v>
      </c>
      <c r="J349" s="22"/>
      <c r="K349" s="21"/>
      <c r="N349" s="22"/>
      <c r="O349" s="21"/>
      <c r="P349" s="21"/>
    </row>
    <row r="350" spans="1:16" ht="12.75" hidden="1" customHeight="1" x14ac:dyDescent="0.2">
      <c r="G350" s="6"/>
      <c r="J350" s="22"/>
      <c r="K350" s="21"/>
      <c r="N350" s="22"/>
      <c r="O350" s="21"/>
      <c r="P350" s="21"/>
    </row>
    <row r="351" spans="1:16" ht="12.75" hidden="1" customHeight="1" x14ac:dyDescent="0.2">
      <c r="A351" s="5" t="s">
        <v>7</v>
      </c>
      <c r="H351" s="18">
        <v>0</v>
      </c>
      <c r="I351" s="5" t="s">
        <v>94</v>
      </c>
    </row>
    <row r="352" spans="1:16" ht="12.75" hidden="1" customHeight="1" x14ac:dyDescent="0.2">
      <c r="A352" s="5" t="s">
        <v>8</v>
      </c>
      <c r="H352" s="18">
        <f>H349</f>
        <v>0</v>
      </c>
      <c r="I352" s="5" t="s">
        <v>94</v>
      </c>
    </row>
    <row r="353" spans="1:16" ht="12.75" hidden="1" customHeight="1" x14ac:dyDescent="0.2">
      <c r="A353" s="5" t="s">
        <v>9</v>
      </c>
      <c r="H353" s="20">
        <f>H351+H352</f>
        <v>0</v>
      </c>
      <c r="I353" s="5" t="s">
        <v>94</v>
      </c>
    </row>
    <row r="354" spans="1:16" ht="12.75" customHeight="1" x14ac:dyDescent="0.2">
      <c r="A354" s="8"/>
      <c r="B354" s="8"/>
      <c r="C354" s="8"/>
    </row>
    <row r="355" spans="1:16" ht="12.75" customHeight="1" x14ac:dyDescent="0.2">
      <c r="A355" s="68" t="str">
        <f>'BM04'!A43</f>
        <v>1.5</v>
      </c>
      <c r="B355" s="291" t="str">
        <f>'BM04'!B43</f>
        <v>DRENAGEM E SANEAMENTO</v>
      </c>
      <c r="C355" s="291"/>
      <c r="D355" s="291"/>
      <c r="E355" s="291"/>
      <c r="F355" s="291"/>
      <c r="G355" s="291"/>
      <c r="H355" s="291"/>
      <c r="I355" s="291"/>
      <c r="J355" s="22"/>
      <c r="K355" s="21"/>
      <c r="N355" s="22"/>
      <c r="O355" s="21"/>
      <c r="P355" s="21"/>
    </row>
    <row r="356" spans="1:16" x14ac:dyDescent="0.2">
      <c r="A356" s="1"/>
      <c r="B356" s="24"/>
      <c r="C356" s="24"/>
      <c r="D356" s="24"/>
      <c r="E356" s="24"/>
      <c r="F356" s="24"/>
      <c r="G356" s="24"/>
      <c r="H356" s="24"/>
      <c r="I356" s="24"/>
      <c r="J356" s="22"/>
      <c r="K356" s="21"/>
      <c r="N356" s="22"/>
      <c r="O356" s="21"/>
      <c r="P356" s="21"/>
    </row>
    <row r="357" spans="1:16" ht="15" hidden="1" customHeight="1" x14ac:dyDescent="0.2">
      <c r="A357" s="1" t="str">
        <f>'BM04'!A44</f>
        <v>1.5.1</v>
      </c>
      <c r="B357" s="290" t="str">
        <f>'BM04'!B44</f>
        <v>LOCAÇÃO DE REDE DE ÁGUA OU ESGOTO. AF_10/2018</v>
      </c>
      <c r="C357" s="290"/>
      <c r="D357" s="290"/>
      <c r="E357" s="290"/>
      <c r="F357" s="290"/>
      <c r="G357" s="290"/>
      <c r="H357" s="290"/>
      <c r="I357" s="290"/>
      <c r="J357" s="22"/>
      <c r="K357" s="21"/>
      <c r="N357" s="22"/>
      <c r="O357" s="21"/>
      <c r="P357" s="21"/>
    </row>
    <row r="358" spans="1:16" ht="12.75" hidden="1" customHeight="1" x14ac:dyDescent="0.2">
      <c r="G358" s="6"/>
      <c r="J358" s="22"/>
      <c r="K358" s="21"/>
      <c r="N358" s="22"/>
      <c r="O358" s="21"/>
      <c r="P358" s="21"/>
    </row>
    <row r="359" spans="1:16" ht="12.75" hidden="1" customHeight="1" x14ac:dyDescent="0.2">
      <c r="A359" s="5" t="s">
        <v>7</v>
      </c>
      <c r="H359" s="18">
        <v>0</v>
      </c>
      <c r="I359" s="5" t="s">
        <v>95</v>
      </c>
      <c r="J359" s="22"/>
    </row>
    <row r="360" spans="1:16" ht="12.75" hidden="1" customHeight="1" x14ac:dyDescent="0.2">
      <c r="A360" s="5" t="s">
        <v>8</v>
      </c>
      <c r="H360" s="7"/>
      <c r="I360" s="5" t="s">
        <v>95</v>
      </c>
      <c r="J360" s="22"/>
    </row>
    <row r="361" spans="1:16" ht="12.75" hidden="1" customHeight="1" x14ac:dyDescent="0.2">
      <c r="A361" s="5" t="s">
        <v>9</v>
      </c>
      <c r="H361" s="20">
        <f>H359+H360</f>
        <v>0</v>
      </c>
      <c r="I361" s="5" t="s">
        <v>95</v>
      </c>
      <c r="J361" s="22"/>
    </row>
    <row r="362" spans="1:16" ht="12.75" hidden="1" customHeight="1" x14ac:dyDescent="0.2">
      <c r="A362" s="8"/>
      <c r="B362" s="8"/>
      <c r="C362" s="8"/>
      <c r="J362" s="22"/>
    </row>
    <row r="363" spans="1:16" ht="15" customHeight="1" x14ac:dyDescent="0.2">
      <c r="A363" s="1" t="str">
        <f>'BM04'!A45</f>
        <v>1.5.2</v>
      </c>
      <c r="B363" s="290" t="str">
        <f>'BM04'!B45</f>
        <v>ESCAVACAO CARGA TRANSP. 1-CAT 601 A 800M</v>
      </c>
      <c r="C363" s="290"/>
      <c r="D363" s="290"/>
      <c r="E363" s="290"/>
      <c r="F363" s="290"/>
      <c r="G363" s="290"/>
      <c r="H363" s="290"/>
      <c r="I363" s="290"/>
      <c r="J363" s="22"/>
      <c r="K363" s="21"/>
      <c r="N363" s="22"/>
      <c r="O363" s="21"/>
      <c r="P363" s="21"/>
    </row>
    <row r="364" spans="1:16" ht="12.75" customHeight="1" x14ac:dyDescent="0.2">
      <c r="G364" s="6"/>
      <c r="J364" s="22"/>
      <c r="K364" s="21"/>
      <c r="N364" s="22"/>
      <c r="O364" s="21"/>
      <c r="P364" s="21"/>
    </row>
    <row r="365" spans="1:16" ht="12.75" customHeight="1" x14ac:dyDescent="0.2">
      <c r="A365" s="321" t="s">
        <v>127</v>
      </c>
      <c r="B365" s="321"/>
      <c r="C365" s="321"/>
      <c r="D365" s="321"/>
      <c r="E365" s="71" t="s">
        <v>128</v>
      </c>
      <c r="F365" s="71" t="s">
        <v>129</v>
      </c>
      <c r="G365" s="71" t="s">
        <v>130</v>
      </c>
      <c r="H365" s="72" t="s">
        <v>129</v>
      </c>
      <c r="I365" s="321" t="s">
        <v>6</v>
      </c>
      <c r="J365" s="22"/>
      <c r="K365" s="21"/>
      <c r="N365" s="22"/>
      <c r="O365" s="21"/>
      <c r="P365" s="21"/>
    </row>
    <row r="366" spans="1:16" ht="12.75" customHeight="1" x14ac:dyDescent="0.2">
      <c r="A366" s="71" t="s">
        <v>10</v>
      </c>
      <c r="B366" s="71" t="s">
        <v>11</v>
      </c>
      <c r="C366" s="71" t="s">
        <v>10</v>
      </c>
      <c r="D366" s="71" t="s">
        <v>11</v>
      </c>
      <c r="E366" s="71" t="s">
        <v>131</v>
      </c>
      <c r="F366" s="71" t="s">
        <v>132</v>
      </c>
      <c r="G366" s="71" t="s">
        <v>133</v>
      </c>
      <c r="H366" s="72" t="s">
        <v>134</v>
      </c>
      <c r="I366" s="321"/>
      <c r="J366" s="22"/>
      <c r="K366" s="21"/>
      <c r="N366" s="22"/>
      <c r="O366" s="21"/>
      <c r="P366" s="21"/>
    </row>
    <row r="367" spans="1:16" ht="12.75" customHeight="1" x14ac:dyDescent="0.2">
      <c r="A367" s="340" t="s">
        <v>237</v>
      </c>
      <c r="B367" s="340"/>
      <c r="C367" s="340"/>
      <c r="D367" s="340"/>
      <c r="E367" s="340"/>
      <c r="F367" s="340"/>
      <c r="G367" s="340"/>
      <c r="H367" s="340"/>
      <c r="J367" s="22"/>
      <c r="K367" s="21"/>
      <c r="N367" s="22"/>
      <c r="O367" s="21"/>
      <c r="P367" s="21"/>
    </row>
    <row r="368" spans="1:16" ht="12.75" customHeight="1" x14ac:dyDescent="0.2">
      <c r="A368" s="341"/>
      <c r="B368" s="341"/>
      <c r="C368" s="341"/>
      <c r="D368" s="341"/>
      <c r="E368" s="341"/>
      <c r="F368" s="341"/>
      <c r="G368" s="341"/>
      <c r="H368" s="341"/>
      <c r="J368" s="22"/>
      <c r="K368" s="21"/>
      <c r="N368" s="22"/>
      <c r="O368" s="21"/>
      <c r="P368" s="21"/>
    </row>
    <row r="369" spans="1:17" ht="12.75" customHeight="1" x14ac:dyDescent="0.2">
      <c r="G369" s="6"/>
      <c r="J369" s="22"/>
      <c r="K369" s="21"/>
      <c r="N369" s="22"/>
      <c r="O369" s="21"/>
      <c r="P369" s="21"/>
    </row>
    <row r="370" spans="1:17" ht="12.75" customHeight="1" x14ac:dyDescent="0.2">
      <c r="G370" s="122" t="s">
        <v>17</v>
      </c>
      <c r="H370" s="19">
        <v>400</v>
      </c>
      <c r="I370" s="10" t="s">
        <v>93</v>
      </c>
      <c r="K370" s="22"/>
      <c r="L370" s="21"/>
      <c r="O370" s="22"/>
      <c r="P370" s="21"/>
      <c r="Q370" s="21"/>
    </row>
    <row r="371" spans="1:17" ht="12.75" customHeight="1" x14ac:dyDescent="0.2">
      <c r="G371" s="6"/>
      <c r="H371" s="17"/>
      <c r="J371" s="22"/>
      <c r="K371" s="21"/>
      <c r="N371" s="22"/>
      <c r="O371" s="21"/>
      <c r="P371" s="21"/>
    </row>
    <row r="372" spans="1:17" ht="12.75" customHeight="1" x14ac:dyDescent="0.2">
      <c r="A372" s="5" t="s">
        <v>7</v>
      </c>
      <c r="H372" s="18">
        <v>0</v>
      </c>
      <c r="I372" s="5" t="s">
        <v>93</v>
      </c>
      <c r="J372" s="22"/>
    </row>
    <row r="373" spans="1:17" ht="12.75" customHeight="1" x14ac:dyDescent="0.2">
      <c r="A373" s="5" t="s">
        <v>8</v>
      </c>
      <c r="H373" s="7">
        <f>H370</f>
        <v>400</v>
      </c>
      <c r="I373" s="5" t="s">
        <v>93</v>
      </c>
    </row>
    <row r="374" spans="1:17" ht="12.75" customHeight="1" x14ac:dyDescent="0.2">
      <c r="A374" s="5" t="s">
        <v>9</v>
      </c>
      <c r="H374" s="20">
        <f>H372+H373</f>
        <v>400</v>
      </c>
      <c r="I374" s="5" t="s">
        <v>93</v>
      </c>
    </row>
    <row r="375" spans="1:17" ht="12.75" customHeight="1" x14ac:dyDescent="0.2">
      <c r="A375" s="8"/>
      <c r="B375" s="8"/>
      <c r="C375" s="8"/>
    </row>
    <row r="376" spans="1:17" ht="45" customHeight="1" x14ac:dyDescent="0.2">
      <c r="A376" s="1" t="str">
        <f>'BM04'!A46</f>
        <v>1.5.3</v>
      </c>
      <c r="B376" s="290" t="str">
        <f>'BM04'!B46</f>
        <v>LASTRO DE VALA COM PREPARO DE FUNDO, LARGURA MENOR QUE 1,5M, COM CAMADA DE AREIA, LANÇAMENTO MANUAL, EM LOCAL COM NÍVEL BAIXO DE INTERFERÊNCIA. AF_06/2016 (ADAPTADO DE SINAPI 94102)</v>
      </c>
      <c r="C376" s="290"/>
      <c r="D376" s="290"/>
      <c r="E376" s="290"/>
      <c r="F376" s="290"/>
      <c r="G376" s="290"/>
      <c r="H376" s="290"/>
      <c r="I376" s="290"/>
      <c r="J376" s="22"/>
      <c r="K376" s="21"/>
      <c r="N376" s="22"/>
      <c r="O376" s="21"/>
      <c r="P376" s="21"/>
    </row>
    <row r="377" spans="1:17" x14ac:dyDescent="0.2">
      <c r="A377" s="1"/>
      <c r="B377" s="24"/>
      <c r="C377" s="24"/>
      <c r="D377" s="24"/>
      <c r="E377" s="24">
        <v>11</v>
      </c>
      <c r="F377" s="24">
        <v>1</v>
      </c>
      <c r="G377" s="24">
        <v>0.5</v>
      </c>
      <c r="H377" s="24">
        <v>3</v>
      </c>
      <c r="I377" s="24"/>
      <c r="J377" s="22"/>
      <c r="K377" s="21"/>
      <c r="N377" s="22"/>
      <c r="O377" s="21"/>
      <c r="P377" s="21"/>
    </row>
    <row r="378" spans="1:17" ht="12.75" customHeight="1" x14ac:dyDescent="0.2">
      <c r="G378" s="6"/>
      <c r="J378" s="22"/>
      <c r="K378" s="21"/>
      <c r="N378" s="22"/>
      <c r="O378" s="21"/>
      <c r="P378" s="21"/>
    </row>
    <row r="379" spans="1:17" ht="12.75" customHeight="1" x14ac:dyDescent="0.2">
      <c r="A379" s="5" t="s">
        <v>7</v>
      </c>
      <c r="H379" s="18">
        <v>0</v>
      </c>
      <c r="I379" s="5" t="s">
        <v>93</v>
      </c>
    </row>
    <row r="380" spans="1:17" ht="12.75" customHeight="1" x14ac:dyDescent="0.2">
      <c r="A380" s="5" t="s">
        <v>8</v>
      </c>
      <c r="H380" s="7">
        <f>E377*F377*G377*H377</f>
        <v>16.5</v>
      </c>
      <c r="I380" s="5" t="s">
        <v>93</v>
      </c>
    </row>
    <row r="381" spans="1:17" ht="12.75" customHeight="1" x14ac:dyDescent="0.2">
      <c r="A381" s="5" t="s">
        <v>9</v>
      </c>
      <c r="H381" s="20">
        <f>H379+H380</f>
        <v>16.5</v>
      </c>
      <c r="I381" s="5" t="s">
        <v>93</v>
      </c>
    </row>
    <row r="382" spans="1:17" ht="12.75" customHeight="1" x14ac:dyDescent="0.2">
      <c r="A382" s="8"/>
      <c r="B382" s="8"/>
      <c r="C382" s="8"/>
    </row>
    <row r="383" spans="1:17" ht="15" customHeight="1" x14ac:dyDescent="0.2">
      <c r="A383" s="1" t="str">
        <f>'BM04'!A47</f>
        <v>1.5.4</v>
      </c>
      <c r="B383" s="290" t="str">
        <f>'BM04'!B47</f>
        <v>ENTRADA PARA DESCIDA D’ÁGUA - EDA 02 - AREIA E BRITA COMERCIAIS</v>
      </c>
      <c r="C383" s="290"/>
      <c r="D383" s="290"/>
      <c r="E383" s="290"/>
      <c r="F383" s="290"/>
      <c r="G383" s="290"/>
      <c r="H383" s="290"/>
      <c r="I383" s="290"/>
      <c r="J383" s="22"/>
      <c r="K383" s="21"/>
      <c r="N383" s="22"/>
      <c r="O383" s="21"/>
      <c r="P383" s="21"/>
    </row>
    <row r="384" spans="1:17" ht="12.75" customHeight="1" x14ac:dyDescent="0.2">
      <c r="G384" s="6"/>
      <c r="J384" s="22"/>
      <c r="K384" s="21"/>
      <c r="N384" s="22"/>
      <c r="O384" s="21"/>
      <c r="P384" s="21"/>
    </row>
    <row r="385" spans="1:16" s="77" customFormat="1" ht="12.75" customHeight="1" x14ac:dyDescent="0.2">
      <c r="A385" s="303" t="s">
        <v>0</v>
      </c>
      <c r="B385" s="303"/>
      <c r="C385" s="303"/>
      <c r="D385" s="303"/>
      <c r="E385" s="303" t="s">
        <v>135</v>
      </c>
      <c r="F385" s="295" t="s">
        <v>143</v>
      </c>
      <c r="G385" s="304" t="s">
        <v>144</v>
      </c>
      <c r="H385" s="132"/>
      <c r="I385" s="133"/>
      <c r="J385"/>
      <c r="K385"/>
      <c r="L385"/>
    </row>
    <row r="386" spans="1:16" s="77" customFormat="1" ht="12.75" customHeight="1" x14ac:dyDescent="0.2">
      <c r="A386" s="131" t="s">
        <v>10</v>
      </c>
      <c r="B386" s="131" t="s">
        <v>11</v>
      </c>
      <c r="C386" s="131" t="s">
        <v>10</v>
      </c>
      <c r="D386" s="131" t="s">
        <v>11</v>
      </c>
      <c r="E386" s="303"/>
      <c r="F386" s="296"/>
      <c r="G386" s="304"/>
      <c r="H386" s="132"/>
      <c r="I386" s="133"/>
      <c r="J386"/>
      <c r="K386"/>
      <c r="L386"/>
    </row>
    <row r="387" spans="1:16" s="77" customFormat="1" ht="12.75" customHeight="1" x14ac:dyDescent="0.2">
      <c r="A387" s="134"/>
      <c r="B387" s="134"/>
      <c r="C387" s="134"/>
      <c r="D387" s="134"/>
      <c r="E387" s="135"/>
      <c r="F387" s="136">
        <v>0</v>
      </c>
      <c r="G387" s="137"/>
      <c r="H387" s="138"/>
      <c r="I387" s="133"/>
      <c r="J387"/>
      <c r="K387"/>
      <c r="L387"/>
    </row>
    <row r="388" spans="1:16" s="77" customFormat="1" ht="12.75" customHeight="1" x14ac:dyDescent="0.2">
      <c r="A388" s="134"/>
      <c r="B388" s="134"/>
      <c r="C388" s="134"/>
      <c r="D388" s="134"/>
      <c r="E388" s="135"/>
      <c r="F388" s="136"/>
      <c r="G388" s="137"/>
      <c r="H388" s="138"/>
      <c r="I388" s="133"/>
      <c r="J388"/>
      <c r="K388"/>
      <c r="L388"/>
    </row>
    <row r="389" spans="1:16" s="77" customFormat="1" ht="12.75" customHeight="1" x14ac:dyDescent="0.2">
      <c r="A389" s="134"/>
      <c r="B389" s="134"/>
      <c r="C389" s="134"/>
      <c r="D389" s="134"/>
      <c r="E389" s="135"/>
      <c r="F389" s="136"/>
      <c r="G389" s="137"/>
      <c r="H389" s="138"/>
      <c r="I389" s="133"/>
      <c r="J389"/>
      <c r="K389"/>
      <c r="L389"/>
    </row>
    <row r="390" spans="1:16" s="77" customFormat="1" ht="12.75" customHeight="1" x14ac:dyDescent="0.2">
      <c r="A390" s="134"/>
      <c r="B390" s="134"/>
      <c r="C390" s="134"/>
      <c r="D390" s="134"/>
      <c r="E390" s="135"/>
      <c r="F390" s="136"/>
      <c r="G390" s="137"/>
      <c r="H390" s="138"/>
      <c r="I390" s="133"/>
      <c r="J390"/>
      <c r="K390"/>
      <c r="L390"/>
    </row>
    <row r="391" spans="1:16" s="77" customFormat="1" ht="12.75" customHeight="1" x14ac:dyDescent="0.2">
      <c r="A391" s="139"/>
      <c r="B391" s="140"/>
      <c r="C391" s="139"/>
      <c r="D391" s="140"/>
      <c r="E391" s="148" t="s">
        <v>145</v>
      </c>
      <c r="F391" s="149">
        <v>0</v>
      </c>
      <c r="G391" s="150" t="s">
        <v>94</v>
      </c>
      <c r="H391" s="138"/>
      <c r="I391" s="133"/>
      <c r="J391"/>
      <c r="K391"/>
      <c r="L391"/>
    </row>
    <row r="392" spans="1:16" s="77" customFormat="1" ht="12.75" customHeight="1" x14ac:dyDescent="0.2">
      <c r="A392" s="141"/>
      <c r="B392" s="142"/>
      <c r="C392" s="141"/>
      <c r="D392" s="142"/>
      <c r="E392" s="143"/>
      <c r="F392" s="142"/>
      <c r="G392" s="144"/>
      <c r="H392" s="145"/>
      <c r="I392" s="146"/>
      <c r="J392" s="147"/>
    </row>
    <row r="393" spans="1:16" ht="12.75" customHeight="1" x14ac:dyDescent="0.2">
      <c r="A393" s="5" t="s">
        <v>7</v>
      </c>
      <c r="H393" s="18">
        <v>0</v>
      </c>
      <c r="I393" s="5" t="s">
        <v>94</v>
      </c>
    </row>
    <row r="394" spans="1:16" ht="12.75" customHeight="1" x14ac:dyDescent="0.2">
      <c r="A394" s="5" t="s">
        <v>8</v>
      </c>
      <c r="H394" s="7"/>
      <c r="I394" s="5" t="s">
        <v>94</v>
      </c>
    </row>
    <row r="395" spans="1:16" ht="12.75" customHeight="1" x14ac:dyDescent="0.2">
      <c r="A395" s="5" t="s">
        <v>9</v>
      </c>
      <c r="H395" s="20">
        <f>H393+H394</f>
        <v>0</v>
      </c>
      <c r="I395" s="5" t="s">
        <v>94</v>
      </c>
    </row>
    <row r="396" spans="1:16" ht="12.75" customHeight="1" x14ac:dyDescent="0.2">
      <c r="A396" s="8"/>
      <c r="B396" s="8"/>
      <c r="C396" s="8"/>
    </row>
    <row r="397" spans="1:16" ht="15" customHeight="1" x14ac:dyDescent="0.2">
      <c r="A397" s="1" t="str">
        <f>'BM04'!A48</f>
        <v>1.5.5</v>
      </c>
      <c r="B397" s="290" t="str">
        <f>'BM04'!B48</f>
        <v>DESCIDA D’ÁGUA DE ATERROS TIPO RÁPIDO - DAR 02 - AREIA E BRITA COMERCIAIS</v>
      </c>
      <c r="C397" s="290"/>
      <c r="D397" s="290"/>
      <c r="E397" s="290"/>
      <c r="F397" s="290"/>
      <c r="G397" s="290"/>
      <c r="H397" s="290"/>
      <c r="I397" s="290"/>
      <c r="J397" s="22"/>
      <c r="K397" s="21"/>
      <c r="N397" s="22"/>
      <c r="O397" s="21"/>
      <c r="P397" s="21"/>
    </row>
    <row r="398" spans="1:16" ht="12.75" customHeight="1" x14ac:dyDescent="0.2">
      <c r="G398" s="6"/>
      <c r="J398" s="22"/>
      <c r="K398" s="21"/>
      <c r="N398" s="22"/>
      <c r="O398" s="21"/>
      <c r="P398" s="21"/>
    </row>
    <row r="399" spans="1:16" s="77" customFormat="1" ht="12.75" customHeight="1" x14ac:dyDescent="0.2">
      <c r="A399" s="303" t="s">
        <v>0</v>
      </c>
      <c r="B399" s="303"/>
      <c r="C399" s="303"/>
      <c r="D399" s="303"/>
      <c r="E399" s="303" t="s">
        <v>135</v>
      </c>
      <c r="F399" s="295" t="s">
        <v>1</v>
      </c>
      <c r="G399" s="304" t="s">
        <v>144</v>
      </c>
      <c r="H399" s="132"/>
      <c r="I399" s="133"/>
      <c r="J399"/>
      <c r="K399"/>
      <c r="L399"/>
    </row>
    <row r="400" spans="1:16" s="77" customFormat="1" ht="12.75" customHeight="1" x14ac:dyDescent="0.2">
      <c r="A400" s="131" t="s">
        <v>10</v>
      </c>
      <c r="B400" s="131" t="s">
        <v>11</v>
      </c>
      <c r="C400" s="131" t="s">
        <v>10</v>
      </c>
      <c r="D400" s="131" t="s">
        <v>11</v>
      </c>
      <c r="E400" s="303"/>
      <c r="F400" s="296"/>
      <c r="G400" s="304"/>
      <c r="H400" s="132"/>
      <c r="I400" s="133"/>
      <c r="J400"/>
      <c r="K400"/>
      <c r="L400"/>
    </row>
    <row r="401" spans="1:16" s="77" customFormat="1" ht="12.75" customHeight="1" x14ac:dyDescent="0.2">
      <c r="A401" s="134"/>
      <c r="B401" s="134"/>
      <c r="C401" s="134"/>
      <c r="D401" s="134"/>
      <c r="E401" s="135"/>
      <c r="F401" s="136">
        <v>0</v>
      </c>
      <c r="G401" s="137"/>
      <c r="H401" s="138"/>
      <c r="I401" s="133"/>
      <c r="J401"/>
      <c r="K401"/>
      <c r="L401"/>
    </row>
    <row r="402" spans="1:16" s="77" customFormat="1" ht="12.75" customHeight="1" x14ac:dyDescent="0.2">
      <c r="A402" s="134"/>
      <c r="B402" s="134"/>
      <c r="C402" s="134"/>
      <c r="D402" s="134"/>
      <c r="E402" s="135"/>
      <c r="F402" s="136"/>
      <c r="G402" s="137"/>
      <c r="H402" s="138"/>
      <c r="I402" s="133"/>
      <c r="J402"/>
      <c r="K402"/>
      <c r="L402"/>
    </row>
    <row r="403" spans="1:16" s="77" customFormat="1" ht="12.75" customHeight="1" x14ac:dyDescent="0.2">
      <c r="A403" s="134"/>
      <c r="B403" s="134"/>
      <c r="C403" s="134"/>
      <c r="D403" s="134"/>
      <c r="E403" s="135"/>
      <c r="F403" s="136"/>
      <c r="G403" s="137"/>
      <c r="H403" s="138"/>
      <c r="I403" s="133"/>
      <c r="J403"/>
      <c r="K403"/>
      <c r="L403"/>
    </row>
    <row r="404" spans="1:16" s="77" customFormat="1" ht="12.75" customHeight="1" x14ac:dyDescent="0.2">
      <c r="A404" s="134"/>
      <c r="B404" s="134"/>
      <c r="C404" s="134"/>
      <c r="D404" s="134"/>
      <c r="E404" s="135"/>
      <c r="F404" s="136"/>
      <c r="G404" s="137"/>
      <c r="H404" s="138"/>
      <c r="I404" s="133"/>
      <c r="J404"/>
      <c r="K404"/>
      <c r="L404"/>
    </row>
    <row r="405" spans="1:16" s="77" customFormat="1" ht="12.75" customHeight="1" x14ac:dyDescent="0.2">
      <c r="A405" s="139"/>
      <c r="B405" s="140"/>
      <c r="C405" s="139"/>
      <c r="D405" s="140"/>
      <c r="E405" s="148" t="s">
        <v>145</v>
      </c>
      <c r="F405" s="149">
        <v>0</v>
      </c>
      <c r="G405" s="150" t="s">
        <v>95</v>
      </c>
      <c r="H405" s="138"/>
      <c r="I405" s="133"/>
      <c r="J405"/>
      <c r="K405"/>
      <c r="L405"/>
    </row>
    <row r="406" spans="1:16" s="77" customFormat="1" ht="12.75" customHeight="1" x14ac:dyDescent="0.2">
      <c r="A406" s="141"/>
      <c r="B406" s="142"/>
      <c r="C406" s="141"/>
      <c r="D406" s="142"/>
      <c r="E406" s="143"/>
      <c r="F406" s="142"/>
      <c r="G406" s="144"/>
      <c r="H406" s="145"/>
      <c r="I406" s="146"/>
      <c r="J406" s="147"/>
    </row>
    <row r="407" spans="1:16" ht="12.75" customHeight="1" x14ac:dyDescent="0.2">
      <c r="A407" s="5" t="s">
        <v>7</v>
      </c>
      <c r="H407" s="18">
        <v>0</v>
      </c>
      <c r="I407" s="5" t="s">
        <v>95</v>
      </c>
    </row>
    <row r="408" spans="1:16" ht="12.75" customHeight="1" x14ac:dyDescent="0.2">
      <c r="A408" s="5" t="s">
        <v>8</v>
      </c>
      <c r="H408" s="7"/>
      <c r="I408" s="5" t="s">
        <v>95</v>
      </c>
    </row>
    <row r="409" spans="1:16" ht="12.75" customHeight="1" x14ac:dyDescent="0.2">
      <c r="A409" s="5" t="s">
        <v>9</v>
      </c>
      <c r="H409" s="20">
        <f>H407+H408</f>
        <v>0</v>
      </c>
      <c r="I409" s="5" t="s">
        <v>95</v>
      </c>
    </row>
    <row r="410" spans="1:16" ht="12.75" customHeight="1" x14ac:dyDescent="0.2">
      <c r="A410" s="8"/>
      <c r="B410" s="8"/>
      <c r="C410" s="8"/>
    </row>
    <row r="411" spans="1:16" ht="15" customHeight="1" x14ac:dyDescent="0.2">
      <c r="A411" s="1" t="str">
        <f>'BM04'!A49</f>
        <v>1.5.6</v>
      </c>
      <c r="B411" s="290" t="str">
        <f>'BM04'!B49</f>
        <v>DISSIPADOR DE ENERGIA - DED 01 - AREIA E BRITA COMERCIAIS</v>
      </c>
      <c r="C411" s="290"/>
      <c r="D411" s="290"/>
      <c r="E411" s="290"/>
      <c r="F411" s="290"/>
      <c r="G411" s="290"/>
      <c r="H411" s="290"/>
      <c r="I411" s="290"/>
      <c r="J411" s="22"/>
      <c r="K411" s="21"/>
      <c r="N411" s="22"/>
      <c r="O411" s="21"/>
      <c r="P411" s="21"/>
    </row>
    <row r="412" spans="1:16" ht="12.75" customHeight="1" x14ac:dyDescent="0.2">
      <c r="G412" s="6"/>
      <c r="J412" s="22"/>
      <c r="K412" s="21"/>
      <c r="N412" s="22"/>
      <c r="O412" s="21"/>
      <c r="P412" s="21"/>
    </row>
    <row r="413" spans="1:16" ht="12.75" customHeight="1" x14ac:dyDescent="0.2">
      <c r="A413" s="5" t="s">
        <v>7</v>
      </c>
      <c r="H413" s="18">
        <v>0</v>
      </c>
      <c r="I413" s="5" t="s">
        <v>94</v>
      </c>
    </row>
    <row r="414" spans="1:16" ht="12.75" customHeight="1" x14ac:dyDescent="0.2">
      <c r="A414" s="5" t="s">
        <v>8</v>
      </c>
      <c r="H414" s="7"/>
      <c r="I414" s="5" t="s">
        <v>94</v>
      </c>
    </row>
    <row r="415" spans="1:16" ht="12.75" customHeight="1" x14ac:dyDescent="0.2">
      <c r="A415" s="5" t="s">
        <v>9</v>
      </c>
      <c r="H415" s="20">
        <f>H413+H414</f>
        <v>0</v>
      </c>
      <c r="I415" s="5" t="s">
        <v>94</v>
      </c>
    </row>
    <row r="416" spans="1:16" ht="12.75" customHeight="1" x14ac:dyDescent="0.2">
      <c r="A416" s="8"/>
      <c r="B416" s="8"/>
      <c r="C416" s="8"/>
    </row>
    <row r="417" spans="1:16" ht="45" customHeight="1" x14ac:dyDescent="0.2">
      <c r="A417" s="1" t="str">
        <f>'BM04'!A50</f>
        <v>1.5.7</v>
      </c>
      <c r="B417" s="290" t="str">
        <f>'BM04'!B50</f>
        <v>REATERRO MECANIZADO DE VALA COM ESCAVADEIRA HIDRÁULICA (CAPACIDADE DA CAÇAMBA: 0,8 M³ / POTÊNCIA: 111 HP), LARGURA ATÉ 1,5 M, PROFUNDIDADE DE 1,5 A 3,0 M, COM SOLO DE 1ª CATEGORIA EM LOCAIS COM ALTO NÍVEL DE INTERFERÊNCIA. AF_04/2016</v>
      </c>
      <c r="C417" s="290"/>
      <c r="D417" s="290"/>
      <c r="E417" s="290"/>
      <c r="F417" s="290"/>
      <c r="G417" s="290"/>
      <c r="H417" s="290"/>
      <c r="I417" s="290"/>
      <c r="J417" s="22"/>
      <c r="K417" s="21"/>
      <c r="N417" s="22"/>
      <c r="O417" s="21"/>
      <c r="P417" s="21"/>
    </row>
    <row r="418" spans="1:16" ht="12.75" customHeight="1" x14ac:dyDescent="0.2">
      <c r="G418" s="6"/>
      <c r="J418" s="22"/>
      <c r="K418" s="21"/>
      <c r="N418" s="22"/>
      <c r="O418" s="21"/>
      <c r="P418" s="21"/>
    </row>
    <row r="419" spans="1:16" ht="12.75" customHeight="1" x14ac:dyDescent="0.2">
      <c r="A419" s="5" t="s">
        <v>7</v>
      </c>
      <c r="H419" s="18">
        <v>0</v>
      </c>
      <c r="I419" s="5" t="s">
        <v>93</v>
      </c>
    </row>
    <row r="420" spans="1:16" ht="12.75" customHeight="1" x14ac:dyDescent="0.2">
      <c r="A420" s="5" t="s">
        <v>8</v>
      </c>
      <c r="H420" s="7"/>
      <c r="I420" s="5" t="s">
        <v>93</v>
      </c>
    </row>
    <row r="421" spans="1:16" ht="12.75" customHeight="1" x14ac:dyDescent="0.2">
      <c r="A421" s="5" t="s">
        <v>9</v>
      </c>
      <c r="H421" s="20">
        <f>H419+H420</f>
        <v>0</v>
      </c>
      <c r="I421" s="5" t="s">
        <v>93</v>
      </c>
    </row>
    <row r="422" spans="1:16" ht="12.75" customHeight="1" x14ac:dyDescent="0.2">
      <c r="H422" s="20"/>
    </row>
    <row r="423" spans="1:16" ht="12.75" customHeight="1" x14ac:dyDescent="0.2">
      <c r="A423" s="5" t="str">
        <f>'BM04'!A55</f>
        <v>1.5.12</v>
      </c>
      <c r="B423" s="5" t="str">
        <f>'BM04'!B55</f>
        <v>FORN.E ASSENTAMENTO DE TUBO DE CONCRETO(D=0,60M)</v>
      </c>
      <c r="H423" s="20"/>
    </row>
    <row r="424" spans="1:16" ht="12.75" customHeight="1" x14ac:dyDescent="0.2">
      <c r="A424" s="292" t="s">
        <v>0</v>
      </c>
      <c r="B424" s="293"/>
      <c r="C424" s="293"/>
      <c r="D424" s="294"/>
      <c r="E424" s="295" t="s">
        <v>135</v>
      </c>
      <c r="F424" s="295" t="s">
        <v>1</v>
      </c>
      <c r="G424" s="297" t="s">
        <v>144</v>
      </c>
      <c r="H424" s="132"/>
      <c r="I424" s="133"/>
    </row>
    <row r="425" spans="1:16" ht="12.75" customHeight="1" x14ac:dyDescent="0.2">
      <c r="A425" s="131" t="s">
        <v>10</v>
      </c>
      <c r="B425" s="131" t="s">
        <v>11</v>
      </c>
      <c r="C425" s="131" t="s">
        <v>10</v>
      </c>
      <c r="D425" s="131" t="s">
        <v>11</v>
      </c>
      <c r="E425" s="296"/>
      <c r="F425" s="296"/>
      <c r="G425" s="298"/>
      <c r="H425" s="132"/>
      <c r="I425" s="133"/>
    </row>
    <row r="426" spans="1:16" ht="12.75" customHeight="1" x14ac:dyDescent="0.2">
      <c r="A426" s="134" t="s">
        <v>215</v>
      </c>
      <c r="B426" s="134"/>
      <c r="C426" s="134"/>
      <c r="D426" s="134"/>
      <c r="E426" s="135"/>
      <c r="F426" s="136">
        <v>14</v>
      </c>
      <c r="G426" s="137"/>
      <c r="H426" s="138"/>
      <c r="I426" s="133"/>
    </row>
    <row r="427" spans="1:16" ht="12.75" customHeight="1" x14ac:dyDescent="0.2">
      <c r="A427" s="134" t="s">
        <v>216</v>
      </c>
      <c r="B427" s="134"/>
      <c r="C427" s="134"/>
      <c r="D427" s="134"/>
      <c r="E427" s="135"/>
      <c r="F427" s="136">
        <v>14</v>
      </c>
      <c r="G427" s="137"/>
      <c r="H427" s="138"/>
      <c r="I427" s="133"/>
    </row>
    <row r="428" spans="1:16" ht="12.75" customHeight="1" x14ac:dyDescent="0.2">
      <c r="A428" s="134"/>
      <c r="B428" s="134"/>
      <c r="C428" s="134"/>
      <c r="D428" s="134"/>
      <c r="E428" s="135"/>
      <c r="F428" s="136"/>
      <c r="G428" s="137"/>
      <c r="H428" s="138"/>
      <c r="I428" s="133"/>
    </row>
    <row r="429" spans="1:16" ht="12.75" customHeight="1" x14ac:dyDescent="0.2">
      <c r="A429" s="134"/>
      <c r="B429" s="134"/>
      <c r="C429" s="134"/>
      <c r="D429" s="134"/>
      <c r="E429" s="135"/>
      <c r="F429" s="136"/>
      <c r="G429" s="137"/>
      <c r="H429" s="138"/>
      <c r="I429" s="133"/>
    </row>
    <row r="430" spans="1:16" ht="12.75" customHeight="1" x14ac:dyDescent="0.2">
      <c r="A430" s="139"/>
      <c r="B430" s="140"/>
      <c r="C430" s="139"/>
      <c r="D430" s="140"/>
      <c r="E430" s="148" t="s">
        <v>145</v>
      </c>
      <c r="F430" s="149">
        <f>SUM(F426:F427)</f>
        <v>28</v>
      </c>
      <c r="G430" s="150" t="s">
        <v>95</v>
      </c>
      <c r="H430" s="138"/>
      <c r="I430" s="133"/>
    </row>
    <row r="431" spans="1:16" ht="12.75" customHeight="1" x14ac:dyDescent="0.2">
      <c r="A431" s="141"/>
      <c r="B431" s="142"/>
      <c r="C431" s="141"/>
      <c r="D431" s="142"/>
      <c r="E431" s="143"/>
      <c r="F431" s="142"/>
      <c r="G431" s="144"/>
      <c r="H431" s="145"/>
      <c r="I431" s="146"/>
    </row>
    <row r="432" spans="1:16" ht="12.75" customHeight="1" x14ac:dyDescent="0.2">
      <c r="A432" s="5" t="s">
        <v>7</v>
      </c>
      <c r="H432" s="18">
        <v>28</v>
      </c>
      <c r="I432" s="5" t="s">
        <v>95</v>
      </c>
    </row>
    <row r="433" spans="1:9" ht="12.75" customHeight="1" x14ac:dyDescent="0.2">
      <c r="A433" s="5" t="s">
        <v>8</v>
      </c>
      <c r="H433" s="226"/>
      <c r="I433" s="5" t="s">
        <v>95</v>
      </c>
    </row>
    <row r="434" spans="1:9" ht="12.75" customHeight="1" x14ac:dyDescent="0.2">
      <c r="A434" s="5" t="s">
        <v>9</v>
      </c>
      <c r="H434" s="226">
        <f>H432+H433</f>
        <v>28</v>
      </c>
      <c r="I434" s="5" t="s">
        <v>95</v>
      </c>
    </row>
    <row r="435" spans="1:9" ht="12.75" customHeight="1" x14ac:dyDescent="0.2">
      <c r="H435" s="226"/>
    </row>
    <row r="436" spans="1:9" ht="12.75" customHeight="1" x14ac:dyDescent="0.2">
      <c r="A436" s="5" t="str">
        <f>'BM04'!A47</f>
        <v>1.5.4</v>
      </c>
      <c r="B436" s="5" t="str">
        <f>'BM04'!B47</f>
        <v>ENTRADA PARA DESCIDA D’ÁGUA - EDA 02 - AREIA E BRITA COMERCIAIS</v>
      </c>
      <c r="H436" s="20"/>
    </row>
    <row r="437" spans="1:9" ht="12.75" customHeight="1" x14ac:dyDescent="0.2">
      <c r="A437" s="303" t="s">
        <v>0</v>
      </c>
      <c r="B437" s="303"/>
      <c r="C437" s="303"/>
      <c r="D437" s="303"/>
      <c r="E437" s="303" t="s">
        <v>135</v>
      </c>
      <c r="F437" s="295" t="s">
        <v>1</v>
      </c>
      <c r="G437" s="304" t="s">
        <v>144</v>
      </c>
      <c r="H437" s="132"/>
      <c r="I437" s="133"/>
    </row>
    <row r="438" spans="1:9" ht="12.75" customHeight="1" x14ac:dyDescent="0.2">
      <c r="A438" s="131" t="s">
        <v>10</v>
      </c>
      <c r="B438" s="131" t="s">
        <v>11</v>
      </c>
      <c r="C438" s="131" t="s">
        <v>10</v>
      </c>
      <c r="D438" s="131" t="s">
        <v>11</v>
      </c>
      <c r="E438" s="303"/>
      <c r="F438" s="296"/>
      <c r="G438" s="304"/>
      <c r="H438" s="132"/>
      <c r="I438" s="133"/>
    </row>
    <row r="439" spans="1:9" ht="12.75" customHeight="1" x14ac:dyDescent="0.2">
      <c r="A439" s="134"/>
      <c r="B439" s="134"/>
      <c r="C439" s="134"/>
      <c r="D439" s="134"/>
      <c r="E439" s="135"/>
      <c r="F439" s="136">
        <v>11</v>
      </c>
      <c r="G439" s="137"/>
      <c r="H439" s="138"/>
      <c r="I439" s="133"/>
    </row>
    <row r="440" spans="1:9" ht="12.75" customHeight="1" x14ac:dyDescent="0.2">
      <c r="A440" s="134"/>
      <c r="B440" s="134"/>
      <c r="C440" s="134"/>
      <c r="D440" s="134"/>
      <c r="E440" s="135"/>
      <c r="F440" s="136"/>
      <c r="G440" s="137"/>
      <c r="H440" s="138"/>
      <c r="I440" s="133"/>
    </row>
    <row r="441" spans="1:9" ht="12.75" customHeight="1" x14ac:dyDescent="0.2">
      <c r="A441" s="134"/>
      <c r="B441" s="134"/>
      <c r="C441" s="134"/>
      <c r="D441" s="134"/>
      <c r="E441" s="135"/>
      <c r="F441" s="136"/>
      <c r="G441" s="137"/>
      <c r="H441" s="138"/>
      <c r="I441" s="133"/>
    </row>
    <row r="442" spans="1:9" ht="12.75" customHeight="1" x14ac:dyDescent="0.2">
      <c r="A442" s="134"/>
      <c r="B442" s="134"/>
      <c r="C442" s="134"/>
      <c r="D442" s="134"/>
      <c r="E442" s="135"/>
      <c r="F442" s="136"/>
      <c r="G442" s="137"/>
      <c r="H442" s="138"/>
      <c r="I442" s="133"/>
    </row>
    <row r="443" spans="1:9" ht="12.75" customHeight="1" x14ac:dyDescent="0.2">
      <c r="A443" s="139"/>
      <c r="B443" s="140"/>
      <c r="C443" s="139"/>
      <c r="D443" s="140"/>
      <c r="E443" s="148" t="s">
        <v>219</v>
      </c>
      <c r="F443" s="149">
        <f>SUM(F439:F440)</f>
        <v>11</v>
      </c>
      <c r="G443" s="150" t="s">
        <v>98</v>
      </c>
      <c r="H443" s="138"/>
      <c r="I443" s="133"/>
    </row>
    <row r="444" spans="1:9" ht="12.75" customHeight="1" x14ac:dyDescent="0.2">
      <c r="A444" s="141"/>
      <c r="B444" s="142"/>
      <c r="C444" s="141"/>
      <c r="D444" s="142"/>
      <c r="E444" s="143"/>
      <c r="F444" s="142"/>
      <c r="G444" s="144"/>
      <c r="H444" s="145"/>
      <c r="I444" s="146"/>
    </row>
    <row r="445" spans="1:9" ht="12.75" customHeight="1" x14ac:dyDescent="0.2">
      <c r="A445" s="5" t="s">
        <v>7</v>
      </c>
      <c r="H445" s="18"/>
      <c r="I445" s="150" t="s">
        <v>98</v>
      </c>
    </row>
    <row r="446" spans="1:9" ht="12.75" customHeight="1" x14ac:dyDescent="0.2">
      <c r="A446" s="5" t="s">
        <v>8</v>
      </c>
      <c r="H446" s="226">
        <f>F443</f>
        <v>11</v>
      </c>
      <c r="I446" s="150" t="s">
        <v>98</v>
      </c>
    </row>
    <row r="447" spans="1:9" ht="12.75" customHeight="1" x14ac:dyDescent="0.2">
      <c r="A447" s="5" t="s">
        <v>9</v>
      </c>
      <c r="H447" s="226">
        <f>H445+H446</f>
        <v>11</v>
      </c>
      <c r="I447" s="150" t="s">
        <v>98</v>
      </c>
    </row>
    <row r="448" spans="1:9" ht="12.75" customHeight="1" x14ac:dyDescent="0.2">
      <c r="H448" s="226"/>
    </row>
    <row r="449" spans="1:16" ht="12.75" customHeight="1" x14ac:dyDescent="0.2">
      <c r="A449" s="5" t="str">
        <f>'BM04'!A48</f>
        <v>1.5.5</v>
      </c>
      <c r="B449" s="5" t="str">
        <f>'BM04'!B48</f>
        <v>DESCIDA D’ÁGUA DE ATERROS TIPO RÁPIDO - DAR 02 - AREIA E BRITA COMERCIAIS</v>
      </c>
      <c r="H449" s="20"/>
    </row>
    <row r="450" spans="1:16" ht="12.75" customHeight="1" x14ac:dyDescent="0.2">
      <c r="A450" s="303" t="s">
        <v>0</v>
      </c>
      <c r="B450" s="303"/>
      <c r="C450" s="303"/>
      <c r="D450" s="303"/>
      <c r="E450" s="303" t="s">
        <v>135</v>
      </c>
      <c r="F450" s="295" t="s">
        <v>1</v>
      </c>
      <c r="G450" s="304" t="s">
        <v>144</v>
      </c>
      <c r="H450" s="132"/>
      <c r="I450" s="133"/>
    </row>
    <row r="451" spans="1:16" ht="12.75" customHeight="1" x14ac:dyDescent="0.2">
      <c r="A451" s="131" t="s">
        <v>10</v>
      </c>
      <c r="B451" s="131" t="s">
        <v>11</v>
      </c>
      <c r="C451" s="131" t="s">
        <v>10</v>
      </c>
      <c r="D451" s="131" t="s">
        <v>11</v>
      </c>
      <c r="E451" s="303"/>
      <c r="F451" s="296"/>
      <c r="G451" s="304"/>
      <c r="H451" s="132"/>
      <c r="I451" s="133"/>
    </row>
    <row r="452" spans="1:16" ht="12.75" customHeight="1" x14ac:dyDescent="0.2">
      <c r="A452" s="134"/>
      <c r="B452" s="134"/>
      <c r="C452" s="134"/>
      <c r="D452" s="134"/>
      <c r="E452" s="135"/>
      <c r="F452" s="136">
        <v>11</v>
      </c>
      <c r="G452" s="137"/>
      <c r="H452" s="138"/>
      <c r="I452" s="133"/>
    </row>
    <row r="453" spans="1:16" ht="12.75" customHeight="1" x14ac:dyDescent="0.2">
      <c r="A453" s="134"/>
      <c r="B453" s="134"/>
      <c r="C453" s="134"/>
      <c r="D453" s="134"/>
      <c r="E453" s="135"/>
      <c r="F453" s="136"/>
      <c r="G453" s="137"/>
      <c r="H453" s="138"/>
      <c r="I453" s="133"/>
    </row>
    <row r="454" spans="1:16" ht="12.75" customHeight="1" x14ac:dyDescent="0.2">
      <c r="A454" s="134"/>
      <c r="B454" s="134"/>
      <c r="C454" s="134"/>
      <c r="D454" s="134"/>
      <c r="E454" s="135"/>
      <c r="F454" s="136"/>
      <c r="G454" s="137"/>
      <c r="H454" s="138"/>
      <c r="I454" s="133"/>
      <c r="J454" s="22"/>
      <c r="K454" s="21"/>
      <c r="N454" s="22"/>
      <c r="O454" s="21"/>
      <c r="P454" s="21"/>
    </row>
    <row r="455" spans="1:16" ht="12.75" customHeight="1" x14ac:dyDescent="0.2">
      <c r="A455" s="134"/>
      <c r="B455" s="134"/>
      <c r="C455" s="134"/>
      <c r="D455" s="134"/>
      <c r="E455" s="135"/>
      <c r="F455" s="136"/>
      <c r="G455" s="137"/>
      <c r="H455" s="138"/>
      <c r="I455" s="133"/>
      <c r="J455" s="22"/>
      <c r="K455" s="21"/>
      <c r="N455" s="22"/>
      <c r="O455" s="21"/>
      <c r="P455" s="21"/>
    </row>
    <row r="456" spans="1:16" ht="12.75" customHeight="1" x14ac:dyDescent="0.2">
      <c r="A456" s="139"/>
      <c r="B456" s="140"/>
      <c r="C456" s="139"/>
      <c r="D456" s="140"/>
      <c r="E456" s="148" t="s">
        <v>145</v>
      </c>
      <c r="F456" s="149">
        <f>SUM(F452:F453)</f>
        <v>11</v>
      </c>
      <c r="G456" s="150" t="s">
        <v>95</v>
      </c>
      <c r="H456" s="138"/>
      <c r="I456" s="133"/>
      <c r="J456" s="22"/>
      <c r="K456" s="21"/>
      <c r="N456" s="22"/>
      <c r="O456" s="21"/>
      <c r="P456" s="21"/>
    </row>
    <row r="457" spans="1:16" x14ac:dyDescent="0.2">
      <c r="A457" s="141"/>
      <c r="B457" s="142"/>
      <c r="C457" s="141"/>
      <c r="D457" s="142"/>
      <c r="E457" s="143"/>
      <c r="F457" s="142"/>
      <c r="G457" s="144"/>
      <c r="H457" s="145"/>
      <c r="I457" s="146"/>
    </row>
    <row r="458" spans="1:16" x14ac:dyDescent="0.2">
      <c r="A458" s="5" t="s">
        <v>7</v>
      </c>
      <c r="H458" s="18"/>
      <c r="I458" s="5" t="s">
        <v>95</v>
      </c>
    </row>
    <row r="459" spans="1:16" x14ac:dyDescent="0.2">
      <c r="A459" s="5" t="s">
        <v>8</v>
      </c>
      <c r="H459" s="226">
        <f>F456</f>
        <v>11</v>
      </c>
      <c r="I459" s="5" t="s">
        <v>95</v>
      </c>
    </row>
    <row r="460" spans="1:16" x14ac:dyDescent="0.2">
      <c r="A460" s="5" t="s">
        <v>9</v>
      </c>
      <c r="H460" s="226">
        <f>H458+H459</f>
        <v>11</v>
      </c>
      <c r="I460" s="5" t="s">
        <v>95</v>
      </c>
    </row>
    <row r="461" spans="1:16" x14ac:dyDescent="0.2">
      <c r="H461" s="226"/>
    </row>
    <row r="462" spans="1:16" x14ac:dyDescent="0.2">
      <c r="A462" s="5" t="str">
        <f>'BM04'!A51</f>
        <v>1.5.8</v>
      </c>
      <c r="B462" s="5" t="str">
        <f>'BM04'!B51</f>
        <v>MEIO FIO DE CONCRETO TIPO MFC-05</v>
      </c>
      <c r="H462" s="20"/>
    </row>
    <row r="463" spans="1:16" x14ac:dyDescent="0.2">
      <c r="A463" s="303" t="s">
        <v>0</v>
      </c>
      <c r="B463" s="303"/>
      <c r="C463" s="303"/>
      <c r="D463" s="303"/>
      <c r="E463" s="303" t="s">
        <v>135</v>
      </c>
      <c r="F463" s="295" t="s">
        <v>1</v>
      </c>
      <c r="G463" s="304" t="s">
        <v>144</v>
      </c>
      <c r="H463" s="132"/>
      <c r="I463" s="133"/>
    </row>
    <row r="464" spans="1:16" x14ac:dyDescent="0.2">
      <c r="A464" s="131" t="s">
        <v>10</v>
      </c>
      <c r="B464" s="131" t="s">
        <v>11</v>
      </c>
      <c r="C464" s="131" t="s">
        <v>10</v>
      </c>
      <c r="D464" s="131" t="s">
        <v>11</v>
      </c>
      <c r="E464" s="303"/>
      <c r="F464" s="296"/>
      <c r="G464" s="304"/>
      <c r="H464" s="132"/>
      <c r="I464" s="133"/>
    </row>
    <row r="465" spans="1:9" x14ac:dyDescent="0.2">
      <c r="A465" s="134"/>
      <c r="B465" s="134"/>
      <c r="C465" s="134"/>
      <c r="D465" s="134"/>
      <c r="E465" s="135">
        <v>2</v>
      </c>
      <c r="F465" s="136">
        <v>2150</v>
      </c>
      <c r="G465" s="137"/>
      <c r="H465" s="138"/>
      <c r="I465" s="133"/>
    </row>
    <row r="466" spans="1:9" x14ac:dyDescent="0.2">
      <c r="A466" s="134"/>
      <c r="B466" s="134"/>
      <c r="C466" s="134"/>
      <c r="D466" s="134"/>
      <c r="E466" s="135"/>
      <c r="F466" s="136"/>
      <c r="G466" s="137"/>
      <c r="H466" s="138"/>
      <c r="I466" s="133"/>
    </row>
    <row r="467" spans="1:9" x14ac:dyDescent="0.2">
      <c r="A467" s="134"/>
      <c r="B467" s="134"/>
      <c r="C467" s="134"/>
      <c r="D467" s="134"/>
      <c r="E467" s="135"/>
      <c r="F467" s="136"/>
      <c r="G467" s="137"/>
      <c r="H467" s="138"/>
      <c r="I467" s="133"/>
    </row>
    <row r="468" spans="1:9" x14ac:dyDescent="0.2">
      <c r="A468" s="134"/>
      <c r="B468" s="134"/>
      <c r="C468" s="134"/>
      <c r="D468" s="134"/>
      <c r="E468" s="135"/>
      <c r="F468" s="136"/>
      <c r="G468" s="137"/>
      <c r="H468" s="138"/>
      <c r="I468" s="133"/>
    </row>
    <row r="469" spans="1:9" x14ac:dyDescent="0.2">
      <c r="A469" s="139"/>
      <c r="B469" s="140"/>
      <c r="C469" s="139"/>
      <c r="D469" s="140"/>
      <c r="E469" s="148" t="s">
        <v>145</v>
      </c>
      <c r="F469" s="149">
        <f>F465*E465+F466*E466+F467*E467</f>
        <v>4300</v>
      </c>
      <c r="G469" s="150" t="s">
        <v>95</v>
      </c>
      <c r="H469" s="138"/>
      <c r="I469" s="133"/>
    </row>
    <row r="470" spans="1:9" x14ac:dyDescent="0.2">
      <c r="A470" s="141"/>
      <c r="B470" s="142"/>
      <c r="C470" s="141"/>
      <c r="D470" s="142"/>
      <c r="E470" s="143"/>
      <c r="F470" s="142"/>
      <c r="G470" s="144"/>
      <c r="H470" s="145"/>
      <c r="I470" s="146"/>
    </row>
    <row r="471" spans="1:9" x14ac:dyDescent="0.2">
      <c r="A471" s="5" t="s">
        <v>7</v>
      </c>
      <c r="H471" s="18">
        <v>0</v>
      </c>
      <c r="I471" s="5" t="s">
        <v>95</v>
      </c>
    </row>
    <row r="472" spans="1:9" x14ac:dyDescent="0.2">
      <c r="A472" s="5" t="s">
        <v>8</v>
      </c>
      <c r="H472" s="226">
        <f>F469</f>
        <v>4300</v>
      </c>
      <c r="I472" s="5" t="s">
        <v>95</v>
      </c>
    </row>
    <row r="473" spans="1:9" x14ac:dyDescent="0.2">
      <c r="A473" s="5" t="s">
        <v>9</v>
      </c>
      <c r="H473" s="226">
        <f>H471+H472</f>
        <v>4300</v>
      </c>
      <c r="I473" s="5" t="s">
        <v>95</v>
      </c>
    </row>
    <row r="474" spans="1:9" x14ac:dyDescent="0.2">
      <c r="H474" s="226"/>
    </row>
    <row r="475" spans="1:9" x14ac:dyDescent="0.2">
      <c r="A475" s="5" t="str">
        <f>'BM04'!A52</f>
        <v>1.5.9</v>
      </c>
      <c r="B475" s="5" t="str">
        <f>'BM04'!B52</f>
        <v>PINTURA DE BANQUETA A CAL ( 2 DEMAOS )</v>
      </c>
      <c r="H475" s="20"/>
    </row>
    <row r="476" spans="1:9" x14ac:dyDescent="0.2">
      <c r="A476" s="303" t="s">
        <v>0</v>
      </c>
      <c r="B476" s="303"/>
      <c r="C476" s="303"/>
      <c r="D476" s="303"/>
      <c r="E476" s="303" t="s">
        <v>135</v>
      </c>
      <c r="F476" s="295" t="s">
        <v>1</v>
      </c>
      <c r="G476" s="304" t="s">
        <v>144</v>
      </c>
      <c r="H476" s="132"/>
      <c r="I476" s="133"/>
    </row>
    <row r="477" spans="1:9" x14ac:dyDescent="0.2">
      <c r="A477" s="131" t="s">
        <v>10</v>
      </c>
      <c r="B477" s="131" t="s">
        <v>11</v>
      </c>
      <c r="C477" s="131" t="s">
        <v>10</v>
      </c>
      <c r="D477" s="131" t="s">
        <v>11</v>
      </c>
      <c r="E477" s="303"/>
      <c r="F477" s="296"/>
      <c r="G477" s="304"/>
      <c r="H477" s="132"/>
      <c r="I477" s="133"/>
    </row>
    <row r="478" spans="1:9" x14ac:dyDescent="0.2">
      <c r="A478" s="134"/>
      <c r="B478" s="134"/>
      <c r="C478" s="134"/>
      <c r="D478" s="134"/>
      <c r="E478" s="135">
        <v>2</v>
      </c>
      <c r="F478" s="136">
        <v>2150</v>
      </c>
      <c r="G478" s="137"/>
      <c r="H478" s="138"/>
      <c r="I478" s="133"/>
    </row>
    <row r="479" spans="1:9" x14ac:dyDescent="0.2">
      <c r="A479" s="134"/>
      <c r="B479" s="134"/>
      <c r="C479" s="134"/>
      <c r="D479" s="134"/>
      <c r="E479" s="135"/>
      <c r="F479" s="136"/>
      <c r="G479" s="137"/>
      <c r="H479" s="138"/>
      <c r="I479" s="133"/>
    </row>
    <row r="480" spans="1:9" x14ac:dyDescent="0.2">
      <c r="A480" s="134"/>
      <c r="B480" s="134"/>
      <c r="C480" s="134"/>
      <c r="D480" s="134"/>
      <c r="E480" s="135"/>
      <c r="F480" s="136"/>
      <c r="G480" s="137"/>
      <c r="H480" s="138"/>
      <c r="I480" s="133"/>
    </row>
    <row r="481" spans="1:9" x14ac:dyDescent="0.2">
      <c r="A481" s="134"/>
      <c r="B481" s="134"/>
      <c r="C481" s="134"/>
      <c r="D481" s="134"/>
      <c r="E481" s="135"/>
      <c r="F481" s="136"/>
      <c r="G481" s="137"/>
      <c r="H481" s="138"/>
      <c r="I481" s="133"/>
    </row>
    <row r="482" spans="1:9" x14ac:dyDescent="0.2">
      <c r="A482" s="139"/>
      <c r="B482" s="140"/>
      <c r="C482" s="139"/>
      <c r="D482" s="140"/>
      <c r="E482" s="148" t="s">
        <v>145</v>
      </c>
      <c r="F482" s="149">
        <f>F478*E478+F479*E479+F480*E480</f>
        <v>4300</v>
      </c>
      <c r="G482" s="150" t="s">
        <v>95</v>
      </c>
      <c r="H482" s="138"/>
      <c r="I482" s="133"/>
    </row>
    <row r="483" spans="1:9" x14ac:dyDescent="0.2">
      <c r="A483" s="141"/>
      <c r="B483" s="142"/>
      <c r="C483" s="141"/>
      <c r="D483" s="142"/>
      <c r="E483" s="143"/>
      <c r="F483" s="142"/>
      <c r="G483" s="144"/>
      <c r="H483" s="145"/>
      <c r="I483" s="146"/>
    </row>
    <row r="484" spans="1:9" x14ac:dyDescent="0.2">
      <c r="A484" s="5" t="s">
        <v>7</v>
      </c>
      <c r="H484" s="18">
        <v>0</v>
      </c>
      <c r="I484" s="5" t="s">
        <v>95</v>
      </c>
    </row>
    <row r="485" spans="1:9" x14ac:dyDescent="0.2">
      <c r="A485" s="5" t="s">
        <v>8</v>
      </c>
      <c r="H485" s="226">
        <f>F482</f>
        <v>4300</v>
      </c>
      <c r="I485" s="5" t="s">
        <v>95</v>
      </c>
    </row>
    <row r="486" spans="1:9" x14ac:dyDescent="0.2">
      <c r="A486" s="5" t="s">
        <v>9</v>
      </c>
      <c r="H486" s="226">
        <f>H484+H485</f>
        <v>4300</v>
      </c>
      <c r="I486" s="5" t="s">
        <v>95</v>
      </c>
    </row>
    <row r="487" spans="1:9" x14ac:dyDescent="0.2">
      <c r="H487" s="226"/>
    </row>
    <row r="488" spans="1:9" x14ac:dyDescent="0.2">
      <c r="A488" s="5" t="s">
        <v>186</v>
      </c>
      <c r="B488" s="5" t="s">
        <v>180</v>
      </c>
      <c r="H488" s="226"/>
    </row>
    <row r="489" spans="1:9" x14ac:dyDescent="0.2">
      <c r="A489" s="5" t="s">
        <v>0</v>
      </c>
      <c r="E489" s="5" t="s">
        <v>135</v>
      </c>
      <c r="F489" s="5" t="s">
        <v>1</v>
      </c>
      <c r="G489" s="5" t="s">
        <v>144</v>
      </c>
      <c r="H489" s="226"/>
    </row>
    <row r="490" spans="1:9" x14ac:dyDescent="0.2">
      <c r="A490" s="5" t="s">
        <v>10</v>
      </c>
      <c r="B490" s="5" t="s">
        <v>11</v>
      </c>
      <c r="C490" s="5" t="s">
        <v>10</v>
      </c>
      <c r="D490" s="5" t="s">
        <v>11</v>
      </c>
      <c r="H490" s="226"/>
    </row>
    <row r="491" spans="1:9" x14ac:dyDescent="0.2">
      <c r="E491" s="5">
        <v>2</v>
      </c>
      <c r="H491" s="226"/>
    </row>
    <row r="492" spans="1:9" x14ac:dyDescent="0.2">
      <c r="H492" s="226"/>
    </row>
    <row r="493" spans="1:9" x14ac:dyDescent="0.2">
      <c r="E493" s="5" t="s">
        <v>143</v>
      </c>
      <c r="F493" s="5">
        <v>2</v>
      </c>
      <c r="G493" s="5" t="s">
        <v>239</v>
      </c>
      <c r="H493" s="226"/>
    </row>
    <row r="494" spans="1:9" x14ac:dyDescent="0.2">
      <c r="H494" s="226"/>
    </row>
    <row r="495" spans="1:9" x14ac:dyDescent="0.2">
      <c r="A495" s="5" t="s">
        <v>7</v>
      </c>
      <c r="H495" s="226">
        <v>0</v>
      </c>
      <c r="I495" s="5" t="s">
        <v>240</v>
      </c>
    </row>
    <row r="496" spans="1:9" x14ac:dyDescent="0.2">
      <c r="A496" s="5" t="s">
        <v>8</v>
      </c>
      <c r="H496" s="226">
        <f>F493</f>
        <v>2</v>
      </c>
      <c r="I496" s="5" t="s">
        <v>240</v>
      </c>
    </row>
    <row r="497" spans="1:9" x14ac:dyDescent="0.2">
      <c r="A497" s="5" t="s">
        <v>9</v>
      </c>
      <c r="H497" s="226">
        <f>H496</f>
        <v>2</v>
      </c>
      <c r="I497" s="5" t="s">
        <v>240</v>
      </c>
    </row>
    <row r="498" spans="1:9" x14ac:dyDescent="0.2">
      <c r="H498" s="226"/>
    </row>
    <row r="499" spans="1:9" x14ac:dyDescent="0.2">
      <c r="H499" s="226"/>
    </row>
    <row r="500" spans="1:9" x14ac:dyDescent="0.2">
      <c r="H500" s="226"/>
    </row>
    <row r="501" spans="1:9" x14ac:dyDescent="0.2">
      <c r="H501" s="226"/>
    </row>
    <row r="502" spans="1:9" x14ac:dyDescent="0.2">
      <c r="H502" s="20"/>
    </row>
    <row r="503" spans="1:9" x14ac:dyDescent="0.2">
      <c r="A503" s="8"/>
      <c r="B503" s="8"/>
      <c r="C503" s="8"/>
    </row>
    <row r="504" spans="1:9" x14ac:dyDescent="0.2">
      <c r="G504" s="6"/>
    </row>
    <row r="505" spans="1:9" x14ac:dyDescent="0.2">
      <c r="A505" s="5" t="s">
        <v>223</v>
      </c>
      <c r="G505" s="6"/>
    </row>
    <row r="506" spans="1:9" x14ac:dyDescent="0.2">
      <c r="G506" s="6"/>
    </row>
  </sheetData>
  <mergeCells count="197">
    <mergeCell ref="A367:H368"/>
    <mergeCell ref="A298:I300"/>
    <mergeCell ref="A95:D95"/>
    <mergeCell ref="A94:D94"/>
    <mergeCell ref="A96:D96"/>
    <mergeCell ref="E91:E92"/>
    <mergeCell ref="G91:G92"/>
    <mergeCell ref="F91:F92"/>
    <mergeCell ref="A91:D91"/>
    <mergeCell ref="H344:H345"/>
    <mergeCell ref="G344:G345"/>
    <mergeCell ref="F344:F345"/>
    <mergeCell ref="E344:E345"/>
    <mergeCell ref="C344:D345"/>
    <mergeCell ref="A344:B345"/>
    <mergeCell ref="A109:D109"/>
    <mergeCell ref="H238:H239"/>
    <mergeCell ref="H196:H197"/>
    <mergeCell ref="G196:G197"/>
    <mergeCell ref="H200:I200"/>
    <mergeCell ref="E121:E122"/>
    <mergeCell ref="F121:F122"/>
    <mergeCell ref="G121:G122"/>
    <mergeCell ref="H121:H122"/>
    <mergeCell ref="B134:I134"/>
    <mergeCell ref="B147:I147"/>
    <mergeCell ref="B104:I104"/>
    <mergeCell ref="E224:E225"/>
    <mergeCell ref="A476:D476"/>
    <mergeCell ref="E476:E477"/>
    <mergeCell ref="F476:F477"/>
    <mergeCell ref="G476:G477"/>
    <mergeCell ref="A437:D437"/>
    <mergeCell ref="E437:E438"/>
    <mergeCell ref="F437:F438"/>
    <mergeCell ref="G437:G438"/>
    <mergeCell ref="A450:D450"/>
    <mergeCell ref="E450:E451"/>
    <mergeCell ref="F450:F451"/>
    <mergeCell ref="G450:G451"/>
    <mergeCell ref="A463:D463"/>
    <mergeCell ref="E463:E464"/>
    <mergeCell ref="F463:F464"/>
    <mergeCell ref="G463:G464"/>
    <mergeCell ref="A162:D162"/>
    <mergeCell ref="A238:D238"/>
    <mergeCell ref="E238:E239"/>
    <mergeCell ref="F238:F239"/>
    <mergeCell ref="G238:G239"/>
    <mergeCell ref="A385:D385"/>
    <mergeCell ref="E385:E386"/>
    <mergeCell ref="F385:F386"/>
    <mergeCell ref="G385:G386"/>
    <mergeCell ref="H136:H137"/>
    <mergeCell ref="G162:G163"/>
    <mergeCell ref="I162:I163"/>
    <mergeCell ref="A136:D136"/>
    <mergeCell ref="E136:E137"/>
    <mergeCell ref="F136:F137"/>
    <mergeCell ref="A252:D252"/>
    <mergeCell ref="E252:E253"/>
    <mergeCell ref="F252:F253"/>
    <mergeCell ref="G252:G253"/>
    <mergeCell ref="H252:H253"/>
    <mergeCell ref="H256:I256"/>
    <mergeCell ref="A265:B265"/>
    <mergeCell ref="C265:D265"/>
    <mergeCell ref="I238:I239"/>
    <mergeCell ref="A209:D209"/>
    <mergeCell ref="E209:E210"/>
    <mergeCell ref="F209:F210"/>
    <mergeCell ref="G209:G210"/>
    <mergeCell ref="H209:H210"/>
    <mergeCell ref="B376:I376"/>
    <mergeCell ref="A365:D365"/>
    <mergeCell ref="I365:I366"/>
    <mergeCell ref="G136:G137"/>
    <mergeCell ref="B160:I160"/>
    <mergeCell ref="B119:I119"/>
    <mergeCell ref="F149:F150"/>
    <mergeCell ref="G149:G150"/>
    <mergeCell ref="H149:H150"/>
    <mergeCell ref="I149:I150"/>
    <mergeCell ref="I209:I210"/>
    <mergeCell ref="F224:F225"/>
    <mergeCell ref="G224:G225"/>
    <mergeCell ref="H224:H225"/>
    <mergeCell ref="I224:I225"/>
    <mergeCell ref="A224:D224"/>
    <mergeCell ref="C328:D329"/>
    <mergeCell ref="E328:E329"/>
    <mergeCell ref="F328:F329"/>
    <mergeCell ref="G328:G329"/>
    <mergeCell ref="A309:B309"/>
    <mergeCell ref="C309:D310"/>
    <mergeCell ref="E309:E310"/>
    <mergeCell ref="F309:F310"/>
    <mergeCell ref="G309:G310"/>
    <mergeCell ref="B292:I292"/>
    <mergeCell ref="B307:I307"/>
    <mergeCell ref="B326:I326"/>
    <mergeCell ref="A196:D196"/>
    <mergeCell ref="E196:E197"/>
    <mergeCell ref="A106:D106"/>
    <mergeCell ref="F196:F197"/>
    <mergeCell ref="A176:B176"/>
    <mergeCell ref="A177:B177"/>
    <mergeCell ref="A186:B186"/>
    <mergeCell ref="A187:B187"/>
    <mergeCell ref="H162:H163"/>
    <mergeCell ref="I136:I137"/>
    <mergeCell ref="A121:D121"/>
    <mergeCell ref="E162:E163"/>
    <mergeCell ref="F162:F163"/>
    <mergeCell ref="B174:I174"/>
    <mergeCell ref="B184:I184"/>
    <mergeCell ref="A149:D149"/>
    <mergeCell ref="E149:E150"/>
    <mergeCell ref="B194:I194"/>
    <mergeCell ref="I106:I107"/>
    <mergeCell ref="B117:I117"/>
    <mergeCell ref="E265:E266"/>
    <mergeCell ref="E35:E36"/>
    <mergeCell ref="F35:F36"/>
    <mergeCell ref="G35:G36"/>
    <mergeCell ref="H35:H36"/>
    <mergeCell ref="H51:H52"/>
    <mergeCell ref="B62:I62"/>
    <mergeCell ref="B76:I76"/>
    <mergeCell ref="B89:I89"/>
    <mergeCell ref="A64:D64"/>
    <mergeCell ref="G64:G65"/>
    <mergeCell ref="B47:I47"/>
    <mergeCell ref="A51:D51"/>
    <mergeCell ref="E51:E52"/>
    <mergeCell ref="F51:F52"/>
    <mergeCell ref="G51:G52"/>
    <mergeCell ref="I51:I52"/>
    <mergeCell ref="H91:H92"/>
    <mergeCell ref="B49:I49"/>
    <mergeCell ref="A35:D35"/>
    <mergeCell ref="A78:D78"/>
    <mergeCell ref="I78:I79"/>
    <mergeCell ref="I91:I92"/>
    <mergeCell ref="I35:I36"/>
    <mergeCell ref="B3:I3"/>
    <mergeCell ref="B5:I5"/>
    <mergeCell ref="B7:I7"/>
    <mergeCell ref="B20:I20"/>
    <mergeCell ref="B33:I33"/>
    <mergeCell ref="A9:D9"/>
    <mergeCell ref="A22:D22"/>
    <mergeCell ref="E22:E23"/>
    <mergeCell ref="F22:F23"/>
    <mergeCell ref="G22:G23"/>
    <mergeCell ref="H22:H23"/>
    <mergeCell ref="I22:I23"/>
    <mergeCell ref="G9:G10"/>
    <mergeCell ref="E9:E10"/>
    <mergeCell ref="F9:F10"/>
    <mergeCell ref="I9:I10"/>
    <mergeCell ref="H9:H10"/>
    <mergeCell ref="F265:F266"/>
    <mergeCell ref="G265:G266"/>
    <mergeCell ref="H265:H266"/>
    <mergeCell ref="I265:I266"/>
    <mergeCell ref="A280:B280"/>
    <mergeCell ref="C280:D280"/>
    <mergeCell ref="E280:E281"/>
    <mergeCell ref="F280:F281"/>
    <mergeCell ref="G280:G281"/>
    <mergeCell ref="H280:H281"/>
    <mergeCell ref="I280:I281"/>
    <mergeCell ref="H296:H297"/>
    <mergeCell ref="I296:I297"/>
    <mergeCell ref="B342:I342"/>
    <mergeCell ref="B355:I355"/>
    <mergeCell ref="B383:I383"/>
    <mergeCell ref="B397:I397"/>
    <mergeCell ref="B411:I411"/>
    <mergeCell ref="B417:I417"/>
    <mergeCell ref="A424:D424"/>
    <mergeCell ref="E424:E425"/>
    <mergeCell ref="F424:F425"/>
    <mergeCell ref="G424:G425"/>
    <mergeCell ref="A296:B296"/>
    <mergeCell ref="C296:D296"/>
    <mergeCell ref="E296:E297"/>
    <mergeCell ref="F296:F297"/>
    <mergeCell ref="G296:G297"/>
    <mergeCell ref="B357:I357"/>
    <mergeCell ref="B363:I363"/>
    <mergeCell ref="A399:D399"/>
    <mergeCell ref="E399:E400"/>
    <mergeCell ref="F399:F400"/>
    <mergeCell ref="G399:G400"/>
    <mergeCell ref="A328:B329"/>
  </mergeCells>
  <phoneticPr fontId="0" type="noConversion"/>
  <printOptions horizontalCentered="1"/>
  <pageMargins left="0" right="0" top="0.39370078740157483" bottom="0.39370078740157483" header="0.31496062992125984" footer="0.31496062992125984"/>
  <pageSetup paperSize="9" firstPageNumber="2" fitToHeight="100" orientation="portrait" useFirstPageNumber="1" horizontalDpi="300" verticalDpi="300" r:id="rId1"/>
  <headerFooter alignWithMargins="0"/>
  <rowBreaks count="1" manualBreakCount="1">
    <brk id="44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F3C5-43E7-4514-BDEB-2FBE3C3342B5}">
  <sheetPr>
    <pageSetUpPr fitToPage="1"/>
  </sheetPr>
  <dimension ref="A1:S61"/>
  <sheetViews>
    <sheetView view="pageBreakPreview" zoomScaleNormal="70" zoomScaleSheetLayoutView="100" workbookViewId="0">
      <selection activeCell="I67" sqref="I67"/>
    </sheetView>
  </sheetViews>
  <sheetFormatPr defaultColWidth="9.28515625" defaultRowHeight="9" x14ac:dyDescent="0.2"/>
  <cols>
    <col min="1" max="1" width="8.28515625" style="34" customWidth="1"/>
    <col min="2" max="2" width="42.5703125" style="34" customWidth="1"/>
    <col min="3" max="3" width="6.28515625" style="34" customWidth="1"/>
    <col min="4" max="4" width="10.28515625" style="34" customWidth="1"/>
    <col min="5" max="8" width="12.7109375" style="34" customWidth="1"/>
    <col min="9" max="11" width="14" style="34" customWidth="1"/>
    <col min="12" max="15" width="14.5703125" style="34" customWidth="1"/>
    <col min="16" max="16" width="13.5703125" style="34" customWidth="1"/>
    <col min="17" max="17" width="14" style="34" customWidth="1"/>
    <col min="18" max="16384" width="9.28515625" style="34"/>
  </cols>
  <sheetData>
    <row r="1" spans="1:18" x14ac:dyDescent="0.2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8" x14ac:dyDescent="0.2">
      <c r="A2" s="248" t="s">
        <v>97</v>
      </c>
      <c r="B2" s="243" t="s">
        <v>4</v>
      </c>
      <c r="C2" s="243" t="s">
        <v>98</v>
      </c>
      <c r="D2" s="243" t="s">
        <v>99</v>
      </c>
      <c r="E2" s="248" t="s">
        <v>26</v>
      </c>
      <c r="F2" s="248"/>
      <c r="G2" s="248"/>
      <c r="H2" s="248"/>
      <c r="I2" s="248"/>
      <c r="J2" s="248"/>
      <c r="K2" s="248"/>
      <c r="L2" s="249" t="s">
        <v>27</v>
      </c>
      <c r="M2" s="249"/>
      <c r="N2" s="249"/>
      <c r="O2" s="249"/>
      <c r="P2" s="249"/>
      <c r="Q2" s="249"/>
    </row>
    <row r="3" spans="1:18" ht="27" x14ac:dyDescent="0.2">
      <c r="A3" s="248"/>
      <c r="B3" s="243"/>
      <c r="C3" s="243"/>
      <c r="D3" s="243"/>
      <c r="E3" s="63" t="s">
        <v>28</v>
      </c>
      <c r="F3" s="63" t="s">
        <v>232</v>
      </c>
      <c r="G3" s="63" t="s">
        <v>233</v>
      </c>
      <c r="H3" s="63" t="s">
        <v>234</v>
      </c>
      <c r="I3" s="63" t="s">
        <v>231</v>
      </c>
      <c r="J3" s="63" t="s">
        <v>235</v>
      </c>
      <c r="K3" s="64" t="s">
        <v>230</v>
      </c>
      <c r="L3" s="64" t="s">
        <v>28</v>
      </c>
      <c r="M3" s="63" t="s">
        <v>232</v>
      </c>
      <c r="N3" s="63" t="s">
        <v>233</v>
      </c>
      <c r="O3" s="63" t="s">
        <v>234</v>
      </c>
      <c r="P3" s="63" t="s">
        <v>231</v>
      </c>
      <c r="Q3" s="64" t="s">
        <v>230</v>
      </c>
    </row>
    <row r="4" spans="1:18" ht="15" customHeight="1" x14ac:dyDescent="0.2">
      <c r="A4" s="25">
        <v>1</v>
      </c>
      <c r="B4" s="52" t="s">
        <v>113</v>
      </c>
      <c r="C4" s="53"/>
      <c r="D4" s="53"/>
      <c r="E4" s="53"/>
      <c r="F4" s="53"/>
      <c r="G4" s="53"/>
      <c r="H4" s="53"/>
      <c r="I4" s="53"/>
      <c r="J4" s="53"/>
      <c r="K4" s="53"/>
      <c r="L4" s="54"/>
      <c r="M4" s="54"/>
      <c r="N4" s="54"/>
      <c r="O4" s="54"/>
      <c r="P4" s="53"/>
      <c r="Q4" s="194"/>
    </row>
    <row r="5" spans="1:18" ht="15" customHeight="1" x14ac:dyDescent="0.2">
      <c r="A5" s="59" t="s">
        <v>36</v>
      </c>
      <c r="B5" s="60" t="s">
        <v>37</v>
      </c>
      <c r="C5" s="61"/>
      <c r="D5" s="61"/>
      <c r="E5" s="61"/>
      <c r="F5" s="61"/>
      <c r="G5" s="61"/>
      <c r="H5" s="61"/>
      <c r="I5" s="61"/>
      <c r="J5" s="61"/>
      <c r="K5" s="61"/>
      <c r="L5" s="65">
        <f>SUM(L6:L8)</f>
        <v>12459.146400000001</v>
      </c>
      <c r="M5" s="65">
        <f t="shared" ref="M5:O5" si="0">SUM(M6:M8)</f>
        <v>12459.155280000001</v>
      </c>
      <c r="N5" s="65">
        <f t="shared" si="0"/>
        <v>0</v>
      </c>
      <c r="O5" s="65">
        <f t="shared" si="0"/>
        <v>0</v>
      </c>
      <c r="P5" s="65">
        <f t="shared" ref="P5:Q5" si="1">SUM(P6:P8)</f>
        <v>0</v>
      </c>
      <c r="Q5" s="65">
        <f t="shared" si="1"/>
        <v>12459.16</v>
      </c>
    </row>
    <row r="6" spans="1:18" ht="27" x14ac:dyDescent="0.2">
      <c r="A6" s="167" t="s">
        <v>69</v>
      </c>
      <c r="B6" s="168" t="s">
        <v>38</v>
      </c>
      <c r="C6" s="169" t="s">
        <v>41</v>
      </c>
      <c r="D6" s="170">
        <v>0.43</v>
      </c>
      <c r="E6" s="232">
        <v>14222.78</v>
      </c>
      <c r="F6" s="236">
        <v>14222.78</v>
      </c>
      <c r="G6" s="236">
        <v>0</v>
      </c>
      <c r="H6" s="236">
        <v>0</v>
      </c>
      <c r="I6" s="172">
        <v>0</v>
      </c>
      <c r="J6" s="172">
        <f>SUM(F6:I6)</f>
        <v>14222.78</v>
      </c>
      <c r="K6" s="172">
        <v>14222.78</v>
      </c>
      <c r="L6" s="173">
        <f>TRUNC(E6*D6,2)</f>
        <v>6115.79</v>
      </c>
      <c r="M6" s="173">
        <f>F6*D6</f>
        <v>6115.7954</v>
      </c>
      <c r="N6" s="173">
        <f>G6*D6</f>
        <v>0</v>
      </c>
      <c r="O6" s="173">
        <f>H6*D6</f>
        <v>0</v>
      </c>
      <c r="P6" s="173">
        <f>ROUND(I6*D6,2)</f>
        <v>0</v>
      </c>
      <c r="Q6" s="173">
        <f>ROUND(K6*D6,2)</f>
        <v>6115.8</v>
      </c>
    </row>
    <row r="7" spans="1:18" ht="27" x14ac:dyDescent="0.2">
      <c r="A7" s="167" t="s">
        <v>70</v>
      </c>
      <c r="B7" s="168" t="s">
        <v>39</v>
      </c>
      <c r="C7" s="169" t="s">
        <v>41</v>
      </c>
      <c r="D7" s="170">
        <v>0.38</v>
      </c>
      <c r="E7" s="232">
        <v>14222.78</v>
      </c>
      <c r="F7" s="236">
        <v>14222.78</v>
      </c>
      <c r="G7" s="236">
        <v>0</v>
      </c>
      <c r="H7" s="236">
        <v>0</v>
      </c>
      <c r="I7" s="172">
        <v>0</v>
      </c>
      <c r="J7" s="172">
        <f t="shared" ref="J7:J47" si="2">SUM(F7:I7)</f>
        <v>14222.78</v>
      </c>
      <c r="K7" s="172">
        <v>14222.78</v>
      </c>
      <c r="L7" s="173">
        <f>(E7*D7)</f>
        <v>5404.6564000000008</v>
      </c>
      <c r="M7" s="173">
        <f>F7*D7</f>
        <v>5404.6564000000008</v>
      </c>
      <c r="N7" s="173">
        <f>G7*D7</f>
        <v>0</v>
      </c>
      <c r="O7" s="173">
        <f>H7*D7</f>
        <v>0</v>
      </c>
      <c r="P7" s="173">
        <f>ROUND(I7*D7,2)</f>
        <v>0</v>
      </c>
      <c r="Q7" s="173">
        <f t="shared" ref="Q7:Q8" si="3">ROUND(K7*D7,2)</f>
        <v>5404.66</v>
      </c>
    </row>
    <row r="8" spans="1:18" ht="27" x14ac:dyDescent="0.2">
      <c r="A8" s="167" t="s">
        <v>71</v>
      </c>
      <c r="B8" s="168" t="s">
        <v>40</v>
      </c>
      <c r="C8" s="169" t="s">
        <v>42</v>
      </c>
      <c r="D8" s="170">
        <v>0.66</v>
      </c>
      <c r="E8" s="232">
        <v>1422.28</v>
      </c>
      <c r="F8" s="236">
        <v>1422.2780000000002</v>
      </c>
      <c r="G8" s="236">
        <v>0</v>
      </c>
      <c r="H8" s="236">
        <v>0</v>
      </c>
      <c r="I8" s="172">
        <v>0</v>
      </c>
      <c r="J8" s="172">
        <f t="shared" si="2"/>
        <v>1422.2780000000002</v>
      </c>
      <c r="K8" s="172">
        <v>1422.2780000000002</v>
      </c>
      <c r="L8" s="173">
        <f>ROUND(E8*D8,2)</f>
        <v>938.7</v>
      </c>
      <c r="M8" s="173">
        <f>F8*D8</f>
        <v>938.70348000000024</v>
      </c>
      <c r="N8" s="173">
        <f>G8*D8</f>
        <v>0</v>
      </c>
      <c r="O8" s="173">
        <f>H8*D8</f>
        <v>0</v>
      </c>
      <c r="P8" s="173">
        <f>ROUND(I8*D8,2)</f>
        <v>0</v>
      </c>
      <c r="Q8" s="173">
        <f t="shared" si="3"/>
        <v>938.7</v>
      </c>
    </row>
    <row r="9" spans="1:18" ht="15" customHeight="1" x14ac:dyDescent="0.2">
      <c r="A9" s="59" t="s">
        <v>43</v>
      </c>
      <c r="B9" s="60" t="s">
        <v>44</v>
      </c>
      <c r="C9" s="61"/>
      <c r="D9" s="61"/>
      <c r="E9" s="61"/>
      <c r="F9" s="237"/>
      <c r="G9" s="237"/>
      <c r="H9" s="237"/>
      <c r="I9" s="237"/>
      <c r="J9" s="237"/>
      <c r="K9" s="237"/>
      <c r="L9" s="65">
        <f>SUM(L10:L14)</f>
        <v>1468665.74</v>
      </c>
      <c r="M9" s="65">
        <f t="shared" ref="M9:O9" si="4">SUM(M10:M14)</f>
        <v>1003059.1281999999</v>
      </c>
      <c r="N9" s="65">
        <f t="shared" si="4"/>
        <v>500926.83960000006</v>
      </c>
      <c r="O9" s="65">
        <f t="shared" si="4"/>
        <v>1320</v>
      </c>
      <c r="P9" s="65">
        <f>SUM(P10:P14)</f>
        <v>-36640.239999999998</v>
      </c>
      <c r="Q9" s="65">
        <f>SUM(Q10:Q14)</f>
        <v>1468665.74</v>
      </c>
    </row>
    <row r="10" spans="1:18" ht="27" x14ac:dyDescent="0.2">
      <c r="A10" s="167" t="s">
        <v>72</v>
      </c>
      <c r="B10" s="168" t="s">
        <v>38</v>
      </c>
      <c r="C10" s="169" t="s">
        <v>41</v>
      </c>
      <c r="D10" s="170">
        <v>0.43</v>
      </c>
      <c r="E10" s="232">
        <v>14222.779999999999</v>
      </c>
      <c r="F10" s="236">
        <v>2188.12</v>
      </c>
      <c r="G10" s="236">
        <v>12034.66</v>
      </c>
      <c r="H10" s="236">
        <v>0</v>
      </c>
      <c r="I10" s="172">
        <v>0</v>
      </c>
      <c r="J10" s="172">
        <f t="shared" si="2"/>
        <v>14222.779999999999</v>
      </c>
      <c r="K10" s="172">
        <v>14222.779999999999</v>
      </c>
      <c r="L10" s="173">
        <f>ROUND(E10*D10,2)</f>
        <v>6115.8</v>
      </c>
      <c r="M10" s="173">
        <f>F10*D10</f>
        <v>940.89159999999993</v>
      </c>
      <c r="N10" s="173">
        <f>G10*D10</f>
        <v>5174.9038</v>
      </c>
      <c r="O10" s="173">
        <f>H10*D10</f>
        <v>0</v>
      </c>
      <c r="P10" s="173">
        <f>ROUND(I10*D10,2)</f>
        <v>0</v>
      </c>
      <c r="Q10" s="173">
        <f>ROUND(K10*D10,2)</f>
        <v>6115.8</v>
      </c>
    </row>
    <row r="11" spans="1:18" ht="45" x14ac:dyDescent="0.2">
      <c r="A11" s="167" t="s">
        <v>73</v>
      </c>
      <c r="B11" s="168" t="s">
        <v>45</v>
      </c>
      <c r="C11" s="174" t="s">
        <v>93</v>
      </c>
      <c r="D11" s="170">
        <v>86.98</v>
      </c>
      <c r="E11" s="232">
        <v>12500</v>
      </c>
      <c r="F11" s="236">
        <v>11100</v>
      </c>
      <c r="G11" s="236">
        <v>1400</v>
      </c>
      <c r="H11" s="236">
        <v>0</v>
      </c>
      <c r="I11" s="172">
        <v>0</v>
      </c>
      <c r="J11" s="172">
        <f t="shared" si="2"/>
        <v>12500</v>
      </c>
      <c r="K11" s="172">
        <v>12500</v>
      </c>
      <c r="L11" s="173">
        <f>ROUND(E11*D11,2)</f>
        <v>1087250</v>
      </c>
      <c r="M11" s="173">
        <f>F11*D11</f>
        <v>965478</v>
      </c>
      <c r="N11" s="173">
        <f>G11*D11</f>
        <v>121772</v>
      </c>
      <c r="O11" s="173">
        <f>H11*D11</f>
        <v>0</v>
      </c>
      <c r="P11" s="173">
        <f>ROUND(I11*D11,2)</f>
        <v>0</v>
      </c>
      <c r="Q11" s="173">
        <f t="shared" ref="Q11:Q14" si="5">ROUND(K11*D11,2)</f>
        <v>1087250</v>
      </c>
    </row>
    <row r="12" spans="1:18" ht="36" x14ac:dyDescent="0.2">
      <c r="A12" s="167" t="s">
        <v>74</v>
      </c>
      <c r="B12" s="168" t="s">
        <v>86</v>
      </c>
      <c r="C12" s="174" t="s">
        <v>93</v>
      </c>
      <c r="D12" s="170">
        <v>14.56</v>
      </c>
      <c r="E12" s="232">
        <v>0</v>
      </c>
      <c r="F12" s="236">
        <v>0</v>
      </c>
      <c r="G12" s="236">
        <v>0</v>
      </c>
      <c r="H12" s="236">
        <v>0</v>
      </c>
      <c r="I12" s="172">
        <v>0</v>
      </c>
      <c r="J12" s="172">
        <f t="shared" si="2"/>
        <v>0</v>
      </c>
      <c r="K12" s="172">
        <v>0</v>
      </c>
      <c r="L12" s="173">
        <f>ROUND(E12*D12,2)</f>
        <v>0</v>
      </c>
      <c r="M12" s="173">
        <f>F12*D12</f>
        <v>0</v>
      </c>
      <c r="N12" s="173">
        <f>G12*D12</f>
        <v>0</v>
      </c>
      <c r="O12" s="173">
        <f>H12*D12</f>
        <v>0</v>
      </c>
      <c r="P12" s="173">
        <f>ROUND(I12*D12,2)</f>
        <v>0</v>
      </c>
      <c r="Q12" s="173">
        <f t="shared" si="5"/>
        <v>0</v>
      </c>
    </row>
    <row r="13" spans="1:18" ht="27" x14ac:dyDescent="0.2">
      <c r="A13" s="26" t="s">
        <v>75</v>
      </c>
      <c r="B13" s="27" t="s">
        <v>40</v>
      </c>
      <c r="C13" s="30" t="s">
        <v>42</v>
      </c>
      <c r="D13" s="179">
        <v>0.66</v>
      </c>
      <c r="E13" s="233">
        <v>86600</v>
      </c>
      <c r="F13" s="184">
        <v>55515.51</v>
      </c>
      <c r="G13" s="184">
        <v>84600.000000000015</v>
      </c>
      <c r="H13" s="184">
        <v>2000</v>
      </c>
      <c r="I13" s="55">
        <v>-55515.51</v>
      </c>
      <c r="J13" s="239">
        <f t="shared" si="2"/>
        <v>86600</v>
      </c>
      <c r="K13" s="240">
        <v>86600</v>
      </c>
      <c r="L13" s="173">
        <f>ROUND(E13*D13,2)</f>
        <v>57156</v>
      </c>
      <c r="M13" s="173">
        <f>F13*D13</f>
        <v>36640.236600000004</v>
      </c>
      <c r="N13" s="173">
        <f>G13*D13</f>
        <v>55836.000000000015</v>
      </c>
      <c r="O13" s="173">
        <f>H13*D13</f>
        <v>1320</v>
      </c>
      <c r="P13" s="62">
        <f>ROUND(I13*D13,2)</f>
        <v>-36640.239999999998</v>
      </c>
      <c r="Q13" s="173">
        <f t="shared" si="5"/>
        <v>57156</v>
      </c>
      <c r="R13" s="158">
        <f>(J13-K13)*D13</f>
        <v>0</v>
      </c>
    </row>
    <row r="14" spans="1:18" ht="18" x14ac:dyDescent="0.2">
      <c r="A14" s="26" t="s">
        <v>160</v>
      </c>
      <c r="B14" s="27" t="s">
        <v>161</v>
      </c>
      <c r="C14" s="178" t="s">
        <v>93</v>
      </c>
      <c r="D14" s="183">
        <v>31.34</v>
      </c>
      <c r="E14" s="234">
        <v>10151.370000000001</v>
      </c>
      <c r="F14" s="184"/>
      <c r="G14" s="184">
        <v>10151.370000000001</v>
      </c>
      <c r="H14" s="184">
        <v>0</v>
      </c>
      <c r="I14" s="55">
        <v>0</v>
      </c>
      <c r="J14" s="172">
        <f t="shared" si="2"/>
        <v>10151.370000000001</v>
      </c>
      <c r="K14" s="55">
        <v>10151.370000000001</v>
      </c>
      <c r="L14" s="173">
        <f>ROUND(E14*D14,2)</f>
        <v>318143.94</v>
      </c>
      <c r="M14" s="173">
        <f>F14*D14</f>
        <v>0</v>
      </c>
      <c r="N14" s="173">
        <f>G14*D14</f>
        <v>318143.93580000004</v>
      </c>
      <c r="O14" s="173">
        <f>H14*D14</f>
        <v>0</v>
      </c>
      <c r="P14" s="62">
        <f>ROUND(I14*D14,2)</f>
        <v>0</v>
      </c>
      <c r="Q14" s="173">
        <f t="shared" si="5"/>
        <v>318143.94</v>
      </c>
    </row>
    <row r="15" spans="1:18" ht="15" customHeight="1" x14ac:dyDescent="0.2">
      <c r="A15" s="59" t="s">
        <v>59</v>
      </c>
      <c r="B15" s="60" t="s">
        <v>46</v>
      </c>
      <c r="C15" s="61"/>
      <c r="D15" s="61"/>
      <c r="E15" s="61"/>
      <c r="F15" s="237"/>
      <c r="G15" s="237"/>
      <c r="H15" s="237"/>
      <c r="I15" s="237"/>
      <c r="J15" s="237"/>
      <c r="K15" s="237"/>
      <c r="L15" s="65">
        <f>SUM(L16:L28)</f>
        <v>921613.23</v>
      </c>
      <c r="M15" s="65">
        <f t="shared" ref="M15:O15" si="6">SUM(M16:M28)</f>
        <v>23894.270400000001</v>
      </c>
      <c r="N15" s="65">
        <f t="shared" si="6"/>
        <v>155199.58156505879</v>
      </c>
      <c r="O15" s="65">
        <f t="shared" si="6"/>
        <v>813956.81656486553</v>
      </c>
      <c r="P15" s="65">
        <f>SUM(P16:P28)</f>
        <v>-71437.06</v>
      </c>
      <c r="Q15" s="65">
        <f t="shared" ref="Q15" si="7">SUM(Q16:Q28)</f>
        <v>921613.60999999987</v>
      </c>
    </row>
    <row r="16" spans="1:18" ht="27" x14ac:dyDescent="0.2">
      <c r="A16" s="26" t="s">
        <v>76</v>
      </c>
      <c r="B16" s="168" t="s">
        <v>162</v>
      </c>
      <c r="C16" s="31" t="s">
        <v>42</v>
      </c>
      <c r="D16" s="28">
        <v>0.66</v>
      </c>
      <c r="E16" s="235">
        <v>0</v>
      </c>
      <c r="F16" s="184">
        <v>0</v>
      </c>
      <c r="G16" s="184">
        <v>0</v>
      </c>
      <c r="H16" s="184">
        <v>0</v>
      </c>
      <c r="I16" s="55">
        <v>0</v>
      </c>
      <c r="J16" s="172">
        <f t="shared" si="2"/>
        <v>0</v>
      </c>
      <c r="K16" s="55">
        <v>0</v>
      </c>
      <c r="L16" s="62">
        <f>TRUNC(E16*D16,2)</f>
        <v>0</v>
      </c>
      <c r="M16" s="173">
        <f t="shared" ref="M16:M28" si="8">F16*D16</f>
        <v>0</v>
      </c>
      <c r="N16" s="173">
        <f t="shared" ref="N16:N28" si="9">G16*D16</f>
        <v>0</v>
      </c>
      <c r="O16" s="173">
        <f t="shared" ref="O16:O28" si="10">H16*D16</f>
        <v>0</v>
      </c>
      <c r="P16" s="62">
        <f t="shared" ref="P16:P28" si="11">ROUND(I16*D16,2)</f>
        <v>0</v>
      </c>
      <c r="Q16" s="62">
        <f>ROUND(K16*D16,2)</f>
        <v>0</v>
      </c>
    </row>
    <row r="17" spans="1:18" ht="27" x14ac:dyDescent="0.2">
      <c r="A17" s="175" t="s">
        <v>77</v>
      </c>
      <c r="B17" s="168" t="s">
        <v>38</v>
      </c>
      <c r="C17" s="176" t="s">
        <v>41</v>
      </c>
      <c r="D17" s="170">
        <v>0.43</v>
      </c>
      <c r="E17" s="232">
        <v>14222.78</v>
      </c>
      <c r="F17" s="236">
        <v>14222.78</v>
      </c>
      <c r="G17" s="236">
        <v>0</v>
      </c>
      <c r="H17" s="236">
        <v>0</v>
      </c>
      <c r="I17" s="172">
        <v>0</v>
      </c>
      <c r="J17" s="172">
        <f t="shared" si="2"/>
        <v>14222.78</v>
      </c>
      <c r="K17" s="172">
        <v>14222.78</v>
      </c>
      <c r="L17" s="62">
        <f>TRUNC(E17*D17,2)+0.01</f>
        <v>6115.8</v>
      </c>
      <c r="M17" s="173">
        <f t="shared" si="8"/>
        <v>6115.7954</v>
      </c>
      <c r="N17" s="173">
        <f t="shared" si="9"/>
        <v>0</v>
      </c>
      <c r="O17" s="173">
        <f t="shared" si="10"/>
        <v>0</v>
      </c>
      <c r="P17" s="62">
        <f t="shared" si="11"/>
        <v>0</v>
      </c>
      <c r="Q17" s="62">
        <f t="shared" ref="Q17:Q28" si="12">ROUND(K17*D17,2)</f>
        <v>6115.8</v>
      </c>
    </row>
    <row r="18" spans="1:18" ht="18" x14ac:dyDescent="0.2">
      <c r="A18" s="175" t="s">
        <v>78</v>
      </c>
      <c r="B18" s="168" t="s">
        <v>47</v>
      </c>
      <c r="C18" s="176" t="s">
        <v>41</v>
      </c>
      <c r="D18" s="170">
        <v>1.25</v>
      </c>
      <c r="E18" s="232">
        <v>14222.78</v>
      </c>
      <c r="F18" s="236">
        <v>14222.78</v>
      </c>
      <c r="G18" s="236">
        <v>0</v>
      </c>
      <c r="H18" s="236">
        <v>0</v>
      </c>
      <c r="I18" s="172">
        <v>0</v>
      </c>
      <c r="J18" s="172">
        <f t="shared" si="2"/>
        <v>14222.78</v>
      </c>
      <c r="K18" s="172">
        <v>14222.78</v>
      </c>
      <c r="L18" s="62">
        <f>TRUNC(E18*D18,2)+0.01</f>
        <v>17778.48</v>
      </c>
      <c r="M18" s="173">
        <f t="shared" si="8"/>
        <v>17778.475000000002</v>
      </c>
      <c r="N18" s="173">
        <f t="shared" si="9"/>
        <v>0</v>
      </c>
      <c r="O18" s="173">
        <f t="shared" si="10"/>
        <v>0</v>
      </c>
      <c r="P18" s="62">
        <f t="shared" si="11"/>
        <v>0</v>
      </c>
      <c r="Q18" s="62">
        <f t="shared" si="12"/>
        <v>17778.48</v>
      </c>
    </row>
    <row r="19" spans="1:18" ht="36" x14ac:dyDescent="0.2">
      <c r="A19" s="32" t="s">
        <v>79</v>
      </c>
      <c r="B19" s="27" t="s">
        <v>48</v>
      </c>
      <c r="C19" s="33" t="s">
        <v>93</v>
      </c>
      <c r="D19" s="28">
        <v>12.74</v>
      </c>
      <c r="E19" s="235">
        <v>6564.3449999999993</v>
      </c>
      <c r="F19" s="184">
        <v>0</v>
      </c>
      <c r="G19" s="184">
        <v>3369.6970999999999</v>
      </c>
      <c r="H19" s="184">
        <v>3194.6478999999999</v>
      </c>
      <c r="I19" s="55">
        <v>0</v>
      </c>
      <c r="J19" s="172">
        <f t="shared" si="2"/>
        <v>6564.3449999999993</v>
      </c>
      <c r="K19" s="55">
        <v>6564.3449999999993</v>
      </c>
      <c r="L19" s="62">
        <f>TRUNC(E19*D19,2)+0.01</f>
        <v>83629.759999999995</v>
      </c>
      <c r="M19" s="173">
        <f t="shared" si="8"/>
        <v>0</v>
      </c>
      <c r="N19" s="173">
        <f t="shared" si="9"/>
        <v>42929.941053999995</v>
      </c>
      <c r="O19" s="173">
        <f t="shared" si="10"/>
        <v>40699.814246000002</v>
      </c>
      <c r="P19" s="62">
        <f t="shared" si="11"/>
        <v>0</v>
      </c>
      <c r="Q19" s="62">
        <f t="shared" si="12"/>
        <v>83629.759999999995</v>
      </c>
    </row>
    <row r="20" spans="1:18" ht="18" x14ac:dyDescent="0.2">
      <c r="A20" s="32" t="s">
        <v>80</v>
      </c>
      <c r="B20" s="27" t="s">
        <v>87</v>
      </c>
      <c r="C20" s="33" t="s">
        <v>30</v>
      </c>
      <c r="D20" s="28">
        <v>4981.18</v>
      </c>
      <c r="E20" s="235">
        <v>49.78</v>
      </c>
      <c r="F20" s="184">
        <v>0</v>
      </c>
      <c r="G20" s="184">
        <v>0</v>
      </c>
      <c r="H20" s="184">
        <v>49.78</v>
      </c>
      <c r="I20" s="55">
        <v>0</v>
      </c>
      <c r="J20" s="172">
        <f t="shared" si="2"/>
        <v>49.78</v>
      </c>
      <c r="K20" s="55">
        <v>49.78</v>
      </c>
      <c r="L20" s="62">
        <f>TRUNC(E20*D20,2)</f>
        <v>247963.14</v>
      </c>
      <c r="M20" s="173">
        <f t="shared" si="8"/>
        <v>0</v>
      </c>
      <c r="N20" s="173">
        <f t="shared" si="9"/>
        <v>0</v>
      </c>
      <c r="O20" s="173">
        <f t="shared" si="10"/>
        <v>247963.14040000003</v>
      </c>
      <c r="P20" s="62">
        <f t="shared" si="11"/>
        <v>0</v>
      </c>
      <c r="Q20" s="62">
        <f t="shared" si="12"/>
        <v>247963.14</v>
      </c>
    </row>
    <row r="21" spans="1:18" x14ac:dyDescent="0.2">
      <c r="A21" s="32" t="s">
        <v>81</v>
      </c>
      <c r="B21" s="27" t="s">
        <v>32</v>
      </c>
      <c r="C21" s="33" t="s">
        <v>30</v>
      </c>
      <c r="D21" s="28">
        <v>7781.14</v>
      </c>
      <c r="E21" s="235">
        <v>17.07</v>
      </c>
      <c r="F21" s="184">
        <v>0</v>
      </c>
      <c r="G21" s="184">
        <v>0</v>
      </c>
      <c r="H21" s="184">
        <v>17.07</v>
      </c>
      <c r="I21" s="55">
        <v>0</v>
      </c>
      <c r="J21" s="172">
        <f t="shared" si="2"/>
        <v>17.07</v>
      </c>
      <c r="K21" s="55">
        <v>17.07</v>
      </c>
      <c r="L21" s="62">
        <f>TRUNC(E21*D21,2)+0.01</f>
        <v>132824.06</v>
      </c>
      <c r="M21" s="173">
        <f t="shared" si="8"/>
        <v>0</v>
      </c>
      <c r="N21" s="173">
        <f t="shared" si="9"/>
        <v>0</v>
      </c>
      <c r="O21" s="173">
        <f t="shared" si="10"/>
        <v>132824.05980000002</v>
      </c>
      <c r="P21" s="62">
        <f t="shared" si="11"/>
        <v>0</v>
      </c>
      <c r="Q21" s="62">
        <f t="shared" si="12"/>
        <v>132824.06</v>
      </c>
    </row>
    <row r="22" spans="1:18" x14ac:dyDescent="0.2">
      <c r="A22" s="185" t="s">
        <v>82</v>
      </c>
      <c r="B22" s="27" t="s">
        <v>88</v>
      </c>
      <c r="C22" s="33" t="s">
        <v>41</v>
      </c>
      <c r="D22" s="179">
        <v>7.67</v>
      </c>
      <c r="E22" s="233">
        <v>14222.78</v>
      </c>
      <c r="F22" s="184">
        <v>0</v>
      </c>
      <c r="G22" s="184">
        <v>0</v>
      </c>
      <c r="H22" s="184">
        <v>14222.777499999997</v>
      </c>
      <c r="I22" s="55">
        <v>0</v>
      </c>
      <c r="J22" s="172">
        <f t="shared" si="2"/>
        <v>14222.777499999997</v>
      </c>
      <c r="K22" s="55">
        <v>14222.777499999997</v>
      </c>
      <c r="L22" s="62">
        <f>TRUNC(E22*D22,2)</f>
        <v>109088.72</v>
      </c>
      <c r="M22" s="173">
        <f t="shared" si="8"/>
        <v>0</v>
      </c>
      <c r="N22" s="173">
        <f t="shared" si="9"/>
        <v>0</v>
      </c>
      <c r="O22" s="173">
        <f t="shared" si="10"/>
        <v>109088.70342499997</v>
      </c>
      <c r="P22" s="62">
        <f t="shared" si="11"/>
        <v>0</v>
      </c>
      <c r="Q22" s="62">
        <f t="shared" si="12"/>
        <v>109088.7</v>
      </c>
    </row>
    <row r="23" spans="1:18" ht="18" x14ac:dyDescent="0.2">
      <c r="A23" s="185" t="s">
        <v>169</v>
      </c>
      <c r="B23" s="27" t="s">
        <v>163</v>
      </c>
      <c r="C23" s="33" t="s">
        <v>93</v>
      </c>
      <c r="D23" s="183">
        <v>22.004761999999999</v>
      </c>
      <c r="E23" s="234">
        <v>3194.6478999999999</v>
      </c>
      <c r="F23" s="184"/>
      <c r="G23" s="184">
        <v>0</v>
      </c>
      <c r="H23" s="184">
        <v>3194.6546384615376</v>
      </c>
      <c r="I23" s="55">
        <v>0</v>
      </c>
      <c r="J23" s="172">
        <f t="shared" si="2"/>
        <v>3194.6546384615376</v>
      </c>
      <c r="K23" s="55">
        <v>3194.6546384615376</v>
      </c>
      <c r="L23" s="62">
        <f>TRUNC(E23*D23,2)+0.01</f>
        <v>70297.47</v>
      </c>
      <c r="M23" s="173">
        <f t="shared" si="8"/>
        <v>0</v>
      </c>
      <c r="N23" s="173">
        <f t="shared" si="9"/>
        <v>0</v>
      </c>
      <c r="O23" s="173">
        <f t="shared" si="10"/>
        <v>70297.614991542185</v>
      </c>
      <c r="P23" s="62">
        <f t="shared" si="11"/>
        <v>0</v>
      </c>
      <c r="Q23" s="62">
        <f t="shared" si="12"/>
        <v>70297.61</v>
      </c>
    </row>
    <row r="24" spans="1:18" ht="18" x14ac:dyDescent="0.2">
      <c r="A24" s="185" t="s">
        <v>170</v>
      </c>
      <c r="B24" s="27" t="s">
        <v>164</v>
      </c>
      <c r="C24" s="33" t="s">
        <v>93</v>
      </c>
      <c r="D24" s="183">
        <v>21.199828</v>
      </c>
      <c r="E24" s="234">
        <v>3369.6970999999999</v>
      </c>
      <c r="F24" s="184"/>
      <c r="G24" s="184">
        <v>3369.6970999999999</v>
      </c>
      <c r="H24" s="184">
        <v>3369.7042076923071</v>
      </c>
      <c r="I24" s="55">
        <v>-3369.7</v>
      </c>
      <c r="J24" s="239">
        <f t="shared" si="2"/>
        <v>3369.7013076923076</v>
      </c>
      <c r="K24" s="240">
        <v>3369.6970999999999</v>
      </c>
      <c r="L24" s="62">
        <f>TRUNC(E24*D24,2)+0.01</f>
        <v>71437</v>
      </c>
      <c r="M24" s="173">
        <f t="shared" si="8"/>
        <v>0</v>
      </c>
      <c r="N24" s="173">
        <f t="shared" si="9"/>
        <v>71436.998932098795</v>
      </c>
      <c r="O24" s="173">
        <f t="shared" si="10"/>
        <v>71437.149613953196</v>
      </c>
      <c r="P24" s="62">
        <f t="shared" si="11"/>
        <v>-71437.06</v>
      </c>
      <c r="Q24" s="62">
        <f t="shared" si="12"/>
        <v>71437</v>
      </c>
      <c r="R24" s="158">
        <f>(J24-K24)*D24</f>
        <v>8.9202353201709786E-2</v>
      </c>
    </row>
    <row r="25" spans="1:18" ht="18" x14ac:dyDescent="0.2">
      <c r="A25" s="185" t="s">
        <v>171</v>
      </c>
      <c r="B25" s="27" t="s">
        <v>165</v>
      </c>
      <c r="C25" s="31" t="s">
        <v>42</v>
      </c>
      <c r="D25" s="183">
        <v>0.66</v>
      </c>
      <c r="E25" s="234">
        <v>192369.00547099998</v>
      </c>
      <c r="F25" s="184"/>
      <c r="G25" s="184">
        <v>61867.638756</v>
      </c>
      <c r="H25" s="184">
        <v>130501.64198115381</v>
      </c>
      <c r="I25" s="55">
        <v>0</v>
      </c>
      <c r="J25" s="172">
        <f t="shared" si="2"/>
        <v>192369.28073715381</v>
      </c>
      <c r="K25" s="55">
        <v>192369.41123438458</v>
      </c>
      <c r="L25" s="62">
        <f>TRUNC(E25*D25,2)</f>
        <v>126963.54</v>
      </c>
      <c r="M25" s="173">
        <f t="shared" si="8"/>
        <v>0</v>
      </c>
      <c r="N25" s="173">
        <f t="shared" si="9"/>
        <v>40832.64157896</v>
      </c>
      <c r="O25" s="173">
        <f t="shared" si="10"/>
        <v>86131.083707561513</v>
      </c>
      <c r="P25" s="62">
        <f t="shared" si="11"/>
        <v>0</v>
      </c>
      <c r="Q25" s="62">
        <f t="shared" si="12"/>
        <v>126963.81</v>
      </c>
    </row>
    <row r="26" spans="1:18" x14ac:dyDescent="0.2">
      <c r="A26" s="185" t="s">
        <v>172</v>
      </c>
      <c r="B26" s="27" t="s">
        <v>166</v>
      </c>
      <c r="C26" s="33" t="s">
        <v>41</v>
      </c>
      <c r="D26" s="183">
        <v>0.378222</v>
      </c>
      <c r="E26" s="234">
        <v>14222.78</v>
      </c>
      <c r="F26" s="184"/>
      <c r="G26" s="184">
        <v>0</v>
      </c>
      <c r="H26" s="184">
        <v>14222.777499999997</v>
      </c>
      <c r="I26" s="55">
        <v>0</v>
      </c>
      <c r="J26" s="172">
        <f t="shared" si="2"/>
        <v>14222.777499999997</v>
      </c>
      <c r="K26" s="55">
        <v>14222.777499999997</v>
      </c>
      <c r="L26" s="62">
        <f>TRUNC(E26*D26,2)+0.01</f>
        <v>5379.37</v>
      </c>
      <c r="M26" s="173">
        <f t="shared" si="8"/>
        <v>0</v>
      </c>
      <c r="N26" s="173">
        <f t="shared" si="9"/>
        <v>0</v>
      </c>
      <c r="O26" s="173">
        <f t="shared" si="10"/>
        <v>5379.3673516049985</v>
      </c>
      <c r="P26" s="62">
        <f t="shared" si="11"/>
        <v>0</v>
      </c>
      <c r="Q26" s="62">
        <f t="shared" si="12"/>
        <v>5379.37</v>
      </c>
    </row>
    <row r="27" spans="1:18" x14ac:dyDescent="0.2">
      <c r="A27" s="185" t="s">
        <v>173</v>
      </c>
      <c r="B27" s="27" t="s">
        <v>167</v>
      </c>
      <c r="C27" s="186" t="s">
        <v>31</v>
      </c>
      <c r="D27" s="183">
        <v>0.88251800000000002</v>
      </c>
      <c r="E27" s="234">
        <v>31083.885690000003</v>
      </c>
      <c r="F27" s="184"/>
      <c r="G27" s="184">
        <v>0</v>
      </c>
      <c r="H27" s="184">
        <v>31083.880226249992</v>
      </c>
      <c r="I27" s="55">
        <v>0</v>
      </c>
      <c r="J27" s="172">
        <f t="shared" si="2"/>
        <v>31083.880226249992</v>
      </c>
      <c r="K27" s="55">
        <v>31083.88</v>
      </c>
      <c r="L27" s="62">
        <f>TRUNC(E27*D27,2)+0.01</f>
        <v>27432.09</v>
      </c>
      <c r="M27" s="173">
        <f t="shared" si="8"/>
        <v>0</v>
      </c>
      <c r="N27" s="173">
        <f t="shared" si="9"/>
        <v>0</v>
      </c>
      <c r="O27" s="173">
        <f t="shared" si="10"/>
        <v>27432.083809509691</v>
      </c>
      <c r="P27" s="62">
        <f t="shared" si="11"/>
        <v>0</v>
      </c>
      <c r="Q27" s="62">
        <f t="shared" si="12"/>
        <v>27432.080000000002</v>
      </c>
    </row>
    <row r="28" spans="1:18" x14ac:dyDescent="0.2">
      <c r="A28" s="185" t="s">
        <v>174</v>
      </c>
      <c r="B28" s="188" t="s">
        <v>168</v>
      </c>
      <c r="C28" s="187" t="s">
        <v>31</v>
      </c>
      <c r="D28" s="183">
        <v>0.88251800000000002</v>
      </c>
      <c r="E28" s="234">
        <v>25726.164464000001</v>
      </c>
      <c r="F28" s="184"/>
      <c r="G28" s="184">
        <v>0</v>
      </c>
      <c r="H28" s="184">
        <v>25726.159941999991</v>
      </c>
      <c r="I28" s="55">
        <v>0</v>
      </c>
      <c r="J28" s="172">
        <f t="shared" si="2"/>
        <v>25726.159941999991</v>
      </c>
      <c r="K28" s="55">
        <v>25726.16</v>
      </c>
      <c r="L28" s="62">
        <f>TRUNC(E28*D28,2)</f>
        <v>22703.8</v>
      </c>
      <c r="M28" s="173">
        <f t="shared" si="8"/>
        <v>0</v>
      </c>
      <c r="N28" s="173">
        <f t="shared" si="9"/>
        <v>0</v>
      </c>
      <c r="O28" s="173">
        <f t="shared" si="10"/>
        <v>22703.799219693949</v>
      </c>
      <c r="P28" s="62">
        <f t="shared" si="11"/>
        <v>0</v>
      </c>
      <c r="Q28" s="62">
        <f t="shared" si="12"/>
        <v>22703.8</v>
      </c>
    </row>
    <row r="29" spans="1:18" ht="15" customHeight="1" x14ac:dyDescent="0.2">
      <c r="A29" s="59" t="s">
        <v>50</v>
      </c>
      <c r="B29" s="60" t="s">
        <v>49</v>
      </c>
      <c r="C29" s="61"/>
      <c r="D29" s="61"/>
      <c r="E29" s="61"/>
      <c r="F29" s="237"/>
      <c r="G29" s="237"/>
      <c r="H29" s="237"/>
      <c r="I29" s="237"/>
      <c r="J29" s="237"/>
      <c r="K29" s="237"/>
      <c r="L29" s="65">
        <f>SUM(L30:L33)</f>
        <v>133994.41999999998</v>
      </c>
      <c r="M29" s="65">
        <f t="shared" ref="M29:O29" si="13">SUM(M30:M33)</f>
        <v>0</v>
      </c>
      <c r="N29" s="65">
        <f t="shared" si="13"/>
        <v>0</v>
      </c>
      <c r="O29" s="65">
        <f t="shared" si="13"/>
        <v>0</v>
      </c>
      <c r="P29" s="65">
        <f>SUM(P30:P33)</f>
        <v>34706.379999999997</v>
      </c>
      <c r="Q29" s="65">
        <f t="shared" ref="Q29" si="14">SUM(Q30:Q33)</f>
        <v>34706.379999999997</v>
      </c>
    </row>
    <row r="30" spans="1:18" ht="18" x14ac:dyDescent="0.2">
      <c r="A30" s="26" t="s">
        <v>62</v>
      </c>
      <c r="B30" s="27" t="s">
        <v>89</v>
      </c>
      <c r="C30" s="33" t="s">
        <v>41</v>
      </c>
      <c r="D30" s="28">
        <v>64.569999999999993</v>
      </c>
      <c r="E30" s="235">
        <v>583.60352485673945</v>
      </c>
      <c r="F30" s="184">
        <v>0</v>
      </c>
      <c r="G30" s="184">
        <v>0</v>
      </c>
      <c r="H30" s="184">
        <v>0</v>
      </c>
      <c r="I30" s="55">
        <v>537.5</v>
      </c>
      <c r="J30" s="172">
        <f t="shared" si="2"/>
        <v>537.5</v>
      </c>
      <c r="K30" s="55">
        <v>537.5</v>
      </c>
      <c r="L30" s="62">
        <f>ROUND(E30*D30,2)</f>
        <v>37683.279999999999</v>
      </c>
      <c r="M30" s="173">
        <f>F30*D30</f>
        <v>0</v>
      </c>
      <c r="N30" s="173">
        <f>G30*D30</f>
        <v>0</v>
      </c>
      <c r="O30" s="173">
        <f>H30*D30</f>
        <v>0</v>
      </c>
      <c r="P30" s="62">
        <f>ROUND(I30*D30,2)</f>
        <v>34706.379999999997</v>
      </c>
      <c r="Q30" s="62">
        <f>ROUND(K30*D30,2)</f>
        <v>34706.379999999997</v>
      </c>
    </row>
    <row r="31" spans="1:18" x14ac:dyDescent="0.2">
      <c r="A31" s="32" t="s">
        <v>83</v>
      </c>
      <c r="B31" s="27" t="s">
        <v>51</v>
      </c>
      <c r="C31" s="33" t="s">
        <v>94</v>
      </c>
      <c r="D31" s="28">
        <v>27.33</v>
      </c>
      <c r="E31" s="235">
        <v>3282.18</v>
      </c>
      <c r="F31" s="184">
        <v>0</v>
      </c>
      <c r="G31" s="184">
        <v>0</v>
      </c>
      <c r="H31" s="184">
        <v>0</v>
      </c>
      <c r="I31" s="55">
        <v>0</v>
      </c>
      <c r="J31" s="172">
        <f t="shared" si="2"/>
        <v>0</v>
      </c>
      <c r="K31" s="55">
        <v>0</v>
      </c>
      <c r="L31" s="62">
        <f>ROUND(E31*D31,2)</f>
        <v>89701.98</v>
      </c>
      <c r="M31" s="173">
        <f>F31*D31</f>
        <v>0</v>
      </c>
      <c r="N31" s="173">
        <f>G31*D31</f>
        <v>0</v>
      </c>
      <c r="O31" s="173">
        <f>H31*D31</f>
        <v>0</v>
      </c>
      <c r="P31" s="62">
        <f>ROUND(I31*D31,2)</f>
        <v>0</v>
      </c>
      <c r="Q31" s="62">
        <f t="shared" ref="Q31:Q33" si="15">ROUND(K31*D31,2)</f>
        <v>0</v>
      </c>
    </row>
    <row r="32" spans="1:18" ht="18" x14ac:dyDescent="0.2">
      <c r="A32" s="32" t="s">
        <v>84</v>
      </c>
      <c r="B32" s="27" t="s">
        <v>52</v>
      </c>
      <c r="C32" s="33" t="s">
        <v>41</v>
      </c>
      <c r="D32" s="28">
        <v>669.44</v>
      </c>
      <c r="E32" s="235">
        <v>5.5</v>
      </c>
      <c r="F32" s="184">
        <v>0</v>
      </c>
      <c r="G32" s="184">
        <v>0</v>
      </c>
      <c r="H32" s="184">
        <v>0</v>
      </c>
      <c r="I32" s="55">
        <v>0</v>
      </c>
      <c r="J32" s="172">
        <f t="shared" si="2"/>
        <v>0</v>
      </c>
      <c r="K32" s="55">
        <v>0</v>
      </c>
      <c r="L32" s="62">
        <f>ROUND(E32*D32,2)</f>
        <v>3681.92</v>
      </c>
      <c r="M32" s="173">
        <f>F32*D32</f>
        <v>0</v>
      </c>
      <c r="N32" s="173">
        <f>G32*D32</f>
        <v>0</v>
      </c>
      <c r="O32" s="173">
        <f>H32*D32</f>
        <v>0</v>
      </c>
      <c r="P32" s="62">
        <f>ROUND(I32*D32,2)</f>
        <v>0</v>
      </c>
      <c r="Q32" s="62">
        <f t="shared" si="15"/>
        <v>0</v>
      </c>
    </row>
    <row r="33" spans="1:19" ht="81" x14ac:dyDescent="0.2">
      <c r="A33" s="32" t="s">
        <v>85</v>
      </c>
      <c r="B33" s="27" t="s">
        <v>53</v>
      </c>
      <c r="C33" s="33" t="s">
        <v>94</v>
      </c>
      <c r="D33" s="28">
        <v>1463.62</v>
      </c>
      <c r="E33" s="235">
        <v>2</v>
      </c>
      <c r="F33" s="184">
        <v>0</v>
      </c>
      <c r="G33" s="184">
        <v>0</v>
      </c>
      <c r="H33" s="184">
        <v>0</v>
      </c>
      <c r="I33" s="55">
        <v>0</v>
      </c>
      <c r="J33" s="172">
        <f t="shared" si="2"/>
        <v>0</v>
      </c>
      <c r="K33" s="55">
        <v>0</v>
      </c>
      <c r="L33" s="62">
        <f>ROUND(E33*D33,2)</f>
        <v>2927.24</v>
      </c>
      <c r="M33" s="173">
        <f>F33*D33</f>
        <v>0</v>
      </c>
      <c r="N33" s="173">
        <f>G33*D33</f>
        <v>0</v>
      </c>
      <c r="O33" s="173">
        <f>H33*D33</f>
        <v>0</v>
      </c>
      <c r="P33" s="62">
        <f>ROUND(I33*D33,2)</f>
        <v>0</v>
      </c>
      <c r="Q33" s="62">
        <f t="shared" si="15"/>
        <v>0</v>
      </c>
    </row>
    <row r="34" spans="1:19" ht="15" customHeight="1" x14ac:dyDescent="0.2">
      <c r="A34" s="59" t="s">
        <v>60</v>
      </c>
      <c r="B34" s="60" t="s">
        <v>54</v>
      </c>
      <c r="C34" s="61"/>
      <c r="D34" s="61"/>
      <c r="E34" s="61"/>
      <c r="F34" s="237"/>
      <c r="G34" s="237"/>
      <c r="H34" s="237"/>
      <c r="I34" s="237"/>
      <c r="J34" s="237"/>
      <c r="K34" s="237"/>
      <c r="L34" s="65">
        <f>SUM(L35:L47)</f>
        <v>197819.62000000002</v>
      </c>
      <c r="M34" s="65">
        <f t="shared" ref="M34:O34" si="16">SUM(M35:M47)</f>
        <v>0</v>
      </c>
      <c r="N34" s="65">
        <f t="shared" si="16"/>
        <v>0</v>
      </c>
      <c r="O34" s="65">
        <f t="shared" si="16"/>
        <v>10602.619101412067</v>
      </c>
      <c r="P34" s="65">
        <f t="shared" ref="P34" si="17">SUM(P35:P47)</f>
        <v>155959.31</v>
      </c>
      <c r="Q34" s="65">
        <f>SUM(Q35:Q47)</f>
        <v>166561.93</v>
      </c>
    </row>
    <row r="35" spans="1:19" x14ac:dyDescent="0.2">
      <c r="A35" s="32" t="s">
        <v>63</v>
      </c>
      <c r="B35" s="27" t="s">
        <v>55</v>
      </c>
      <c r="C35" s="33" t="s">
        <v>95</v>
      </c>
      <c r="D35" s="28">
        <v>5.53</v>
      </c>
      <c r="E35" s="235">
        <v>80</v>
      </c>
      <c r="F35" s="184">
        <v>0</v>
      </c>
      <c r="G35" s="184">
        <v>0</v>
      </c>
      <c r="H35" s="184">
        <v>0</v>
      </c>
      <c r="I35" s="55">
        <v>0</v>
      </c>
      <c r="J35" s="172">
        <f t="shared" si="2"/>
        <v>0</v>
      </c>
      <c r="K35" s="55">
        <v>0</v>
      </c>
      <c r="L35" s="62">
        <f t="shared" ref="L35:L47" si="18">ROUND(E35*D35,2)</f>
        <v>442.4</v>
      </c>
      <c r="M35" s="173">
        <f t="shared" ref="M35:M47" si="19">F35*D35</f>
        <v>0</v>
      </c>
      <c r="N35" s="173">
        <f t="shared" ref="N35:N47" si="20">G35*D35</f>
        <v>0</v>
      </c>
      <c r="O35" s="173">
        <f t="shared" ref="O35:O47" si="21">H35*D35</f>
        <v>0</v>
      </c>
      <c r="P35" s="62">
        <f t="shared" ref="P35:P47" si="22">ROUND(I35*D35,2)</f>
        <v>0</v>
      </c>
      <c r="Q35" s="62">
        <f>ROUND(K35*D35,2)</f>
        <v>0</v>
      </c>
    </row>
    <row r="36" spans="1:19" x14ac:dyDescent="0.2">
      <c r="A36" s="32" t="s">
        <v>64</v>
      </c>
      <c r="B36" s="27" t="s">
        <v>56</v>
      </c>
      <c r="C36" s="33" t="s">
        <v>93</v>
      </c>
      <c r="D36" s="28">
        <v>13.27</v>
      </c>
      <c r="E36" s="235">
        <v>400</v>
      </c>
      <c r="F36" s="184">
        <v>0</v>
      </c>
      <c r="G36" s="184">
        <v>0</v>
      </c>
      <c r="H36" s="184">
        <v>0</v>
      </c>
      <c r="I36" s="55">
        <v>0</v>
      </c>
      <c r="J36" s="172">
        <f t="shared" si="2"/>
        <v>0</v>
      </c>
      <c r="K36" s="55">
        <v>0</v>
      </c>
      <c r="L36" s="62">
        <f t="shared" si="18"/>
        <v>5308</v>
      </c>
      <c r="M36" s="173">
        <f t="shared" si="19"/>
        <v>0</v>
      </c>
      <c r="N36" s="173">
        <f t="shared" si="20"/>
        <v>0</v>
      </c>
      <c r="O36" s="173">
        <f t="shared" si="21"/>
        <v>0</v>
      </c>
      <c r="P36" s="62">
        <f t="shared" si="22"/>
        <v>0</v>
      </c>
      <c r="Q36" s="62">
        <f t="shared" ref="Q36:Q47" si="23">ROUND(K36*D36,2)</f>
        <v>0</v>
      </c>
    </row>
    <row r="37" spans="1:19" ht="36" x14ac:dyDescent="0.2">
      <c r="A37" s="32" t="s">
        <v>65</v>
      </c>
      <c r="B37" s="27" t="s">
        <v>57</v>
      </c>
      <c r="C37" s="33" t="s">
        <v>93</v>
      </c>
      <c r="D37" s="28">
        <v>277.17</v>
      </c>
      <c r="E37" s="235">
        <v>16</v>
      </c>
      <c r="F37" s="184">
        <v>0</v>
      </c>
      <c r="G37" s="184">
        <v>0</v>
      </c>
      <c r="H37" s="184">
        <v>0</v>
      </c>
      <c r="I37" s="55">
        <v>0</v>
      </c>
      <c r="J37" s="172">
        <f t="shared" si="2"/>
        <v>0</v>
      </c>
      <c r="K37" s="55">
        <v>0</v>
      </c>
      <c r="L37" s="62">
        <f t="shared" si="18"/>
        <v>4434.72</v>
      </c>
      <c r="M37" s="173">
        <f t="shared" si="19"/>
        <v>0</v>
      </c>
      <c r="N37" s="173">
        <f t="shared" si="20"/>
        <v>0</v>
      </c>
      <c r="O37" s="173">
        <f t="shared" si="21"/>
        <v>0</v>
      </c>
      <c r="P37" s="62">
        <f t="shared" si="22"/>
        <v>0</v>
      </c>
      <c r="Q37" s="62">
        <f t="shared" si="23"/>
        <v>0</v>
      </c>
    </row>
    <row r="38" spans="1:19" ht="18" x14ac:dyDescent="0.2">
      <c r="A38" s="32" t="s">
        <v>66</v>
      </c>
      <c r="B38" s="27" t="s">
        <v>90</v>
      </c>
      <c r="C38" s="33" t="s">
        <v>94</v>
      </c>
      <c r="D38" s="28">
        <v>77.38</v>
      </c>
      <c r="E38" s="235">
        <v>11</v>
      </c>
      <c r="F38" s="184">
        <v>0</v>
      </c>
      <c r="G38" s="184">
        <v>0</v>
      </c>
      <c r="H38" s="184">
        <v>0</v>
      </c>
      <c r="I38" s="55">
        <v>11</v>
      </c>
      <c r="J38" s="172">
        <f t="shared" si="2"/>
        <v>11</v>
      </c>
      <c r="K38" s="55">
        <v>11</v>
      </c>
      <c r="L38" s="62">
        <f t="shared" si="18"/>
        <v>851.18</v>
      </c>
      <c r="M38" s="173">
        <f t="shared" si="19"/>
        <v>0</v>
      </c>
      <c r="N38" s="173">
        <f t="shared" si="20"/>
        <v>0</v>
      </c>
      <c r="O38" s="173">
        <f t="shared" si="21"/>
        <v>0</v>
      </c>
      <c r="P38" s="62">
        <f t="shared" si="22"/>
        <v>851.18</v>
      </c>
      <c r="Q38" s="62">
        <f t="shared" si="23"/>
        <v>851.18</v>
      </c>
    </row>
    <row r="39" spans="1:19" ht="18" x14ac:dyDescent="0.2">
      <c r="A39" s="32" t="s">
        <v>67</v>
      </c>
      <c r="B39" s="27" t="s">
        <v>91</v>
      </c>
      <c r="C39" s="33" t="s">
        <v>95</v>
      </c>
      <c r="D39" s="28">
        <v>177.79</v>
      </c>
      <c r="E39" s="235">
        <v>11</v>
      </c>
      <c r="F39" s="184">
        <v>0</v>
      </c>
      <c r="G39" s="184">
        <v>0</v>
      </c>
      <c r="H39" s="184">
        <v>0</v>
      </c>
      <c r="I39" s="55">
        <v>11</v>
      </c>
      <c r="J39" s="172">
        <f t="shared" si="2"/>
        <v>11</v>
      </c>
      <c r="K39" s="55">
        <v>11</v>
      </c>
      <c r="L39" s="62">
        <f t="shared" si="18"/>
        <v>1955.69</v>
      </c>
      <c r="M39" s="173">
        <f t="shared" si="19"/>
        <v>0</v>
      </c>
      <c r="N39" s="173">
        <f t="shared" si="20"/>
        <v>0</v>
      </c>
      <c r="O39" s="173">
        <f t="shared" si="21"/>
        <v>0</v>
      </c>
      <c r="P39" s="62">
        <f t="shared" si="22"/>
        <v>1955.69</v>
      </c>
      <c r="Q39" s="62">
        <f t="shared" si="23"/>
        <v>1955.69</v>
      </c>
    </row>
    <row r="40" spans="1:19" ht="18" x14ac:dyDescent="0.2">
      <c r="A40" s="32" t="s">
        <v>68</v>
      </c>
      <c r="B40" s="27" t="s">
        <v>92</v>
      </c>
      <c r="C40" s="33" t="s">
        <v>94</v>
      </c>
      <c r="D40" s="28">
        <v>594.66999999999996</v>
      </c>
      <c r="E40" s="235">
        <v>11</v>
      </c>
      <c r="F40" s="184">
        <v>0</v>
      </c>
      <c r="G40" s="184">
        <v>0</v>
      </c>
      <c r="H40" s="184">
        <v>0</v>
      </c>
      <c r="I40" s="55">
        <v>0</v>
      </c>
      <c r="J40" s="172">
        <f t="shared" si="2"/>
        <v>0</v>
      </c>
      <c r="K40" s="55">
        <v>0</v>
      </c>
      <c r="L40" s="62">
        <f t="shared" si="18"/>
        <v>6541.37</v>
      </c>
      <c r="M40" s="173">
        <f t="shared" si="19"/>
        <v>0</v>
      </c>
      <c r="N40" s="173">
        <f t="shared" si="20"/>
        <v>0</v>
      </c>
      <c r="O40" s="173">
        <f t="shared" si="21"/>
        <v>0</v>
      </c>
      <c r="P40" s="62">
        <f t="shared" si="22"/>
        <v>0</v>
      </c>
      <c r="Q40" s="62">
        <f t="shared" si="23"/>
        <v>0</v>
      </c>
    </row>
    <row r="41" spans="1:19" ht="45" x14ac:dyDescent="0.2">
      <c r="A41" s="32" t="s">
        <v>61</v>
      </c>
      <c r="B41" s="27" t="s">
        <v>58</v>
      </c>
      <c r="C41" s="186" t="s">
        <v>93</v>
      </c>
      <c r="D41" s="179">
        <v>19.63</v>
      </c>
      <c r="E41" s="233">
        <v>10</v>
      </c>
      <c r="F41" s="184">
        <v>0</v>
      </c>
      <c r="G41" s="184">
        <v>0</v>
      </c>
      <c r="H41" s="184">
        <v>0</v>
      </c>
      <c r="I41" s="55">
        <v>0</v>
      </c>
      <c r="J41" s="172">
        <f t="shared" si="2"/>
        <v>0</v>
      </c>
      <c r="K41" s="55">
        <v>0</v>
      </c>
      <c r="L41" s="62">
        <f t="shared" si="18"/>
        <v>196.3</v>
      </c>
      <c r="M41" s="173">
        <f t="shared" si="19"/>
        <v>0</v>
      </c>
      <c r="N41" s="173">
        <f t="shared" si="20"/>
        <v>0</v>
      </c>
      <c r="O41" s="173">
        <f t="shared" si="21"/>
        <v>0</v>
      </c>
      <c r="P41" s="62">
        <f t="shared" si="22"/>
        <v>0</v>
      </c>
      <c r="Q41" s="62">
        <f t="shared" si="23"/>
        <v>0</v>
      </c>
    </row>
    <row r="42" spans="1:19" x14ac:dyDescent="0.2">
      <c r="A42" s="32" t="s">
        <v>181</v>
      </c>
      <c r="B42" s="188" t="s">
        <v>175</v>
      </c>
      <c r="C42" s="187" t="s">
        <v>95</v>
      </c>
      <c r="D42" s="183">
        <v>33.836322000000003</v>
      </c>
      <c r="E42" s="234">
        <v>4376.24</v>
      </c>
      <c r="F42" s="184"/>
      <c r="G42" s="184">
        <v>0</v>
      </c>
      <c r="H42" s="184">
        <v>0</v>
      </c>
      <c r="I42" s="55">
        <v>4267</v>
      </c>
      <c r="J42" s="172">
        <f t="shared" si="2"/>
        <v>4267</v>
      </c>
      <c r="K42" s="55">
        <v>4267</v>
      </c>
      <c r="L42" s="62">
        <f t="shared" si="18"/>
        <v>148075.87</v>
      </c>
      <c r="M42" s="173">
        <f t="shared" si="19"/>
        <v>0</v>
      </c>
      <c r="N42" s="173">
        <f t="shared" si="20"/>
        <v>0</v>
      </c>
      <c r="O42" s="173">
        <f t="shared" si="21"/>
        <v>0</v>
      </c>
      <c r="P42" s="62">
        <f t="shared" si="22"/>
        <v>144379.59</v>
      </c>
      <c r="Q42" s="62">
        <f t="shared" si="23"/>
        <v>144379.59</v>
      </c>
    </row>
    <row r="43" spans="1:19" x14ac:dyDescent="0.2">
      <c r="A43" s="32" t="s">
        <v>182</v>
      </c>
      <c r="B43" s="188" t="s">
        <v>176</v>
      </c>
      <c r="C43" s="187" t="s">
        <v>95</v>
      </c>
      <c r="D43" s="183">
        <v>2.0559760000000002</v>
      </c>
      <c r="E43" s="234">
        <v>4376.24</v>
      </c>
      <c r="F43" s="184"/>
      <c r="G43" s="184">
        <v>0</v>
      </c>
      <c r="H43" s="184">
        <v>0</v>
      </c>
      <c r="I43" s="55">
        <v>4267</v>
      </c>
      <c r="J43" s="172">
        <f t="shared" si="2"/>
        <v>4267</v>
      </c>
      <c r="K43" s="55">
        <v>4267</v>
      </c>
      <c r="L43" s="62">
        <f t="shared" si="18"/>
        <v>8997.44</v>
      </c>
      <c r="M43" s="173">
        <f t="shared" si="19"/>
        <v>0</v>
      </c>
      <c r="N43" s="173">
        <f t="shared" si="20"/>
        <v>0</v>
      </c>
      <c r="O43" s="173">
        <f t="shared" si="21"/>
        <v>0</v>
      </c>
      <c r="P43" s="62">
        <f t="shared" si="22"/>
        <v>8772.85</v>
      </c>
      <c r="Q43" s="62">
        <f t="shared" si="23"/>
        <v>8772.85</v>
      </c>
    </row>
    <row r="44" spans="1:19" x14ac:dyDescent="0.2">
      <c r="A44" s="32" t="s">
        <v>183</v>
      </c>
      <c r="B44" s="188" t="s">
        <v>177</v>
      </c>
      <c r="C44" s="187" t="s">
        <v>187</v>
      </c>
      <c r="D44" s="183">
        <v>2065.4716238767646</v>
      </c>
      <c r="E44" s="234">
        <v>2</v>
      </c>
      <c r="F44" s="184"/>
      <c r="G44" s="184">
        <v>0</v>
      </c>
      <c r="H44" s="184">
        <v>0</v>
      </c>
      <c r="I44" s="55">
        <v>0</v>
      </c>
      <c r="J44" s="172">
        <f t="shared" si="2"/>
        <v>0</v>
      </c>
      <c r="K44" s="55">
        <v>0</v>
      </c>
      <c r="L44" s="62">
        <f t="shared" si="18"/>
        <v>4130.9399999999996</v>
      </c>
      <c r="M44" s="173">
        <f t="shared" si="19"/>
        <v>0</v>
      </c>
      <c r="N44" s="173">
        <f t="shared" si="20"/>
        <v>0</v>
      </c>
      <c r="O44" s="173">
        <f t="shared" si="21"/>
        <v>0</v>
      </c>
      <c r="P44" s="62">
        <f t="shared" si="22"/>
        <v>0</v>
      </c>
      <c r="Q44" s="62">
        <f t="shared" si="23"/>
        <v>0</v>
      </c>
    </row>
    <row r="45" spans="1:19" x14ac:dyDescent="0.2">
      <c r="A45" s="32" t="s">
        <v>184</v>
      </c>
      <c r="B45" s="188" t="s">
        <v>178</v>
      </c>
      <c r="C45" s="187" t="s">
        <v>187</v>
      </c>
      <c r="D45" s="183">
        <v>1190.2104942233632</v>
      </c>
      <c r="E45" s="234">
        <v>2</v>
      </c>
      <c r="F45" s="184"/>
      <c r="G45" s="184">
        <v>0</v>
      </c>
      <c r="H45" s="184">
        <v>0</v>
      </c>
      <c r="I45" s="55">
        <v>0</v>
      </c>
      <c r="J45" s="172">
        <f t="shared" si="2"/>
        <v>0</v>
      </c>
      <c r="K45" s="55">
        <v>0</v>
      </c>
      <c r="L45" s="62">
        <f t="shared" si="18"/>
        <v>2380.42</v>
      </c>
      <c r="M45" s="173">
        <f t="shared" si="19"/>
        <v>0</v>
      </c>
      <c r="N45" s="173">
        <f t="shared" si="20"/>
        <v>0</v>
      </c>
      <c r="O45" s="173">
        <f t="shared" si="21"/>
        <v>0</v>
      </c>
      <c r="P45" s="62">
        <f t="shared" si="22"/>
        <v>0</v>
      </c>
      <c r="Q45" s="62">
        <f t="shared" si="23"/>
        <v>0</v>
      </c>
    </row>
    <row r="46" spans="1:19" x14ac:dyDescent="0.2">
      <c r="A46" s="32" t="s">
        <v>185</v>
      </c>
      <c r="B46" s="188" t="s">
        <v>179</v>
      </c>
      <c r="C46" s="187" t="s">
        <v>188</v>
      </c>
      <c r="D46" s="183">
        <v>378.66496790757378</v>
      </c>
      <c r="E46" s="234">
        <v>28</v>
      </c>
      <c r="F46" s="184"/>
      <c r="G46" s="184">
        <v>0</v>
      </c>
      <c r="H46" s="184">
        <v>28</v>
      </c>
      <c r="I46" s="55">
        <v>0</v>
      </c>
      <c r="J46" s="172">
        <f t="shared" si="2"/>
        <v>28</v>
      </c>
      <c r="K46" s="55">
        <v>28</v>
      </c>
      <c r="L46" s="62">
        <f t="shared" si="18"/>
        <v>10602.62</v>
      </c>
      <c r="M46" s="173">
        <f t="shared" si="19"/>
        <v>0</v>
      </c>
      <c r="N46" s="173">
        <f t="shared" si="20"/>
        <v>0</v>
      </c>
      <c r="O46" s="173">
        <f t="shared" si="21"/>
        <v>10602.619101412067</v>
      </c>
      <c r="P46" s="62">
        <f t="shared" si="22"/>
        <v>0</v>
      </c>
      <c r="Q46" s="62">
        <f t="shared" si="23"/>
        <v>10602.62</v>
      </c>
    </row>
    <row r="47" spans="1:19" x14ac:dyDescent="0.2">
      <c r="A47" s="32" t="s">
        <v>186</v>
      </c>
      <c r="B47" s="188" t="s">
        <v>180</v>
      </c>
      <c r="C47" s="187" t="s">
        <v>187</v>
      </c>
      <c r="D47" s="183">
        <v>975.66643774069314</v>
      </c>
      <c r="E47" s="234">
        <v>4</v>
      </c>
      <c r="F47" s="184"/>
      <c r="G47" s="184">
        <v>0</v>
      </c>
      <c r="H47" s="184">
        <v>0</v>
      </c>
      <c r="I47" s="55">
        <v>0</v>
      </c>
      <c r="J47" s="172">
        <f t="shared" si="2"/>
        <v>0</v>
      </c>
      <c r="K47" s="55">
        <v>0</v>
      </c>
      <c r="L47" s="62">
        <f t="shared" si="18"/>
        <v>3902.67</v>
      </c>
      <c r="M47" s="173">
        <f t="shared" si="19"/>
        <v>0</v>
      </c>
      <c r="N47" s="173">
        <f t="shared" si="20"/>
        <v>0</v>
      </c>
      <c r="O47" s="173">
        <f t="shared" si="21"/>
        <v>0</v>
      </c>
      <c r="P47" s="62">
        <f t="shared" si="22"/>
        <v>0</v>
      </c>
      <c r="Q47" s="62">
        <f t="shared" si="23"/>
        <v>0</v>
      </c>
    </row>
    <row r="48" spans="1:19" ht="15" customHeight="1" x14ac:dyDescent="0.2">
      <c r="A48" s="195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238">
        <f>L5+L9+L15+L29+L34+0.01</f>
        <v>2734552.1663999995</v>
      </c>
      <c r="M48" s="238">
        <f t="shared" ref="M48:O48" si="24">M5+M9+M15+M29+M34+0.01</f>
        <v>1039412.5638799999</v>
      </c>
      <c r="N48" s="238">
        <f t="shared" si="24"/>
        <v>656126.43116505886</v>
      </c>
      <c r="O48" s="238">
        <f t="shared" si="24"/>
        <v>825879.44566627755</v>
      </c>
      <c r="P48" s="238">
        <f>P5+P9+P15+P29+P34</f>
        <v>82588.390000000014</v>
      </c>
      <c r="Q48" s="238">
        <f>Q5+Q9+Q15+Q29+Q34</f>
        <v>2604006.8199999998</v>
      </c>
      <c r="R48" s="189">
        <f>M48+N48+O48+P48-Q48</f>
        <v>1.0711336508393288E-2</v>
      </c>
      <c r="S48" s="189">
        <f>R48-R24-R13</f>
        <v>-7.8491016693316498E-2</v>
      </c>
    </row>
    <row r="50" spans="1:17" x14ac:dyDescent="0.2">
      <c r="L50" s="189"/>
      <c r="M50" s="189"/>
      <c r="N50" s="189"/>
      <c r="O50" s="189"/>
    </row>
    <row r="52" spans="1:17" x14ac:dyDescent="0.2">
      <c r="L52" s="189"/>
      <c r="M52" s="189"/>
      <c r="N52" s="189"/>
      <c r="O52" s="189"/>
      <c r="P52" s="189"/>
      <c r="Q52" s="189"/>
    </row>
    <row r="53" spans="1:17" x14ac:dyDescent="0.2">
      <c r="I53" s="189"/>
      <c r="J53" s="189"/>
    </row>
    <row r="54" spans="1:17" ht="12.75" x14ac:dyDescent="0.2">
      <c r="A54" s="224"/>
      <c r="B54" s="231"/>
      <c r="C54" s="224"/>
      <c r="D54" s="230"/>
      <c r="E54"/>
      <c r="F54"/>
      <c r="G54"/>
      <c r="H54"/>
      <c r="I54"/>
      <c r="J54"/>
      <c r="K54"/>
      <c r="L54" s="242"/>
      <c r="M54" s="242"/>
      <c r="N54" s="242"/>
      <c r="O54" s="242"/>
      <c r="P54" s="242"/>
      <c r="Q54" s="242"/>
    </row>
    <row r="55" spans="1:17" customFormat="1" ht="12.75" x14ac:dyDescent="0.2">
      <c r="A55" s="224"/>
      <c r="B55" s="229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</row>
    <row r="60" spans="1:17" ht="12.75" x14ac:dyDescent="0.2">
      <c r="A60" s="224"/>
      <c r="B60" s="231" t="s">
        <v>229</v>
      </c>
      <c r="G60" s="347" t="s">
        <v>228</v>
      </c>
      <c r="H60" s="347"/>
      <c r="I60" s="347"/>
      <c r="J60" s="347"/>
      <c r="K60" s="347"/>
      <c r="N60" s="242" t="s">
        <v>224</v>
      </c>
      <c r="O60" s="242"/>
      <c r="P60" s="242"/>
    </row>
    <row r="61" spans="1:17" ht="12.75" x14ac:dyDescent="0.2">
      <c r="A61" s="224"/>
      <c r="B61" s="229" t="s">
        <v>225</v>
      </c>
      <c r="G61" s="242" t="s">
        <v>226</v>
      </c>
      <c r="H61" s="242"/>
      <c r="I61" s="242"/>
      <c r="J61" s="242"/>
      <c r="K61" s="242"/>
      <c r="N61" s="242" t="s">
        <v>227</v>
      </c>
      <c r="O61" s="242"/>
      <c r="P61" s="242"/>
    </row>
  </sheetData>
  <mergeCells count="14">
    <mergeCell ref="A1:Q1"/>
    <mergeCell ref="A2:A3"/>
    <mergeCell ref="B2:B3"/>
    <mergeCell ref="C2:C3"/>
    <mergeCell ref="D2:D3"/>
    <mergeCell ref="E2:K2"/>
    <mergeCell ref="L2:Q2"/>
    <mergeCell ref="N60:P60"/>
    <mergeCell ref="N61:P61"/>
    <mergeCell ref="G61:K61"/>
    <mergeCell ref="G60:K60"/>
    <mergeCell ref="L54:Q54"/>
    <mergeCell ref="C55:K55"/>
    <mergeCell ref="L55:Q55"/>
  </mergeCells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rowBreaks count="1" manualBreakCount="1">
    <brk id="3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965F-757F-49D4-B2D2-37A472E1FB26}">
  <sheetPr>
    <pageSetUpPr fitToPage="1"/>
  </sheetPr>
  <dimension ref="A1:M61"/>
  <sheetViews>
    <sheetView view="pageBreakPreview" zoomScaleNormal="100" zoomScaleSheetLayoutView="100" workbookViewId="0">
      <pane xSplit="4" ySplit="2" topLeftCell="E35" activePane="bottomRight" state="frozen"/>
      <selection pane="topRight" activeCell="K1" sqref="K1"/>
      <selection pane="bottomLeft" activeCell="A13" sqref="A13"/>
      <selection pane="bottomRight" sqref="A1:D46"/>
    </sheetView>
  </sheetViews>
  <sheetFormatPr defaultColWidth="9.28515625" defaultRowHeight="12.75" x14ac:dyDescent="0.2"/>
  <cols>
    <col min="1" max="1" width="8.28515625" style="34" customWidth="1"/>
    <col min="2" max="2" width="42.5703125" style="34" customWidth="1"/>
    <col min="3" max="3" width="6.28515625" style="34" customWidth="1"/>
    <col min="4" max="4" width="14" style="34" customWidth="1"/>
    <col min="5" max="5" width="1.7109375" customWidth="1"/>
    <col min="6" max="6" width="12.5703125" style="34" customWidth="1"/>
    <col min="7" max="7" width="1.7109375" style="34" customWidth="1"/>
    <col min="8" max="12" width="12.5703125" style="34" customWidth="1"/>
    <col min="13" max="13" width="12.28515625" style="34" bestFit="1" customWidth="1"/>
    <col min="14" max="16384" width="9.28515625" style="34"/>
  </cols>
  <sheetData>
    <row r="1" spans="1:13" x14ac:dyDescent="0.2">
      <c r="A1" s="248" t="s">
        <v>97</v>
      </c>
      <c r="B1" s="243" t="s">
        <v>4</v>
      </c>
      <c r="C1" s="243" t="s">
        <v>98</v>
      </c>
      <c r="D1" s="243" t="s">
        <v>152</v>
      </c>
      <c r="H1" s="161"/>
      <c r="I1" s="165" t="s">
        <v>152</v>
      </c>
      <c r="J1" s="162"/>
      <c r="K1" s="163" t="s">
        <v>153</v>
      </c>
      <c r="L1" s="164"/>
    </row>
    <row r="2" spans="1:13" ht="18" x14ac:dyDescent="0.2">
      <c r="A2" s="248"/>
      <c r="B2" s="243"/>
      <c r="C2" s="243"/>
      <c r="D2" s="243"/>
      <c r="F2" s="151" t="s">
        <v>146</v>
      </c>
      <c r="G2" s="159"/>
      <c r="H2" s="151" t="s">
        <v>147</v>
      </c>
      <c r="I2" s="151" t="s">
        <v>148</v>
      </c>
      <c r="J2" s="151" t="s">
        <v>149</v>
      </c>
      <c r="K2" s="151" t="s">
        <v>150</v>
      </c>
      <c r="L2" s="151" t="s">
        <v>151</v>
      </c>
    </row>
    <row r="3" spans="1:13" ht="26.25" customHeight="1" x14ac:dyDescent="0.2">
      <c r="A3" s="25">
        <v>1</v>
      </c>
      <c r="B3" s="52" t="s">
        <v>113</v>
      </c>
      <c r="C3" s="53"/>
      <c r="D3" s="53"/>
      <c r="F3" s="152"/>
      <c r="G3" s="152"/>
    </row>
    <row r="4" spans="1:13" ht="15" customHeight="1" x14ac:dyDescent="0.2">
      <c r="A4" s="59" t="s">
        <v>36</v>
      </c>
      <c r="B4" s="60" t="s">
        <v>37</v>
      </c>
      <c r="C4" s="61"/>
      <c r="D4" s="61"/>
      <c r="F4" s="153"/>
      <c r="G4" s="153"/>
    </row>
    <row r="5" spans="1:13" ht="27" x14ac:dyDescent="0.2">
      <c r="A5" s="167" t="s">
        <v>69</v>
      </c>
      <c r="B5" s="168" t="s">
        <v>38</v>
      </c>
      <c r="C5" s="169" t="s">
        <v>41</v>
      </c>
      <c r="D5" s="172">
        <v>14222.78</v>
      </c>
      <c r="F5" s="155" t="e">
        <f>#REF!</f>
        <v>#REF!</v>
      </c>
      <c r="G5" s="160"/>
      <c r="H5" s="156">
        <f>'MEM04'!H18</f>
        <v>14222.78</v>
      </c>
      <c r="I5" s="156">
        <v>14222.78</v>
      </c>
      <c r="J5" s="156">
        <f>+I5-H5</f>
        <v>0</v>
      </c>
      <c r="K5" s="156" t="e">
        <f>ROUND(+J5*#REF!,2)</f>
        <v>#REF!</v>
      </c>
      <c r="L5" s="156" t="e">
        <f>#REF!</f>
        <v>#REF!</v>
      </c>
    </row>
    <row r="6" spans="1:13" ht="27" x14ac:dyDescent="0.2">
      <c r="A6" s="167" t="s">
        <v>70</v>
      </c>
      <c r="B6" s="168" t="s">
        <v>39</v>
      </c>
      <c r="C6" s="169" t="s">
        <v>41</v>
      </c>
      <c r="D6" s="172">
        <v>14222.78</v>
      </c>
      <c r="F6" s="155" t="e">
        <f>#REF!</f>
        <v>#REF!</v>
      </c>
      <c r="G6" s="160"/>
      <c r="H6" s="156">
        <f>'MEM04'!H31</f>
        <v>14222.78</v>
      </c>
      <c r="I6" s="156">
        <v>14222.78</v>
      </c>
      <c r="J6" s="156">
        <f t="shared" ref="J6:J7" si="0">+I6-H6</f>
        <v>0</v>
      </c>
      <c r="K6" s="156" t="e">
        <f>ROUND(+J6*#REF!,2)</f>
        <v>#REF!</v>
      </c>
      <c r="L6" s="156" t="e">
        <f>#REF!</f>
        <v>#REF!</v>
      </c>
    </row>
    <row r="7" spans="1:13" ht="27" x14ac:dyDescent="0.2">
      <c r="A7" s="167" t="s">
        <v>71</v>
      </c>
      <c r="B7" s="168" t="s">
        <v>40</v>
      </c>
      <c r="C7" s="169" t="s">
        <v>42</v>
      </c>
      <c r="D7" s="172">
        <v>1422.2780000000002</v>
      </c>
      <c r="F7" s="155" t="e">
        <f>#REF!</f>
        <v>#REF!</v>
      </c>
      <c r="G7" s="160"/>
      <c r="H7" s="156">
        <f>'MEM04'!H45</f>
        <v>1422.2780000000002</v>
      </c>
      <c r="I7" s="156">
        <v>1422.28</v>
      </c>
      <c r="J7" s="156">
        <f t="shared" si="0"/>
        <v>1.9999999997253326E-3</v>
      </c>
      <c r="K7" s="156" t="e">
        <f>ROUND(+J7*#REF!,2)</f>
        <v>#REF!</v>
      </c>
      <c r="L7" s="156" t="e">
        <f>#REF!</f>
        <v>#REF!</v>
      </c>
    </row>
    <row r="8" spans="1:13" ht="15" customHeight="1" x14ac:dyDescent="0.2">
      <c r="A8" s="59" t="s">
        <v>43</v>
      </c>
      <c r="B8" s="60" t="s">
        <v>44</v>
      </c>
      <c r="C8" s="61"/>
      <c r="D8" s="61"/>
      <c r="H8" s="157"/>
      <c r="I8" s="157"/>
      <c r="J8" s="157"/>
      <c r="K8" s="157"/>
      <c r="L8" s="157"/>
    </row>
    <row r="9" spans="1:13" ht="27" x14ac:dyDescent="0.2">
      <c r="A9" s="167" t="s">
        <v>72</v>
      </c>
      <c r="B9" s="168" t="s">
        <v>38</v>
      </c>
      <c r="C9" s="169" t="s">
        <v>41</v>
      </c>
      <c r="D9" s="172">
        <v>14222.779999999999</v>
      </c>
      <c r="F9" s="155" t="e">
        <f>#REF!</f>
        <v>#REF!</v>
      </c>
      <c r="G9" s="160"/>
      <c r="H9" s="156">
        <f>'MEM04'!H60</f>
        <v>14222.779999999999</v>
      </c>
      <c r="I9" s="156">
        <v>14222.779999999999</v>
      </c>
      <c r="J9" s="156">
        <f t="shared" ref="J9:J13" si="1">+I9-H9</f>
        <v>0</v>
      </c>
      <c r="K9" s="156" t="e">
        <f>ROUND(+J9*#REF!,2)</f>
        <v>#REF!</v>
      </c>
      <c r="L9" s="156" t="e">
        <f>#REF!</f>
        <v>#REF!</v>
      </c>
    </row>
    <row r="10" spans="1:13" ht="45" x14ac:dyDescent="0.2">
      <c r="A10" s="167" t="s">
        <v>73</v>
      </c>
      <c r="B10" s="168" t="s">
        <v>45</v>
      </c>
      <c r="C10" s="174" t="s">
        <v>93</v>
      </c>
      <c r="D10" s="172">
        <v>12500</v>
      </c>
      <c r="F10" s="155" t="e">
        <f>#REF!</f>
        <v>#REF!</v>
      </c>
      <c r="G10" s="160"/>
      <c r="H10" s="156">
        <f>'MEM04'!H74</f>
        <v>12500</v>
      </c>
      <c r="I10" s="156">
        <v>12499.999999999998</v>
      </c>
      <c r="J10" s="156">
        <f t="shared" si="1"/>
        <v>0</v>
      </c>
      <c r="K10" s="156" t="e">
        <f>ROUND(+J10*#REF!,2)</f>
        <v>#REF!</v>
      </c>
      <c r="L10" s="156" t="e">
        <f>#REF!</f>
        <v>#REF!</v>
      </c>
      <c r="M10" s="158"/>
    </row>
    <row r="11" spans="1:13" ht="36" x14ac:dyDescent="0.2">
      <c r="A11" s="167" t="s">
        <v>74</v>
      </c>
      <c r="B11" s="168" t="s">
        <v>86</v>
      </c>
      <c r="C11" s="174" t="s">
        <v>93</v>
      </c>
      <c r="D11" s="172">
        <v>0</v>
      </c>
      <c r="F11" s="155" t="e">
        <f>#REF!</f>
        <v>#REF!</v>
      </c>
      <c r="G11" s="160"/>
      <c r="H11" s="156">
        <f>'MEM04'!H87</f>
        <v>0</v>
      </c>
      <c r="I11" s="156">
        <v>0</v>
      </c>
      <c r="J11" s="156">
        <f t="shared" si="1"/>
        <v>0</v>
      </c>
      <c r="K11" s="156" t="e">
        <f>ROUND(+J11*#REF!,2)</f>
        <v>#REF!</v>
      </c>
      <c r="L11" s="156" t="e">
        <f>#REF!</f>
        <v>#REF!</v>
      </c>
    </row>
    <row r="12" spans="1:13" ht="27" x14ac:dyDescent="0.2">
      <c r="A12" s="26" t="s">
        <v>75</v>
      </c>
      <c r="B12" s="27" t="s">
        <v>40</v>
      </c>
      <c r="C12" s="30" t="s">
        <v>42</v>
      </c>
      <c r="D12" s="181">
        <v>86600</v>
      </c>
      <c r="F12" s="155" t="e">
        <f>#REF!</f>
        <v>#REF!</v>
      </c>
      <c r="G12" s="160"/>
      <c r="H12" s="156">
        <f>'MEM04'!H102</f>
        <v>86600</v>
      </c>
      <c r="I12" s="156">
        <v>86600</v>
      </c>
      <c r="J12" s="156">
        <f t="shared" si="1"/>
        <v>0</v>
      </c>
      <c r="K12" s="156" t="e">
        <f>ROUND(+J12*#REF!,2)</f>
        <v>#REF!</v>
      </c>
      <c r="L12" s="156" t="e">
        <f>#REF!</f>
        <v>#REF!</v>
      </c>
    </row>
    <row r="13" spans="1:13" ht="18" x14ac:dyDescent="0.2">
      <c r="A13" s="26" t="s">
        <v>160</v>
      </c>
      <c r="B13" s="27" t="s">
        <v>161</v>
      </c>
      <c r="C13" s="178" t="s">
        <v>93</v>
      </c>
      <c r="D13" s="181">
        <v>10151.370000000001</v>
      </c>
      <c r="F13" s="155" t="e">
        <f>#REF!</f>
        <v>#REF!</v>
      </c>
      <c r="G13" s="177"/>
      <c r="H13" s="156">
        <f>'MEM04'!H115</f>
        <v>10151.370000000001</v>
      </c>
      <c r="I13" s="156">
        <v>10151.370000000001</v>
      </c>
      <c r="J13" s="156">
        <f t="shared" si="1"/>
        <v>0</v>
      </c>
      <c r="K13" s="156" t="e">
        <f>ROUND(+J13*#REF!,2)</f>
        <v>#REF!</v>
      </c>
      <c r="L13" s="156" t="e">
        <f>#REF!</f>
        <v>#REF!</v>
      </c>
    </row>
    <row r="14" spans="1:13" ht="15" customHeight="1" x14ac:dyDescent="0.2">
      <c r="A14" s="59" t="s">
        <v>59</v>
      </c>
      <c r="B14" s="60" t="s">
        <v>46</v>
      </c>
      <c r="C14" s="61"/>
      <c r="D14" s="61"/>
      <c r="H14" s="157"/>
      <c r="I14" s="157"/>
      <c r="J14" s="157"/>
      <c r="K14" s="157"/>
      <c r="L14" s="157"/>
    </row>
    <row r="15" spans="1:13" ht="27" x14ac:dyDescent="0.2">
      <c r="A15" s="26" t="s">
        <v>76</v>
      </c>
      <c r="B15" s="168" t="s">
        <v>162</v>
      </c>
      <c r="C15" s="31" t="s">
        <v>42</v>
      </c>
      <c r="D15" s="55">
        <v>0</v>
      </c>
      <c r="F15" s="155">
        <f>'MEM04'!H131</f>
        <v>0</v>
      </c>
      <c r="G15" s="160"/>
      <c r="H15" s="156">
        <f>'MEM04'!H132</f>
        <v>0</v>
      </c>
      <c r="I15" s="156">
        <v>0</v>
      </c>
      <c r="J15" s="156">
        <f t="shared" ref="J15:J27" si="2">+I15-H15</f>
        <v>0</v>
      </c>
      <c r="K15" s="156" t="e">
        <f>ROUND(+J15*#REF!,2)</f>
        <v>#REF!</v>
      </c>
      <c r="L15" s="156" t="e">
        <f>#REF!</f>
        <v>#REF!</v>
      </c>
    </row>
    <row r="16" spans="1:13" ht="27" x14ac:dyDescent="0.2">
      <c r="A16" s="175" t="s">
        <v>77</v>
      </c>
      <c r="B16" s="168" t="s">
        <v>38</v>
      </c>
      <c r="C16" s="176" t="s">
        <v>41</v>
      </c>
      <c r="D16" s="172">
        <v>14222.78</v>
      </c>
      <c r="F16" s="155">
        <f>'MEM04'!H144</f>
        <v>0</v>
      </c>
      <c r="G16" s="160"/>
      <c r="H16" s="156">
        <f>'MEM04'!H145</f>
        <v>14222.78</v>
      </c>
      <c r="I16" s="156">
        <v>14222.78</v>
      </c>
      <c r="J16" s="156">
        <f t="shared" si="2"/>
        <v>0</v>
      </c>
      <c r="K16" s="156" t="e">
        <f>ROUND(+J16*#REF!,2)</f>
        <v>#REF!</v>
      </c>
      <c r="L16" s="156" t="e">
        <f>#REF!</f>
        <v>#REF!</v>
      </c>
    </row>
    <row r="17" spans="1:12" ht="18" x14ac:dyDescent="0.2">
      <c r="A17" s="175" t="s">
        <v>78</v>
      </c>
      <c r="B17" s="168" t="s">
        <v>47</v>
      </c>
      <c r="C17" s="176" t="s">
        <v>41</v>
      </c>
      <c r="D17" s="172">
        <v>14222.78</v>
      </c>
      <c r="F17" s="155">
        <f>'MEM04'!H157</f>
        <v>0</v>
      </c>
      <c r="G17" s="160"/>
      <c r="H17" s="156">
        <f>'MEM04'!H158</f>
        <v>14222.78</v>
      </c>
      <c r="I17" s="156">
        <v>14222.78</v>
      </c>
      <c r="J17" s="156">
        <f t="shared" si="2"/>
        <v>0</v>
      </c>
      <c r="K17" s="156" t="e">
        <f>ROUND(+J17*#REF!,2)</f>
        <v>#REF!</v>
      </c>
      <c r="L17" s="156" t="e">
        <f>#REF!</f>
        <v>#REF!</v>
      </c>
    </row>
    <row r="18" spans="1:12" ht="36" x14ac:dyDescent="0.2">
      <c r="A18" s="32" t="s">
        <v>79</v>
      </c>
      <c r="B18" s="27" t="s">
        <v>48</v>
      </c>
      <c r="C18" s="33" t="s">
        <v>93</v>
      </c>
      <c r="D18" s="55">
        <v>6564.3449999999993</v>
      </c>
      <c r="F18" s="155">
        <f>'MEM04'!H171</f>
        <v>0</v>
      </c>
      <c r="G18" s="160"/>
      <c r="H18" s="156">
        <f>'MEM04'!H172</f>
        <v>6564.3449999999993</v>
      </c>
      <c r="I18" s="156">
        <v>6564.3449999999993</v>
      </c>
      <c r="J18" s="156">
        <f t="shared" si="2"/>
        <v>0</v>
      </c>
      <c r="K18" s="156" t="e">
        <f>ROUND(+J18*#REF!,2)</f>
        <v>#REF!</v>
      </c>
      <c r="L18" s="156" t="e">
        <f>#REF!</f>
        <v>#REF!</v>
      </c>
    </row>
    <row r="19" spans="1:12" ht="18" x14ac:dyDescent="0.2">
      <c r="A19" s="32" t="s">
        <v>80</v>
      </c>
      <c r="B19" s="27" t="s">
        <v>87</v>
      </c>
      <c r="C19" s="33" t="s">
        <v>30</v>
      </c>
      <c r="D19" s="55">
        <v>49.78</v>
      </c>
      <c r="F19" s="155">
        <f>'MEM04'!H181</f>
        <v>0</v>
      </c>
      <c r="G19" s="160"/>
      <c r="H19" s="156">
        <f>'MEM04'!H182</f>
        <v>49.78</v>
      </c>
      <c r="I19" s="156">
        <v>49.78</v>
      </c>
      <c r="J19" s="156">
        <f t="shared" si="2"/>
        <v>0</v>
      </c>
      <c r="K19" s="156" t="e">
        <f>ROUND(+J19*#REF!,2)</f>
        <v>#REF!</v>
      </c>
      <c r="L19" s="156" t="e">
        <f>#REF!</f>
        <v>#REF!</v>
      </c>
    </row>
    <row r="20" spans="1:12" x14ac:dyDescent="0.2">
      <c r="A20" s="32" t="s">
        <v>81</v>
      </c>
      <c r="B20" s="27" t="s">
        <v>32</v>
      </c>
      <c r="C20" s="33" t="s">
        <v>30</v>
      </c>
      <c r="D20" s="55">
        <v>17.07</v>
      </c>
      <c r="F20" s="155">
        <f>'MEM04'!H191</f>
        <v>0</v>
      </c>
      <c r="G20" s="160"/>
      <c r="H20" s="156">
        <f>'MEM04'!H192</f>
        <v>17.07</v>
      </c>
      <c r="I20" s="156">
        <v>17.07</v>
      </c>
      <c r="J20" s="156">
        <f t="shared" si="2"/>
        <v>0</v>
      </c>
      <c r="K20" s="156" t="e">
        <f>ROUND(+J20*#REF!,2)</f>
        <v>#REF!</v>
      </c>
      <c r="L20" s="156" t="e">
        <f>#REF!</f>
        <v>#REF!</v>
      </c>
    </row>
    <row r="21" spans="1:12" x14ac:dyDescent="0.2">
      <c r="A21" s="185" t="s">
        <v>82</v>
      </c>
      <c r="B21" s="27" t="s">
        <v>88</v>
      </c>
      <c r="C21" s="33" t="s">
        <v>41</v>
      </c>
      <c r="D21" s="181">
        <v>14222.777499999997</v>
      </c>
      <c r="F21" s="155">
        <f>'MEM04'!H204</f>
        <v>0</v>
      </c>
      <c r="G21" s="160"/>
      <c r="H21" s="156">
        <f>'MEM04'!H205</f>
        <v>14222.777499999997</v>
      </c>
      <c r="I21" s="156">
        <v>14222.78</v>
      </c>
      <c r="J21" s="156">
        <f t="shared" si="2"/>
        <v>2.5000000041472958E-3</v>
      </c>
      <c r="K21" s="156" t="e">
        <f>ROUND(+J21*#REF!,2)</f>
        <v>#REF!</v>
      </c>
      <c r="L21" s="156" t="e">
        <f>#REF!</f>
        <v>#REF!</v>
      </c>
    </row>
    <row r="22" spans="1:12" ht="18" x14ac:dyDescent="0.2">
      <c r="A22" s="185" t="s">
        <v>169</v>
      </c>
      <c r="B22" s="27" t="s">
        <v>163</v>
      </c>
      <c r="C22" s="33" t="s">
        <v>93</v>
      </c>
      <c r="D22" s="181">
        <v>3194.6546384615376</v>
      </c>
      <c r="F22" s="155">
        <f>'MEM04'!H204</f>
        <v>0</v>
      </c>
      <c r="G22" s="177"/>
      <c r="H22" s="156">
        <f>'MEM04'!H219</f>
        <v>3194.6546384615376</v>
      </c>
      <c r="I22" s="156">
        <v>3194.6478999999999</v>
      </c>
      <c r="J22" s="156">
        <f t="shared" si="2"/>
        <v>-6.7384615376795409E-3</v>
      </c>
      <c r="K22" s="156" t="e">
        <f>ROUND(+J22*#REF!,2)</f>
        <v>#REF!</v>
      </c>
      <c r="L22" s="156" t="e">
        <f>#REF!</f>
        <v>#REF!</v>
      </c>
    </row>
    <row r="23" spans="1:12" ht="18" x14ac:dyDescent="0.2">
      <c r="A23" s="185" t="s">
        <v>170</v>
      </c>
      <c r="B23" s="27" t="s">
        <v>164</v>
      </c>
      <c r="C23" s="33" t="s">
        <v>93</v>
      </c>
      <c r="D23" s="181">
        <v>3369.6970999999999</v>
      </c>
      <c r="F23" s="155">
        <f>'MEM04'!H233</f>
        <v>0</v>
      </c>
      <c r="G23" s="177"/>
      <c r="H23" s="156">
        <f>'MEM04'!H234</f>
        <v>3369.7042076923071</v>
      </c>
      <c r="I23" s="156">
        <v>3369.6970999999999</v>
      </c>
      <c r="J23" s="156">
        <f t="shared" si="2"/>
        <v>-7.107692307272373E-3</v>
      </c>
      <c r="K23" s="156" t="e">
        <f>ROUND(+J23*#REF!,2)</f>
        <v>#REF!</v>
      </c>
      <c r="L23" s="156" t="e">
        <f>#REF!</f>
        <v>#REF!</v>
      </c>
    </row>
    <row r="24" spans="1:12" ht="18" x14ac:dyDescent="0.2">
      <c r="A24" s="185" t="s">
        <v>171</v>
      </c>
      <c r="B24" s="27" t="s">
        <v>165</v>
      </c>
      <c r="C24" s="31" t="s">
        <v>42</v>
      </c>
      <c r="D24" s="181">
        <v>192369.41123438458</v>
      </c>
      <c r="F24" s="155">
        <f>'MEM04'!H247</f>
        <v>0</v>
      </c>
      <c r="G24" s="177"/>
      <c r="H24" s="156">
        <f>'MEM04'!H248</f>
        <v>192369.41123438458</v>
      </c>
      <c r="I24" s="156">
        <v>192369.00547099998</v>
      </c>
      <c r="J24" s="156">
        <f t="shared" si="2"/>
        <v>-0.40576338459504768</v>
      </c>
      <c r="K24" s="156" t="e">
        <f>ROUND(+J24*#REF!,2)</f>
        <v>#REF!</v>
      </c>
      <c r="L24" s="156" t="e">
        <f>#REF!</f>
        <v>#REF!</v>
      </c>
    </row>
    <row r="25" spans="1:12" x14ac:dyDescent="0.2">
      <c r="A25" s="185" t="s">
        <v>172</v>
      </c>
      <c r="B25" s="27" t="s">
        <v>166</v>
      </c>
      <c r="C25" s="33" t="s">
        <v>41</v>
      </c>
      <c r="D25" s="181">
        <v>14222.777499999997</v>
      </c>
      <c r="F25" s="155" t="e">
        <f>#REF!</f>
        <v>#REF!</v>
      </c>
      <c r="G25" s="177"/>
      <c r="H25" s="156">
        <f>'MEM04'!H261</f>
        <v>14222.777499999997</v>
      </c>
      <c r="I25" s="156">
        <v>14222.78</v>
      </c>
      <c r="J25" s="156">
        <f t="shared" si="2"/>
        <v>2.5000000041472958E-3</v>
      </c>
      <c r="K25" s="156" t="e">
        <f>ROUND(+J25*#REF!,2)</f>
        <v>#REF!</v>
      </c>
      <c r="L25" s="156" t="e">
        <f>#REF!</f>
        <v>#REF!</v>
      </c>
    </row>
    <row r="26" spans="1:12" x14ac:dyDescent="0.2">
      <c r="A26" s="185" t="s">
        <v>173</v>
      </c>
      <c r="B26" s="27" t="s">
        <v>167</v>
      </c>
      <c r="C26" s="186" t="s">
        <v>31</v>
      </c>
      <c r="D26" s="181">
        <v>31083.88</v>
      </c>
      <c r="F26" s="155" t="e">
        <f>#REF!</f>
        <v>#REF!</v>
      </c>
      <c r="G26" s="177"/>
      <c r="H26" s="156">
        <f>'MEM04'!H275</f>
        <v>31083.88</v>
      </c>
      <c r="I26" s="156">
        <v>31083.885690000003</v>
      </c>
      <c r="J26" s="156">
        <f t="shared" si="2"/>
        <v>5.690000001777662E-3</v>
      </c>
      <c r="K26" s="156" t="e">
        <f>ROUND(+J26*#REF!,2)</f>
        <v>#REF!</v>
      </c>
      <c r="L26" s="156" t="e">
        <f>#REF!</f>
        <v>#REF!</v>
      </c>
    </row>
    <row r="27" spans="1:12" x14ac:dyDescent="0.2">
      <c r="A27" s="185" t="s">
        <v>174</v>
      </c>
      <c r="B27" s="188" t="s">
        <v>168</v>
      </c>
      <c r="C27" s="187" t="s">
        <v>31</v>
      </c>
      <c r="D27" s="181">
        <v>25726.16</v>
      </c>
      <c r="F27" s="155" t="e">
        <f>#REF!</f>
        <v>#REF!</v>
      </c>
      <c r="G27" s="177"/>
      <c r="H27" s="156">
        <f>'MEM04'!H289</f>
        <v>25726.16</v>
      </c>
      <c r="I27" s="156">
        <v>25726.164464000001</v>
      </c>
      <c r="J27" s="156">
        <f t="shared" si="2"/>
        <v>4.4640000014624093E-3</v>
      </c>
      <c r="K27" s="156" t="e">
        <f>ROUND(+J27*#REF!,2)</f>
        <v>#REF!</v>
      </c>
      <c r="L27" s="156" t="e">
        <f>#REF!</f>
        <v>#REF!</v>
      </c>
    </row>
    <row r="28" spans="1:12" ht="15" customHeight="1" x14ac:dyDescent="0.2">
      <c r="A28" s="59" t="s">
        <v>50</v>
      </c>
      <c r="B28" s="60" t="s">
        <v>49</v>
      </c>
      <c r="C28" s="61"/>
      <c r="D28" s="61"/>
      <c r="H28" s="157"/>
      <c r="I28" s="157"/>
      <c r="J28" s="157"/>
      <c r="K28" s="157"/>
      <c r="L28" s="157"/>
    </row>
    <row r="29" spans="1:12" ht="18" x14ac:dyDescent="0.2">
      <c r="A29" s="26" t="s">
        <v>62</v>
      </c>
      <c r="B29" s="27" t="s">
        <v>89</v>
      </c>
      <c r="C29" s="33" t="s">
        <v>41</v>
      </c>
      <c r="D29" s="55">
        <v>583.6</v>
      </c>
      <c r="F29" s="155">
        <f>'MEM04'!H304</f>
        <v>583.6</v>
      </c>
      <c r="G29" s="160"/>
      <c r="H29" s="156">
        <f>'MEM04'!H305</f>
        <v>583.6</v>
      </c>
      <c r="I29" s="156">
        <v>583.60352485673945</v>
      </c>
      <c r="J29" s="156">
        <f t="shared" ref="J29:J32" si="3">+I29-H29</f>
        <v>3.5248567394319252E-3</v>
      </c>
      <c r="K29" s="156" t="e">
        <f>ROUND(+J29*#REF!,2)</f>
        <v>#REF!</v>
      </c>
      <c r="L29" s="156" t="e">
        <f>#REF!</f>
        <v>#REF!</v>
      </c>
    </row>
    <row r="30" spans="1:12" x14ac:dyDescent="0.2">
      <c r="A30" s="32" t="s">
        <v>83</v>
      </c>
      <c r="B30" s="27" t="s">
        <v>51</v>
      </c>
      <c r="C30" s="33" t="s">
        <v>94</v>
      </c>
      <c r="D30" s="55">
        <v>0</v>
      </c>
      <c r="F30" s="155">
        <f>'MEM04'!H323</f>
        <v>0</v>
      </c>
      <c r="G30" s="160"/>
      <c r="H30" s="156">
        <f>'MEM04'!H324</f>
        <v>0</v>
      </c>
      <c r="I30" s="156">
        <v>3282.18</v>
      </c>
      <c r="J30" s="156">
        <f t="shared" si="3"/>
        <v>3282.18</v>
      </c>
      <c r="K30" s="156" t="e">
        <f>ROUND(+J30*#REF!,2)</f>
        <v>#REF!</v>
      </c>
      <c r="L30" s="156" t="e">
        <f>#REF!</f>
        <v>#REF!</v>
      </c>
    </row>
    <row r="31" spans="1:12" ht="18" x14ac:dyDescent="0.2">
      <c r="A31" s="32" t="s">
        <v>84</v>
      </c>
      <c r="B31" s="27" t="s">
        <v>52</v>
      </c>
      <c r="C31" s="33" t="s">
        <v>41</v>
      </c>
      <c r="D31" s="55">
        <v>0</v>
      </c>
      <c r="F31" s="155">
        <f>'MEM04'!H339</f>
        <v>0</v>
      </c>
      <c r="G31" s="160"/>
      <c r="H31" s="156">
        <f>'MEM04'!H340</f>
        <v>0</v>
      </c>
      <c r="I31" s="156">
        <v>5.5</v>
      </c>
      <c r="J31" s="156">
        <f t="shared" si="3"/>
        <v>5.5</v>
      </c>
      <c r="K31" s="156" t="e">
        <f>ROUND(+J31*#REF!,2)</f>
        <v>#REF!</v>
      </c>
      <c r="L31" s="156" t="e">
        <f>#REF!</f>
        <v>#REF!</v>
      </c>
    </row>
    <row r="32" spans="1:12" ht="81" x14ac:dyDescent="0.2">
      <c r="A32" s="32" t="s">
        <v>85</v>
      </c>
      <c r="B32" s="27" t="s">
        <v>53</v>
      </c>
      <c r="C32" s="33" t="s">
        <v>94</v>
      </c>
      <c r="D32" s="55">
        <v>0</v>
      </c>
      <c r="F32" s="155">
        <f>'MEM04'!H352</f>
        <v>0</v>
      </c>
      <c r="G32" s="160"/>
      <c r="H32" s="156">
        <f>'MEM04'!H353</f>
        <v>0</v>
      </c>
      <c r="I32" s="156">
        <v>2</v>
      </c>
      <c r="J32" s="156">
        <f t="shared" si="3"/>
        <v>2</v>
      </c>
      <c r="K32" s="156" t="e">
        <f>ROUND(+J32*#REF!,2)</f>
        <v>#REF!</v>
      </c>
      <c r="L32" s="156" t="e">
        <f>#REF!</f>
        <v>#REF!</v>
      </c>
    </row>
    <row r="33" spans="1:12" ht="15" customHeight="1" x14ac:dyDescent="0.2">
      <c r="A33" s="59" t="s">
        <v>60</v>
      </c>
      <c r="B33" s="60" t="s">
        <v>54</v>
      </c>
      <c r="C33" s="61"/>
      <c r="D33" s="61"/>
      <c r="H33" s="157"/>
      <c r="I33" s="157"/>
      <c r="J33" s="157"/>
      <c r="K33" s="157"/>
      <c r="L33" s="157"/>
    </row>
    <row r="34" spans="1:12" x14ac:dyDescent="0.2">
      <c r="A34" s="32" t="s">
        <v>63</v>
      </c>
      <c r="B34" s="27" t="s">
        <v>55</v>
      </c>
      <c r="C34" s="33" t="s">
        <v>95</v>
      </c>
      <c r="D34" s="55">
        <v>0</v>
      </c>
      <c r="F34" s="155">
        <f>'MEM04'!H360</f>
        <v>0</v>
      </c>
      <c r="G34" s="160"/>
      <c r="H34" s="156">
        <f>'MEM04'!H361</f>
        <v>0</v>
      </c>
      <c r="I34" s="156">
        <v>80</v>
      </c>
      <c r="J34" s="156">
        <f t="shared" ref="J34:J46" si="4">+I34-H34</f>
        <v>80</v>
      </c>
      <c r="K34" s="156" t="e">
        <f>ROUND(+J34*#REF!,2)</f>
        <v>#REF!</v>
      </c>
      <c r="L34" s="156" t="e">
        <f>#REF!</f>
        <v>#REF!</v>
      </c>
    </row>
    <row r="35" spans="1:12" x14ac:dyDescent="0.2">
      <c r="A35" s="32" t="s">
        <v>64</v>
      </c>
      <c r="B35" s="27" t="s">
        <v>56</v>
      </c>
      <c r="C35" s="33" t="s">
        <v>93</v>
      </c>
      <c r="D35" s="55">
        <v>400</v>
      </c>
      <c r="F35" s="155">
        <f>'MEM04'!H373</f>
        <v>400</v>
      </c>
      <c r="G35" s="160"/>
      <c r="H35" s="156">
        <f>'MEM04'!H374</f>
        <v>400</v>
      </c>
      <c r="I35" s="156">
        <v>400</v>
      </c>
      <c r="J35" s="156">
        <f t="shared" si="4"/>
        <v>0</v>
      </c>
      <c r="K35" s="156" t="e">
        <f>ROUND(+J35*#REF!,2)</f>
        <v>#REF!</v>
      </c>
      <c r="L35" s="156" t="e">
        <f>#REF!</f>
        <v>#REF!</v>
      </c>
    </row>
    <row r="36" spans="1:12" ht="36" x14ac:dyDescent="0.2">
      <c r="A36" s="32" t="s">
        <v>65</v>
      </c>
      <c r="B36" s="27" t="s">
        <v>57</v>
      </c>
      <c r="C36" s="33" t="s">
        <v>93</v>
      </c>
      <c r="D36" s="55">
        <v>16</v>
      </c>
      <c r="F36" s="155">
        <f>'MEM04'!H380</f>
        <v>16.5</v>
      </c>
      <c r="G36" s="160"/>
      <c r="H36" s="156">
        <f>'MEM04'!H381</f>
        <v>16.5</v>
      </c>
      <c r="I36" s="156">
        <v>16</v>
      </c>
      <c r="J36" s="156">
        <f t="shared" si="4"/>
        <v>-0.5</v>
      </c>
      <c r="K36" s="156" t="e">
        <f>ROUND(+J36*#REF!,2)</f>
        <v>#REF!</v>
      </c>
      <c r="L36" s="156" t="e">
        <f>#REF!</f>
        <v>#REF!</v>
      </c>
    </row>
    <row r="37" spans="1:12" ht="18" x14ac:dyDescent="0.2">
      <c r="A37" s="32" t="s">
        <v>66</v>
      </c>
      <c r="B37" s="27" t="s">
        <v>90</v>
      </c>
      <c r="C37" s="33" t="s">
        <v>94</v>
      </c>
      <c r="D37" s="55">
        <v>11</v>
      </c>
      <c r="F37" s="155">
        <f>'MEM04'!H446</f>
        <v>11</v>
      </c>
      <c r="G37" s="160"/>
      <c r="H37" s="156">
        <f>'MEM04'!H395</f>
        <v>0</v>
      </c>
      <c r="I37" s="156">
        <v>11</v>
      </c>
      <c r="J37" s="156">
        <f t="shared" si="4"/>
        <v>11</v>
      </c>
      <c r="K37" s="156" t="e">
        <f>ROUND(+J37*#REF!,2)</f>
        <v>#REF!</v>
      </c>
      <c r="L37" s="156" t="e">
        <f>#REF!</f>
        <v>#REF!</v>
      </c>
    </row>
    <row r="38" spans="1:12" ht="18" x14ac:dyDescent="0.2">
      <c r="A38" s="32" t="s">
        <v>67</v>
      </c>
      <c r="B38" s="27" t="s">
        <v>91</v>
      </c>
      <c r="C38" s="33" t="s">
        <v>95</v>
      </c>
      <c r="D38" s="55">
        <v>11</v>
      </c>
      <c r="F38" s="155">
        <f>'MEM04'!H459</f>
        <v>11</v>
      </c>
      <c r="G38" s="160"/>
      <c r="H38" s="156">
        <f>'MEM04'!H409</f>
        <v>0</v>
      </c>
      <c r="I38" s="156">
        <v>11</v>
      </c>
      <c r="J38" s="156">
        <f t="shared" si="4"/>
        <v>11</v>
      </c>
      <c r="K38" s="156" t="e">
        <f>ROUND(+J38*#REF!,2)</f>
        <v>#REF!</v>
      </c>
      <c r="L38" s="156" t="e">
        <f>#REF!</f>
        <v>#REF!</v>
      </c>
    </row>
    <row r="39" spans="1:12" ht="18" x14ac:dyDescent="0.2">
      <c r="A39" s="32" t="s">
        <v>68</v>
      </c>
      <c r="B39" s="27" t="s">
        <v>92</v>
      </c>
      <c r="C39" s="33" t="s">
        <v>94</v>
      </c>
      <c r="D39" s="55">
        <v>0</v>
      </c>
      <c r="F39" s="155">
        <f>'MEM04'!H414</f>
        <v>0</v>
      </c>
      <c r="G39" s="160"/>
      <c r="H39" s="156">
        <f>'MEM04'!H415</f>
        <v>0</v>
      </c>
      <c r="I39" s="156">
        <v>11</v>
      </c>
      <c r="J39" s="156">
        <f t="shared" si="4"/>
        <v>11</v>
      </c>
      <c r="K39" s="156" t="e">
        <f>ROUND(+J39*#REF!,2)</f>
        <v>#REF!</v>
      </c>
      <c r="L39" s="156" t="e">
        <f>#REF!</f>
        <v>#REF!</v>
      </c>
    </row>
    <row r="40" spans="1:12" ht="45" x14ac:dyDescent="0.2">
      <c r="A40" s="32" t="s">
        <v>61</v>
      </c>
      <c r="B40" s="27" t="s">
        <v>58</v>
      </c>
      <c r="C40" s="186" t="s">
        <v>93</v>
      </c>
      <c r="D40" s="181">
        <v>0</v>
      </c>
      <c r="F40" s="155">
        <f>'MEM04'!H420</f>
        <v>0</v>
      </c>
      <c r="G40" s="160"/>
      <c r="H40" s="156">
        <f>'MEM04'!H421</f>
        <v>0</v>
      </c>
      <c r="I40" s="156">
        <v>10</v>
      </c>
      <c r="J40" s="156">
        <f t="shared" si="4"/>
        <v>10</v>
      </c>
      <c r="K40" s="156" t="e">
        <f>ROUND(+J40*#REF!,2)</f>
        <v>#REF!</v>
      </c>
      <c r="L40" s="156" t="e">
        <f>#REF!</f>
        <v>#REF!</v>
      </c>
    </row>
    <row r="41" spans="1:12" x14ac:dyDescent="0.2">
      <c r="A41" s="32" t="s">
        <v>181</v>
      </c>
      <c r="B41" s="188" t="s">
        <v>175</v>
      </c>
      <c r="C41" s="187" t="s">
        <v>95</v>
      </c>
      <c r="D41" s="181">
        <v>4300</v>
      </c>
      <c r="F41" s="155">
        <f>'MEM04'!H472</f>
        <v>4300</v>
      </c>
      <c r="G41" s="177"/>
      <c r="H41" s="156">
        <f>'MEM04'!H503</f>
        <v>0</v>
      </c>
      <c r="I41" s="156">
        <v>4376.24</v>
      </c>
      <c r="J41" s="156">
        <f t="shared" si="4"/>
        <v>4376.24</v>
      </c>
      <c r="K41" s="156" t="e">
        <f>ROUND(+J41*#REF!,2)</f>
        <v>#REF!</v>
      </c>
      <c r="L41" s="156" t="e">
        <f>#REF!</f>
        <v>#REF!</v>
      </c>
    </row>
    <row r="42" spans="1:12" x14ac:dyDescent="0.2">
      <c r="A42" s="32" t="s">
        <v>182</v>
      </c>
      <c r="B42" s="188" t="s">
        <v>176</v>
      </c>
      <c r="C42" s="187" t="s">
        <v>95</v>
      </c>
      <c r="D42" s="181">
        <v>4300</v>
      </c>
      <c r="F42" s="155">
        <f>'MEM04'!H485</f>
        <v>4300</v>
      </c>
      <c r="G42" s="177"/>
      <c r="H42" s="156">
        <f>'MEM04'!H504</f>
        <v>0</v>
      </c>
      <c r="I42" s="156">
        <v>4376.24</v>
      </c>
      <c r="J42" s="156">
        <f t="shared" si="4"/>
        <v>4376.24</v>
      </c>
      <c r="K42" s="156" t="e">
        <f>ROUND(+J42*#REF!,2)</f>
        <v>#REF!</v>
      </c>
      <c r="L42" s="156" t="e">
        <f>#REF!</f>
        <v>#REF!</v>
      </c>
    </row>
    <row r="43" spans="1:12" x14ac:dyDescent="0.2">
      <c r="A43" s="32" t="s">
        <v>183</v>
      </c>
      <c r="B43" s="188" t="s">
        <v>177</v>
      </c>
      <c r="C43" s="187" t="s">
        <v>187</v>
      </c>
      <c r="D43" s="181">
        <v>0</v>
      </c>
      <c r="F43" s="155">
        <f>'MEM04'!H504</f>
        <v>0</v>
      </c>
      <c r="G43" s="177"/>
      <c r="H43" s="156">
        <f>'MEM04'!H505</f>
        <v>0</v>
      </c>
      <c r="I43" s="156">
        <v>2</v>
      </c>
      <c r="J43" s="156">
        <f t="shared" si="4"/>
        <v>2</v>
      </c>
      <c r="K43" s="156" t="e">
        <f>ROUND(+J43*#REF!,2)</f>
        <v>#REF!</v>
      </c>
      <c r="L43" s="156" t="e">
        <f>#REF!</f>
        <v>#REF!</v>
      </c>
    </row>
    <row r="44" spans="1:12" x14ac:dyDescent="0.2">
      <c r="A44" s="32" t="s">
        <v>184</v>
      </c>
      <c r="B44" s="188" t="s">
        <v>178</v>
      </c>
      <c r="C44" s="187" t="s">
        <v>187</v>
      </c>
      <c r="D44" s="181">
        <v>0</v>
      </c>
      <c r="F44" s="155">
        <f>'MEM04'!H505</f>
        <v>0</v>
      </c>
      <c r="G44" s="177"/>
      <c r="H44" s="156">
        <f>'MEM04'!H506</f>
        <v>0</v>
      </c>
      <c r="I44" s="156">
        <v>2</v>
      </c>
      <c r="J44" s="156">
        <f t="shared" si="4"/>
        <v>2</v>
      </c>
      <c r="K44" s="156" t="e">
        <f>ROUND(+J44*#REF!,2)</f>
        <v>#REF!</v>
      </c>
      <c r="L44" s="156" t="e">
        <f>#REF!</f>
        <v>#REF!</v>
      </c>
    </row>
    <row r="45" spans="1:12" x14ac:dyDescent="0.2">
      <c r="A45" s="32" t="s">
        <v>185</v>
      </c>
      <c r="B45" s="188" t="s">
        <v>179</v>
      </c>
      <c r="C45" s="187" t="s">
        <v>188</v>
      </c>
      <c r="D45" s="181">
        <v>28</v>
      </c>
      <c r="F45" s="155">
        <f>'MEM04'!H506</f>
        <v>0</v>
      </c>
      <c r="G45" s="177"/>
      <c r="H45" s="156">
        <f>'MEM04'!H434</f>
        <v>28</v>
      </c>
      <c r="I45" s="156">
        <v>28</v>
      </c>
      <c r="J45" s="156">
        <f t="shared" si="4"/>
        <v>0</v>
      </c>
      <c r="K45" s="156" t="e">
        <f>ROUND(+J45*#REF!,2)</f>
        <v>#REF!</v>
      </c>
      <c r="L45" s="156" t="e">
        <f>#REF!</f>
        <v>#REF!</v>
      </c>
    </row>
    <row r="46" spans="1:12" x14ac:dyDescent="0.2">
      <c r="A46" s="32" t="s">
        <v>186</v>
      </c>
      <c r="B46" s="188" t="s">
        <v>180</v>
      </c>
      <c r="C46" s="187" t="s">
        <v>187</v>
      </c>
      <c r="D46" s="181">
        <v>0</v>
      </c>
      <c r="F46" s="155">
        <f>'MEM04'!H507</f>
        <v>0</v>
      </c>
      <c r="G46" s="177"/>
      <c r="H46" s="156">
        <f>'MEM04'!H508</f>
        <v>0</v>
      </c>
      <c r="I46" s="156">
        <v>4</v>
      </c>
      <c r="J46" s="156">
        <f t="shared" si="4"/>
        <v>4</v>
      </c>
      <c r="K46" s="156" t="e">
        <f>ROUND(+J46*#REF!,2)</f>
        <v>#REF!</v>
      </c>
      <c r="L46" s="156" t="e">
        <f>#REF!</f>
        <v>#REF!</v>
      </c>
    </row>
    <row r="47" spans="1:12" ht="15" customHeight="1" thickBot="1" x14ac:dyDescent="0.25">
      <c r="A47" s="195"/>
      <c r="B47" s="196"/>
      <c r="C47" s="196"/>
      <c r="D47" s="196"/>
      <c r="F47" s="154"/>
      <c r="G47" s="154"/>
    </row>
    <row r="48" spans="1:12" ht="18.75" customHeight="1" thickBot="1" x14ac:dyDescent="0.25">
      <c r="A48" s="198"/>
      <c r="B48" s="199" t="s">
        <v>122</v>
      </c>
      <c r="C48" s="199"/>
      <c r="D48" s="199"/>
    </row>
    <row r="49" spans="1:11" x14ac:dyDescent="0.2">
      <c r="A49" s="250" t="s">
        <v>236</v>
      </c>
      <c r="B49" s="250"/>
      <c r="C49" s="250"/>
      <c r="D49" s="250"/>
      <c r="F49" s="34">
        <v>82588.390000000014</v>
      </c>
    </row>
    <row r="50" spans="1:11" x14ac:dyDescent="0.2">
      <c r="A50" s="251"/>
      <c r="B50" s="251"/>
      <c r="C50" s="251"/>
      <c r="D50" s="251"/>
      <c r="F50" s="189" t="e">
        <f>#REF!-F49</f>
        <v>#REF!</v>
      </c>
      <c r="K50" s="157"/>
    </row>
    <row r="51" spans="1:11" x14ac:dyDescent="0.2">
      <c r="A51" s="241"/>
      <c r="B51" s="241"/>
      <c r="C51" s="241"/>
      <c r="D51" s="241"/>
      <c r="F51" s="189"/>
      <c r="K51" s="157"/>
    </row>
    <row r="52" spans="1:11" x14ac:dyDescent="0.2">
      <c r="A52" s="241"/>
      <c r="B52" s="241"/>
      <c r="C52" s="241"/>
      <c r="D52" s="241"/>
      <c r="F52" s="189"/>
      <c r="K52" s="157"/>
    </row>
    <row r="53" spans="1:11" x14ac:dyDescent="0.2">
      <c r="A53" s="241"/>
      <c r="B53" s="241"/>
      <c r="C53" s="241"/>
      <c r="D53" s="241"/>
      <c r="F53" s="189"/>
      <c r="K53" s="157"/>
    </row>
    <row r="54" spans="1:11" x14ac:dyDescent="0.2">
      <c r="A54" s="241"/>
      <c r="B54" s="241"/>
      <c r="C54" s="241"/>
      <c r="D54" s="241"/>
      <c r="F54" s="189"/>
      <c r="K54" s="157"/>
    </row>
    <row r="55" spans="1:11" x14ac:dyDescent="0.2">
      <c r="A55" s="241"/>
      <c r="B55" s="241"/>
      <c r="C55" s="241"/>
      <c r="D55" s="241"/>
      <c r="F55" s="189"/>
      <c r="K55" s="157"/>
    </row>
    <row r="56" spans="1:11" x14ac:dyDescent="0.2">
      <c r="A56" s="241"/>
      <c r="B56" s="241"/>
      <c r="C56" s="241"/>
      <c r="D56" s="241"/>
      <c r="F56" s="189"/>
      <c r="K56" s="157"/>
    </row>
    <row r="60" spans="1:11" x14ac:dyDescent="0.2">
      <c r="A60" s="224"/>
      <c r="B60" s="231" t="s">
        <v>229</v>
      </c>
      <c r="C60" s="224"/>
      <c r="D60"/>
    </row>
    <row r="61" spans="1:11" x14ac:dyDescent="0.2">
      <c r="A61" s="224"/>
      <c r="B61" s="229" t="s">
        <v>225</v>
      </c>
      <c r="C61" s="242" t="s">
        <v>226</v>
      </c>
      <c r="D61" s="242"/>
    </row>
  </sheetData>
  <mergeCells count="6">
    <mergeCell ref="A49:D50"/>
    <mergeCell ref="C61:D61"/>
    <mergeCell ref="D1:D2"/>
    <mergeCell ref="A1:A2"/>
    <mergeCell ref="B1:B2"/>
    <mergeCell ref="C1:C2"/>
  </mergeCells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BM04</vt:lpstr>
      <vt:lpstr>MEM04</vt:lpstr>
      <vt:lpstr>RESUMO BMS</vt:lpstr>
      <vt:lpstr>ATESTADO</vt:lpstr>
      <vt:lpstr>ATESTADO!Area_de_impressao</vt:lpstr>
      <vt:lpstr>'BM04'!Area_de_impressao</vt:lpstr>
      <vt:lpstr>'MEM04'!Area_de_impressao</vt:lpstr>
      <vt:lpstr>'RESUMO BMS'!Area_de_impressao</vt:lpstr>
      <vt:lpstr>ATESTADO!Titulos_de_impressao</vt:lpstr>
      <vt:lpstr>'BM04'!Titulos_de_impressao</vt:lpstr>
      <vt:lpstr>'MEM04'!Titulos_de_impressao</vt:lpstr>
      <vt:lpstr>'RESUMO BMS'!Titulos_de_impressao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Valdeir Gonçalves</cp:lastModifiedBy>
  <cp:lastPrinted>2025-09-09T15:51:26Z</cp:lastPrinted>
  <dcterms:created xsi:type="dcterms:W3CDTF">1996-07-19T12:01:48Z</dcterms:created>
  <dcterms:modified xsi:type="dcterms:W3CDTF">2026-08-26T13:16:37Z</dcterms:modified>
</cp:coreProperties>
</file>