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25AF60B-BB39-4647-B896-78A95B4242CF}" xr6:coauthVersionLast="47" xr6:coauthVersionMax="47" xr10:uidLastSave="{00000000-0000-0000-0000-000000000000}"/>
  <bookViews>
    <workbookView xWindow="-120" yWindow="-120" windowWidth="20730" windowHeight="11160" tabRatio="908" activeTab="6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</sheets>
  <definedNames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BM.04!$A$1:$J$38</definedName>
    <definedName name="_xlnm.Print_Area" localSheetId="1">'Memória 01'!$A$1:$D$18</definedName>
    <definedName name="_xlnm.Print_Area" localSheetId="3">'Memória 02'!$A$1:$D$16</definedName>
    <definedName name="_xlnm.Print_Area" localSheetId="5">'Memória 03'!$A$1:$D$16</definedName>
    <definedName name="_xlnm.Print_Area" localSheetId="7">'Memória 04'!$A$1:$D$16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30" l="1"/>
  <c r="K23" i="30"/>
  <c r="K22" i="30"/>
  <c r="K20" i="30"/>
  <c r="K16" i="30"/>
  <c r="K17" i="30"/>
  <c r="K18" i="30"/>
  <c r="K15" i="30"/>
  <c r="L26" i="30"/>
  <c r="G9" i="31"/>
  <c r="F12" i="31"/>
  <c r="G8" i="31"/>
  <c r="E8" i="31"/>
  <c r="E9" i="31"/>
  <c r="E6" i="31"/>
  <c r="F15" i="30" s="1"/>
  <c r="G15" i="30" s="1"/>
  <c r="F6" i="31"/>
  <c r="F25" i="30"/>
  <c r="G25" i="30" s="1"/>
  <c r="J25" i="30" s="1"/>
  <c r="J24" i="30" s="1"/>
  <c r="F20" i="30"/>
  <c r="G20" i="30" s="1"/>
  <c r="J20" i="30" s="1"/>
  <c r="J19" i="30" s="1"/>
  <c r="B16" i="31"/>
  <c r="B15" i="31"/>
  <c r="A15" i="31"/>
  <c r="B14" i="31"/>
  <c r="B13" i="31"/>
  <c r="B11" i="31"/>
  <c r="B9" i="31"/>
  <c r="B8" i="31"/>
  <c r="H7" i="31"/>
  <c r="G7" i="31"/>
  <c r="B7" i="31"/>
  <c r="I6" i="31"/>
  <c r="H6" i="31"/>
  <c r="G6" i="31"/>
  <c r="E13" i="31"/>
  <c r="F17" i="30" s="1"/>
  <c r="B6" i="31"/>
  <c r="H25" i="30"/>
  <c r="H24" i="30" s="1"/>
  <c r="H23" i="30"/>
  <c r="H21" i="30" s="1"/>
  <c r="H22" i="30"/>
  <c r="I20" i="30"/>
  <c r="I19" i="30" s="1"/>
  <c r="H20" i="30"/>
  <c r="H19" i="30"/>
  <c r="H18" i="30"/>
  <c r="H17" i="30"/>
  <c r="H16" i="30"/>
  <c r="H15" i="30"/>
  <c r="H14" i="30" s="1"/>
  <c r="H26" i="30" s="1"/>
  <c r="E7" i="29"/>
  <c r="H7" i="29"/>
  <c r="G7" i="29"/>
  <c r="E6" i="29"/>
  <c r="G6" i="29"/>
  <c r="I6" i="29"/>
  <c r="H6" i="29"/>
  <c r="F20" i="28"/>
  <c r="G20" i="28" s="1"/>
  <c r="J20" i="28" s="1"/>
  <c r="J19" i="28" s="1"/>
  <c r="F25" i="28"/>
  <c r="G25" i="28"/>
  <c r="J25" i="28" s="1"/>
  <c r="J24" i="28" s="1"/>
  <c r="F15" i="28"/>
  <c r="I15" i="28" s="1"/>
  <c r="B16" i="29"/>
  <c r="B15" i="29"/>
  <c r="A15" i="29"/>
  <c r="B14" i="29"/>
  <c r="B13" i="29"/>
  <c r="B11" i="29"/>
  <c r="B9" i="29"/>
  <c r="B8" i="29"/>
  <c r="E14" i="29"/>
  <c r="E9" i="29" s="1"/>
  <c r="F18" i="28" s="1"/>
  <c r="G18" i="28" s="1"/>
  <c r="J18" i="28" s="1"/>
  <c r="B7" i="29"/>
  <c r="E13" i="29"/>
  <c r="E8" i="29" s="1"/>
  <c r="F17" i="28" s="1"/>
  <c r="B6" i="29"/>
  <c r="I25" i="28"/>
  <c r="I24" i="28" s="1"/>
  <c r="H25" i="28"/>
  <c r="H24" i="28" s="1"/>
  <c r="H23" i="28"/>
  <c r="H21" i="28" s="1"/>
  <c r="H22" i="28"/>
  <c r="I20" i="28"/>
  <c r="I19" i="28" s="1"/>
  <c r="H20" i="28"/>
  <c r="H19" i="28" s="1"/>
  <c r="H18" i="28"/>
  <c r="H17" i="28"/>
  <c r="H16" i="28"/>
  <c r="H15" i="28"/>
  <c r="H14" i="28" s="1"/>
  <c r="F25" i="26"/>
  <c r="G25" i="26" s="1"/>
  <c r="F16" i="26"/>
  <c r="G16" i="26" s="1"/>
  <c r="F17" i="26"/>
  <c r="G17" i="26"/>
  <c r="F18" i="26"/>
  <c r="G18" i="26" s="1"/>
  <c r="F20" i="26"/>
  <c r="G20" i="26" s="1"/>
  <c r="J20" i="26" s="1"/>
  <c r="J19" i="26" s="1"/>
  <c r="F22" i="26"/>
  <c r="G22" i="26" s="1"/>
  <c r="J22" i="26" s="1"/>
  <c r="F23" i="26"/>
  <c r="G23" i="26"/>
  <c r="E6" i="27"/>
  <c r="E7" i="27" s="1"/>
  <c r="B16" i="27"/>
  <c r="B15" i="27"/>
  <c r="A15" i="27"/>
  <c r="B14" i="27"/>
  <c r="B13" i="27"/>
  <c r="B11" i="27"/>
  <c r="B9" i="27"/>
  <c r="B8" i="27"/>
  <c r="B7" i="27"/>
  <c r="B6" i="27"/>
  <c r="H25" i="26"/>
  <c r="H24" i="26" s="1"/>
  <c r="H23" i="26"/>
  <c r="H22" i="26"/>
  <c r="I20" i="26"/>
  <c r="I19" i="26" s="1"/>
  <c r="H20" i="26"/>
  <c r="H19" i="26"/>
  <c r="H18" i="26"/>
  <c r="H17" i="26"/>
  <c r="H16" i="26"/>
  <c r="H15" i="26"/>
  <c r="E6" i="25"/>
  <c r="E7" i="25" s="1"/>
  <c r="E16" i="25" s="1"/>
  <c r="E9" i="25" s="1"/>
  <c r="A17" i="25"/>
  <c r="H7" i="25"/>
  <c r="H6" i="25"/>
  <c r="H25" i="24"/>
  <c r="H24" i="24" s="1"/>
  <c r="H23" i="24"/>
  <c r="H22" i="24"/>
  <c r="H21" i="24" s="1"/>
  <c r="H20" i="24"/>
  <c r="H19" i="24" s="1"/>
  <c r="H16" i="24"/>
  <c r="H17" i="24"/>
  <c r="H18" i="24"/>
  <c r="H15" i="24"/>
  <c r="B17" i="25"/>
  <c r="B18" i="25"/>
  <c r="B16" i="25"/>
  <c r="B15" i="25"/>
  <c r="B12" i="25"/>
  <c r="B9" i="25"/>
  <c r="B7" i="25"/>
  <c r="B8" i="25"/>
  <c r="B6" i="25"/>
  <c r="E7" i="31" l="1"/>
  <c r="F16" i="30" s="1"/>
  <c r="G16" i="30" s="1"/>
  <c r="J16" i="30" s="1"/>
  <c r="I17" i="30"/>
  <c r="G17" i="30"/>
  <c r="J17" i="30" s="1"/>
  <c r="F22" i="30"/>
  <c r="J15" i="30"/>
  <c r="I15" i="30"/>
  <c r="I25" i="30"/>
  <c r="I24" i="30" s="1"/>
  <c r="I17" i="28"/>
  <c r="G17" i="28"/>
  <c r="G15" i="28"/>
  <c r="J15" i="28" s="1"/>
  <c r="F23" i="28"/>
  <c r="F22" i="28"/>
  <c r="I18" i="28"/>
  <c r="F16" i="28"/>
  <c r="F14" i="29"/>
  <c r="F15" i="29" s="1"/>
  <c r="F16" i="29" s="1"/>
  <c r="H26" i="28"/>
  <c r="J17" i="28"/>
  <c r="H14" i="26"/>
  <c r="H21" i="26"/>
  <c r="I22" i="26"/>
  <c r="F15" i="26"/>
  <c r="I15" i="26" s="1"/>
  <c r="E13" i="27"/>
  <c r="F16" i="25"/>
  <c r="F17" i="25" s="1"/>
  <c r="F18" i="25" s="1"/>
  <c r="E15" i="25"/>
  <c r="H14" i="24"/>
  <c r="H26" i="24" s="1"/>
  <c r="F18" i="24"/>
  <c r="G18" i="24" s="1"/>
  <c r="F25" i="24"/>
  <c r="G25" i="24" s="1"/>
  <c r="F22" i="24"/>
  <c r="G22" i="24" s="1"/>
  <c r="F20" i="24"/>
  <c r="G20" i="24" s="1"/>
  <c r="F16" i="24"/>
  <c r="G16" i="24" s="1"/>
  <c r="F15" i="24"/>
  <c r="I16" i="30" l="1"/>
  <c r="G22" i="30"/>
  <c r="J22" i="30" s="1"/>
  <c r="I22" i="30"/>
  <c r="E14" i="31"/>
  <c r="F14" i="31"/>
  <c r="G16" i="28"/>
  <c r="J16" i="28" s="1"/>
  <c r="I16" i="28"/>
  <c r="I14" i="28" s="1"/>
  <c r="J14" i="28"/>
  <c r="G23" i="28"/>
  <c r="J23" i="28" s="1"/>
  <c r="I23" i="28"/>
  <c r="G22" i="28"/>
  <c r="J22" i="28" s="1"/>
  <c r="I22" i="28"/>
  <c r="I21" i="28" s="1"/>
  <c r="H26" i="26"/>
  <c r="E8" i="27"/>
  <c r="G15" i="26"/>
  <c r="J15" i="26" s="1"/>
  <c r="J16" i="26"/>
  <c r="I16" i="26"/>
  <c r="F14" i="27"/>
  <c r="E14" i="27"/>
  <c r="E8" i="25"/>
  <c r="F17" i="24" s="1"/>
  <c r="G17" i="24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F15" i="31" l="1"/>
  <c r="F16" i="31" s="1"/>
  <c r="F23" i="30"/>
  <c r="I26" i="28"/>
  <c r="J21" i="28"/>
  <c r="J26" i="28" s="1"/>
  <c r="K26" i="28" s="1"/>
  <c r="I23" i="26"/>
  <c r="I21" i="26" s="1"/>
  <c r="J23" i="26"/>
  <c r="J21" i="26" s="1"/>
  <c r="J17" i="26"/>
  <c r="I17" i="26"/>
  <c r="E9" i="27"/>
  <c r="F15" i="27"/>
  <c r="F16" i="27" s="1"/>
  <c r="J16" i="24"/>
  <c r="I16" i="24"/>
  <c r="J24" i="24"/>
  <c r="J19" i="24"/>
  <c r="G23" i="30" l="1"/>
  <c r="J23" i="30" s="1"/>
  <c r="J21" i="30" s="1"/>
  <c r="I23" i="30"/>
  <c r="I21" i="30" s="1"/>
  <c r="G8" i="28"/>
  <c r="D28" i="28"/>
  <c r="J18" i="26"/>
  <c r="J14" i="26" s="1"/>
  <c r="I18" i="26"/>
  <c r="I14" i="26" s="1"/>
  <c r="I25" i="26"/>
  <c r="I24" i="26" s="1"/>
  <c r="J25" i="26"/>
  <c r="J24" i="26" s="1"/>
  <c r="J17" i="24"/>
  <c r="I17" i="24"/>
  <c r="I22" i="24"/>
  <c r="J22" i="24"/>
  <c r="J26" i="26" l="1"/>
  <c r="K26" i="26" s="1"/>
  <c r="I26" i="26"/>
  <c r="I18" i="24"/>
  <c r="I14" i="24" s="1"/>
  <c r="J18" i="24"/>
  <c r="J14" i="24" s="1"/>
  <c r="I23" i="24"/>
  <c r="I21" i="24" s="1"/>
  <c r="J23" i="24"/>
  <c r="D28" i="26" l="1"/>
  <c r="G8" i="26"/>
  <c r="J21" i="24"/>
  <c r="J26" i="24" s="1"/>
  <c r="K26" i="24" s="1"/>
  <c r="I26" i="24"/>
  <c r="G8" i="24" l="1"/>
  <c r="D28" i="24"/>
  <c r="F18" i="30" l="1"/>
  <c r="I18" i="30" s="1"/>
  <c r="I14" i="30" s="1"/>
  <c r="I26" i="30" s="1"/>
  <c r="D28" i="30" l="1"/>
  <c r="G8" i="30"/>
  <c r="G18" i="30"/>
  <c r="J18" i="30" s="1"/>
  <c r="J14" i="30" s="1"/>
  <c r="J26" i="30" s="1"/>
  <c r="K26" i="30" s="1"/>
</calcChain>
</file>

<file path=xl/sharedStrings.xml><?xml version="1.0" encoding="utf-8"?>
<sst xmlns="http://schemas.openxmlformats.org/spreadsheetml/2006/main" count="463" uniqueCount="107">
  <si>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</si>
  <si>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</si>
  <si>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</si>
  <si>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</si>
  <si>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</si>
  <si>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</si>
  <si>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</si>
  <si>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</si>
  <si>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</si>
  <si>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</si>
  <si>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</si>
  <si>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</si>
  <si>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</si>
  <si>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</si>
  <si>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</si>
  <si>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</si>
  <si>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</si>
  <si>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</si>
  <si>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</si>
  <si>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</si>
  <si>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</si>
  <si>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</si>
  <si>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</si>
  <si>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</si>
  <si>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</si>
  <si>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</si>
  <si>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</si>
  <si>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</si>
  <si>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</si>
  <si>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</si>
  <si>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</si>
  <si>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</si>
  <si>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</si>
  <si>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</si>
  <si>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</si>
  <si>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</si>
  <si>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</si>
  <si>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</si>
  <si>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</si>
  <si>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</si>
  <si>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</si>
  <si>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</si>
  <si>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</si>
  <si>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</si>
  <si>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</si>
  <si>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</si>
  <si>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</si>
  <si>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Niemaia Construções Eireli</t>
  </si>
  <si>
    <t>4.0</t>
  </si>
  <si>
    <t>4.1</t>
  </si>
  <si>
    <t>PAVIMENTAÇÃO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</si>
  <si>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</si>
  <si>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</si>
  <si>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</si>
  <si>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</si>
  <si>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</si>
  <si>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 xml:space="preserve">CIMENTO ASFALTICO CAP 50/70 EXCLUSIVE TRANSPORTE </t>
  </si>
  <si>
    <t>PLACA DA OBRA</t>
  </si>
  <si>
    <t>PLACA INDICATIVA DE OBRA</t>
  </si>
  <si>
    <t>M2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</si>
  <si>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</si>
  <si>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</si>
  <si>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</si>
  <si>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</si>
  <si>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</si>
  <si>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</si>
  <si>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</si>
  <si>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</si>
  <si>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M²</t>
  </si>
  <si>
    <t>12 meses</t>
  </si>
  <si>
    <t>MEMORIA DE CALCULO - BM 01</t>
  </si>
  <si>
    <t>Execução de pavimentação asfáltica de ruas e avenidas do Bairro Alto Capanema, Jardim Santana, Estação, Dr. Zeze e Zú Silva</t>
  </si>
  <si>
    <t>Período da medição</t>
  </si>
  <si>
    <t>21/06/2024 a 07/08/2024</t>
  </si>
  <si>
    <t>PINTURA DE LIGACAO EXCLUSIVE LIGANTE</t>
  </si>
  <si>
    <t>CBUQ COM BRITA COMERCIAL EXCL LIGANTE</t>
  </si>
  <si>
    <t>(Área total x 0,04 m de altura) x densidade de 2,40 t/ m³ =</t>
  </si>
  <si>
    <t>EMULSAO ASFALTICA RR-2C EXCLUSIVE TRANSPORTE</t>
  </si>
  <si>
    <t xml:space="preserve">Área total de pintura de ligação x teor de ligante de 0,05% = </t>
  </si>
  <si>
    <r>
      <t xml:space="preserve">Rua João Vieira de Almeida: (39,20*(6,35+6,75)/2)+224*((7+7+7,3+7,3+7,15+7,2)/6) = </t>
    </r>
    <r>
      <rPr>
        <b/>
        <sz val="11"/>
        <color theme="1"/>
        <rFont val="Calibri"/>
        <family val="2"/>
        <scheme val="minor"/>
      </rPr>
      <t>1.860,22 m²</t>
    </r>
    <r>
      <rPr>
        <sz val="11"/>
        <color theme="1"/>
        <rFont val="Calibri"/>
        <family val="2"/>
        <scheme val="minor"/>
      </rPr>
      <t xml:space="preserve">; Rua Jose Francisco Braga Rolim: (39,00*(5,00+6,80)/2)+357,70*((4,6+5,10+5,05+5,05+5+5+5+5)/8)= </t>
    </r>
    <r>
      <rPr>
        <b/>
        <sz val="11"/>
        <color theme="1"/>
        <rFont val="Calibri"/>
        <family val="2"/>
        <scheme val="minor"/>
      </rPr>
      <t>2.009,66 m²</t>
    </r>
    <r>
      <rPr>
        <sz val="11"/>
        <color theme="1"/>
        <rFont val="Calibri"/>
        <family val="2"/>
        <scheme val="minor"/>
      </rPr>
      <t xml:space="preserve">; Rua Simão Afonso de Carvalho: 331,30*((5,10+5,15+4,90+5,00+4,90+4,85+4,90+4,85)/8) = </t>
    </r>
    <r>
      <rPr>
        <b/>
        <sz val="11"/>
        <color theme="1"/>
        <rFont val="Calibri"/>
        <family val="2"/>
        <scheme val="minor"/>
      </rPr>
      <t>1.642,00 m²</t>
    </r>
    <r>
      <rPr>
        <sz val="11"/>
        <color theme="1"/>
        <rFont val="Calibri"/>
        <family val="2"/>
        <scheme val="minor"/>
      </rPr>
      <t xml:space="preserve">; Rua Francisco Sarmento Medeiros: 190,90*(5,10+5,00+4,85+5,05+5,15)/5 = </t>
    </r>
    <r>
      <rPr>
        <b/>
        <sz val="11"/>
        <color theme="1"/>
        <rFont val="Calibri"/>
        <family val="2"/>
        <scheme val="minor"/>
      </rPr>
      <t>960,22 m²</t>
    </r>
    <r>
      <rPr>
        <sz val="11"/>
        <color theme="1"/>
        <rFont val="Calibri"/>
        <family val="2"/>
        <scheme val="minor"/>
      </rPr>
      <t xml:space="preserve">; Rua Professor Trajano (parte 1): 196,50*(6,60+5,75+5,90+5,80+5,60)/5= </t>
    </r>
    <r>
      <rPr>
        <b/>
        <sz val="11"/>
        <color theme="1"/>
        <rFont val="Calibri"/>
        <family val="2"/>
        <scheme val="minor"/>
      </rPr>
      <t>1.165,24 m²</t>
    </r>
    <r>
      <rPr>
        <sz val="11"/>
        <color theme="1"/>
        <rFont val="Calibri"/>
        <family val="2"/>
        <scheme val="minor"/>
      </rPr>
      <t xml:space="preserve">;  Rua Professor Trajano (parte 2): 60*(6,55+7,60+4,60)/3= </t>
    </r>
    <r>
      <rPr>
        <b/>
        <sz val="11"/>
        <color theme="1"/>
        <rFont val="Calibri"/>
        <family val="2"/>
        <scheme val="minor"/>
      </rPr>
      <t>375,00 m²</t>
    </r>
    <r>
      <rPr>
        <sz val="11"/>
        <color theme="1"/>
        <rFont val="Calibri"/>
        <family val="2"/>
        <scheme val="minor"/>
      </rPr>
      <t xml:space="preserve">; Rua Eládio Pedrosa: 60*6,40 = </t>
    </r>
    <r>
      <rPr>
        <b/>
        <sz val="11"/>
        <color theme="1"/>
        <rFont val="Calibri"/>
        <family val="2"/>
        <scheme val="minor"/>
      </rPr>
      <t>384,00 m²</t>
    </r>
    <r>
      <rPr>
        <sz val="11"/>
        <color theme="1"/>
        <rFont val="Calibri"/>
        <family val="2"/>
        <scheme val="minor"/>
      </rPr>
      <t xml:space="preserve">; Rua João Bosco Sarmento: (28*(6,80+6,70)/2)+259,90*((8,60+8,20+7,30+8,20+7,90+7,50+7,50)/7) = </t>
    </r>
    <r>
      <rPr>
        <b/>
        <sz val="11"/>
        <color theme="1"/>
        <rFont val="Calibri"/>
        <family val="2"/>
        <scheme val="minor"/>
      </rPr>
      <t>2.238,50 m²</t>
    </r>
    <r>
      <rPr>
        <sz val="11"/>
        <color theme="1"/>
        <rFont val="Calibri"/>
        <family val="2"/>
        <scheme val="minor"/>
      </rPr>
      <t xml:space="preserve">; Rua Clotilde Meira: 199,90*(10,0+6,75+6,50+6,50+7,90)/5= </t>
    </r>
    <r>
      <rPr>
        <b/>
        <sz val="11"/>
        <color theme="1"/>
        <rFont val="Calibri"/>
        <family val="2"/>
        <scheme val="minor"/>
      </rPr>
      <t>1.505,24 m²</t>
    </r>
    <r>
      <rPr>
        <sz val="11"/>
        <color theme="1"/>
        <rFont val="Calibri"/>
        <family val="2"/>
        <scheme val="minor"/>
      </rPr>
      <t xml:space="preserve">; Rua Dr. Jose Gadelha: 94,76*(6,85+6,30+7,10)/3 = </t>
    </r>
    <r>
      <rPr>
        <b/>
        <sz val="11"/>
        <color theme="1"/>
        <rFont val="Calibri"/>
        <family val="2"/>
        <scheme val="minor"/>
      </rPr>
      <t>639,63 m²</t>
    </r>
    <r>
      <rPr>
        <sz val="11"/>
        <color theme="1"/>
        <rFont val="Calibri"/>
        <family val="2"/>
        <scheme val="minor"/>
      </rPr>
      <t xml:space="preserve">; Rua Epitácio Pessoa: 60*(5,70+5,20)/2 = </t>
    </r>
    <r>
      <rPr>
        <b/>
        <sz val="11"/>
        <color theme="1"/>
        <rFont val="Calibri"/>
        <family val="2"/>
        <scheme val="minor"/>
      </rPr>
      <t>327,00 m²</t>
    </r>
    <r>
      <rPr>
        <sz val="11"/>
        <color theme="1"/>
        <rFont val="Calibri"/>
        <family val="2"/>
        <scheme val="minor"/>
      </rPr>
      <t xml:space="preserve">; Rua Cel. Augusto Braga: 239,80*(5,78+ 5,48+5,40+6,00+ 5,90+ 5,20+6,00+5,10)/8 = </t>
    </r>
    <r>
      <rPr>
        <b/>
        <sz val="11"/>
        <color theme="1"/>
        <rFont val="Calibri"/>
        <family val="2"/>
        <scheme val="minor"/>
      </rPr>
      <t>1.344,68 m²</t>
    </r>
    <r>
      <rPr>
        <sz val="11"/>
        <color theme="1"/>
        <rFont val="Calibri"/>
        <family val="2"/>
        <scheme val="minor"/>
      </rPr>
      <t xml:space="preserve">; Rua Genésio Gambarra: (89,05*(11,90+11,25+10,95)/3)-(19,80*1,50) = </t>
    </r>
    <r>
      <rPr>
        <b/>
        <sz val="11"/>
        <color theme="1"/>
        <rFont val="Calibri"/>
        <family val="2"/>
        <scheme val="minor"/>
      </rPr>
      <t>982,50 m²</t>
    </r>
    <r>
      <rPr>
        <sz val="11"/>
        <color theme="1"/>
        <rFont val="Calibri"/>
        <family val="2"/>
        <scheme val="minor"/>
      </rPr>
      <t xml:space="preserve">; Rua Vital Gomes de Sousa: 73,90*(4,00+4,50+4,25)/3 = </t>
    </r>
    <r>
      <rPr>
        <b/>
        <sz val="11"/>
        <color theme="1"/>
        <rFont val="Calibri"/>
        <family val="2"/>
        <scheme val="minor"/>
      </rPr>
      <t>314,07 m²</t>
    </r>
    <r>
      <rPr>
        <sz val="11"/>
        <color theme="1"/>
        <rFont val="Calibri"/>
        <family val="2"/>
        <scheme val="minor"/>
      </rPr>
      <t xml:space="preserve">; Rua Eládio Pedrosa de Melo: 202,40*(5,8+7,0+ 7,6+8,16+7,4)/5 = </t>
    </r>
    <r>
      <rPr>
        <b/>
        <sz val="11"/>
        <color theme="1"/>
        <rFont val="Calibri"/>
        <family val="2"/>
        <scheme val="minor"/>
      </rPr>
      <t>1.455,66 m²</t>
    </r>
    <r>
      <rPr>
        <sz val="11"/>
        <color theme="1"/>
        <rFont val="Calibri"/>
        <family val="2"/>
        <scheme val="minor"/>
      </rPr>
      <t xml:space="preserve">; Rua Vicente Vieira: 231,70*(8,20+7,67+9,4+9,15+9,80+10,7)/6 = </t>
    </r>
    <r>
      <rPr>
        <b/>
        <sz val="11"/>
        <color theme="1"/>
        <rFont val="Calibri"/>
        <family val="2"/>
        <scheme val="minor"/>
      </rPr>
      <t>2.120,82 m²</t>
    </r>
    <r>
      <rPr>
        <sz val="11"/>
        <color theme="1"/>
        <rFont val="Calibri"/>
        <family val="2"/>
        <scheme val="minor"/>
      </rPr>
      <t xml:space="preserve">; Rua Primeiro de Maio: 132,50*(5,30+5,0+5,0+5,0)/4 = </t>
    </r>
    <r>
      <rPr>
        <b/>
        <sz val="11"/>
        <color theme="1"/>
        <rFont val="Calibri"/>
        <family val="2"/>
        <scheme val="minor"/>
      </rPr>
      <t>672,44 m²</t>
    </r>
    <r>
      <rPr>
        <sz val="11"/>
        <color theme="1"/>
        <rFont val="Calibri"/>
        <family val="2"/>
        <scheme val="minor"/>
      </rPr>
      <t xml:space="preserve">; Rua Maria Emilia Sarmento: 98*(5,07+5,30+5,05)/3 = </t>
    </r>
    <r>
      <rPr>
        <b/>
        <sz val="11"/>
        <color theme="1"/>
        <rFont val="Calibri"/>
        <family val="2"/>
        <scheme val="minor"/>
      </rPr>
      <t>503,72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TOTALIZANDO 20.500,60 M²</t>
    </r>
  </si>
  <si>
    <t>Volume total de CBUQ em toneladas x 5,2% de taxa de aplicação =</t>
  </si>
  <si>
    <t>Total de RR-2C x distancia de 465 km</t>
  </si>
  <si>
    <t xml:space="preserve">Total de CAP 50/70 x distância de 465 km </t>
  </si>
  <si>
    <t>323/2024</t>
  </si>
  <si>
    <t>02</t>
  </si>
  <si>
    <t>08/08/2024 a 04/09/2024</t>
  </si>
  <si>
    <t>MEMORIA DE CALCULO - BM 02</t>
  </si>
  <si>
    <r>
      <t xml:space="preserve">Rua Raimundo Xavier F. Souza: 417 m x (5,6+5,3+5,1+5,0+5,7+5,8+5,4+5,5+5,9)/9 =  </t>
    </r>
    <r>
      <rPr>
        <b/>
        <sz val="11"/>
        <color theme="1"/>
        <rFont val="Calibri"/>
        <family val="2"/>
        <scheme val="minor"/>
      </rPr>
      <t>2.284,23 m²</t>
    </r>
    <r>
      <rPr>
        <sz val="11"/>
        <color theme="1"/>
        <rFont val="Calibri"/>
        <family val="2"/>
        <scheme val="minor"/>
      </rPr>
      <t xml:space="preserve">; Rua Deocleciano Nunes Rezende: 316,20 m x (5,3+5,1+5,1+5,4+5,1+5,45+5,35)/7 = </t>
    </r>
    <r>
      <rPr>
        <b/>
        <sz val="11"/>
        <color theme="1"/>
        <rFont val="Calibri"/>
        <family val="2"/>
        <scheme val="minor"/>
      </rPr>
      <t>1.662,31 m²</t>
    </r>
    <r>
      <rPr>
        <sz val="11"/>
        <color theme="1"/>
        <rFont val="Calibri"/>
        <family val="2"/>
        <scheme val="minor"/>
      </rPr>
      <t>; Rua Benedito Pereira de Lima = 277,20 m x (4,30+ 4,45+4,35+4,6+4,15+4,30+4,30)/7 =</t>
    </r>
    <r>
      <rPr>
        <b/>
        <sz val="11"/>
        <color theme="1"/>
        <rFont val="Calibri"/>
        <family val="2"/>
        <scheme val="minor"/>
      </rPr>
      <t xml:space="preserve"> 1.205,82 m²</t>
    </r>
    <r>
      <rPr>
        <sz val="11"/>
        <color theme="1"/>
        <rFont val="Calibri"/>
        <family val="2"/>
        <scheme val="minor"/>
      </rPr>
      <t xml:space="preserve">; Rua Arnóbio Bezerra da Silva: 300,00 m x (5,50+5,7+5,6+4,6+ 4,55+ 4,65+ 5,20)/7 = </t>
    </r>
    <r>
      <rPr>
        <b/>
        <sz val="11"/>
        <color theme="1"/>
        <rFont val="Calibri"/>
        <family val="2"/>
        <scheme val="minor"/>
      </rPr>
      <t>1.534,29 m²</t>
    </r>
  </si>
  <si>
    <t>MEMORIA DE CALCULO - BM 03</t>
  </si>
  <si>
    <t>03</t>
  </si>
  <si>
    <r>
      <t xml:space="preserve">Rua João Nobre - 271,0 m x (7,0+7,45+5,85+6,0+5,4+5,84+5,6+5,5+5,2)/9 = </t>
    </r>
    <r>
      <rPr>
        <b/>
        <sz val="11"/>
        <color theme="1"/>
        <rFont val="Calibri"/>
        <family val="2"/>
        <scheme val="minor"/>
      </rPr>
      <t>1.621,18 m²</t>
    </r>
    <r>
      <rPr>
        <sz val="11"/>
        <color theme="1"/>
        <rFont val="Calibri"/>
        <family val="2"/>
        <scheme val="minor"/>
      </rPr>
      <t xml:space="preserve">; Rua Severino Barbosa: 171,4 m x (5,75+5,24+5,36+6,1+5,8+5,3+5,1)/7 = </t>
    </r>
    <r>
      <rPr>
        <b/>
        <sz val="11"/>
        <color theme="1"/>
        <rFont val="Calibri"/>
        <family val="2"/>
        <scheme val="minor"/>
      </rPr>
      <t>946,37 m²</t>
    </r>
    <r>
      <rPr>
        <sz val="11"/>
        <color theme="1"/>
        <rFont val="Calibri"/>
        <family val="2"/>
        <scheme val="minor"/>
      </rPr>
      <t xml:space="preserve">; Rua Francisco C. Correia de Sá = 108,90 m x (4,7+4,9+4,1+5,2+5,6)/5 = </t>
    </r>
    <r>
      <rPr>
        <b/>
        <sz val="11"/>
        <color theme="1"/>
        <rFont val="Calibri"/>
        <family val="2"/>
        <scheme val="minor"/>
      </rPr>
      <t>533,61 m²</t>
    </r>
    <r>
      <rPr>
        <sz val="11"/>
        <color theme="1"/>
        <rFont val="Calibri"/>
        <family val="2"/>
        <scheme val="minor"/>
      </rPr>
      <t xml:space="preserve">; Rua Maria Marques da Silva = 311,10 x (4,8+4,55+4,62+4,6+4,66+4,95+4,9+4,8+4,8+4,95+4,9+4,9)/12 = </t>
    </r>
    <r>
      <rPr>
        <b/>
        <sz val="11"/>
        <color theme="1"/>
        <rFont val="Calibri"/>
        <family val="2"/>
        <scheme val="minor"/>
      </rPr>
      <t>1.488,87 m²</t>
    </r>
    <r>
      <rPr>
        <sz val="11"/>
        <color theme="1"/>
        <rFont val="Calibri"/>
        <family val="2"/>
        <scheme val="minor"/>
      </rPr>
      <t xml:space="preserve">; Rua Manoel Belarmino: 100,00*(4,6+9,8+5,85)/3= 675,00 m² + trapézio de: (3,6+11,5)*28/2 = 211,40 m², totalizando: </t>
    </r>
    <r>
      <rPr>
        <b/>
        <sz val="11"/>
        <color theme="1"/>
        <rFont val="Calibri"/>
        <family val="2"/>
        <scheme val="minor"/>
      </rPr>
      <t>886,40 m²</t>
    </r>
    <r>
      <rPr>
        <sz val="11"/>
        <color theme="1"/>
        <rFont val="Calibri"/>
        <family val="2"/>
        <scheme val="minor"/>
      </rPr>
      <t xml:space="preserve">; Rua Pedro Alves Cabral + Rua Jose Pereira Fontes: 369,00m x (6,8+6,48+5,4+6,85+7,05+7,0+7,05+7,50+7,7+6,0+ 4,97+ 5,57+ 6,0)/13 = </t>
    </r>
    <r>
      <rPr>
        <b/>
        <sz val="11"/>
        <color theme="1"/>
        <rFont val="Calibri"/>
        <family val="2"/>
        <scheme val="minor"/>
      </rPr>
      <t>2.394,81 m²</t>
    </r>
    <r>
      <rPr>
        <sz val="11"/>
        <color theme="1"/>
        <rFont val="Calibri"/>
        <family val="2"/>
        <scheme val="minor"/>
      </rPr>
      <t xml:space="preserve">; Rua Maria José: 45,40 m x(5,36+4,20)/2 = </t>
    </r>
    <r>
      <rPr>
        <b/>
        <sz val="11"/>
        <color theme="1"/>
        <rFont val="Calibri"/>
        <family val="2"/>
        <scheme val="minor"/>
      </rPr>
      <t>217,01 m²</t>
    </r>
    <r>
      <rPr>
        <sz val="11"/>
        <color theme="1"/>
        <rFont val="Calibri"/>
        <family val="2"/>
        <scheme val="minor"/>
      </rPr>
      <t xml:space="preserve">; Rua Otaviano Fontes: 252,72 m x (5,30+5,28+5,15+4,77+5,48+5,60+5,10)/7 = </t>
    </r>
    <r>
      <rPr>
        <b/>
        <sz val="11"/>
        <color theme="1"/>
        <rFont val="Calibri"/>
        <family val="2"/>
        <scheme val="minor"/>
      </rPr>
      <t>1.324,25 m²</t>
    </r>
    <r>
      <rPr>
        <sz val="11"/>
        <color theme="1"/>
        <rFont val="Calibri"/>
        <family val="2"/>
        <scheme val="minor"/>
      </rPr>
      <t xml:space="preserve">; Rua Quatro de Outubro: 298,18 m x (7,0+4,96+5,48+5,57+5,20+ 4,77+ 4,82)/7 = </t>
    </r>
    <r>
      <rPr>
        <b/>
        <sz val="11"/>
        <color theme="1"/>
        <rFont val="Calibri"/>
        <family val="2"/>
        <scheme val="minor"/>
      </rPr>
      <t>1.610,17 m²</t>
    </r>
    <r>
      <rPr>
        <sz val="11"/>
        <color theme="1"/>
        <rFont val="Calibri"/>
        <family val="2"/>
        <scheme val="minor"/>
      </rPr>
      <t xml:space="preserve">; Rua Prof. Clotilde Meira = 126,60 m x (7,0+6,26+6,69+7,05)/4 = </t>
    </r>
    <r>
      <rPr>
        <b/>
        <sz val="11"/>
        <color theme="1"/>
        <rFont val="Calibri"/>
        <family val="2"/>
        <scheme val="minor"/>
      </rPr>
      <t>854,55 m²</t>
    </r>
    <r>
      <rPr>
        <sz val="11"/>
        <color theme="1"/>
        <rFont val="Calibri"/>
        <family val="2"/>
        <scheme val="minor"/>
      </rPr>
      <t xml:space="preserve">; Rua Sady Fernandes = 200,00 m x (9,30+9,4+9,6+9,65+7,9)/5 = </t>
    </r>
    <r>
      <rPr>
        <b/>
        <sz val="11"/>
        <color theme="1"/>
        <rFont val="Calibri"/>
        <family val="2"/>
        <scheme val="minor"/>
      </rPr>
      <t>1.834,00 m²</t>
    </r>
    <r>
      <rPr>
        <sz val="11"/>
        <color theme="1"/>
        <rFont val="Calibri"/>
        <family val="2"/>
        <scheme val="minor"/>
      </rPr>
      <t xml:space="preserve">; Rua Dr. José Mariz + Tv. Hélio Silva + Rua Júlio Melo = 422,90 m x (5,9+4,5+3,9+ 3,3+5,6+5,35+ 5,3+5,6+ 5,3+4,9+6,15+5,6+5,68+5,97)/14 = 2.206,63 m² mais trapézio de (5,9+7,8)*25,5/2 = 174,67, totalizando: </t>
    </r>
    <r>
      <rPr>
        <b/>
        <sz val="11"/>
        <color theme="1"/>
        <rFont val="Calibri"/>
        <family val="2"/>
        <scheme val="minor"/>
      </rPr>
      <t>2.381,30 m²</t>
    </r>
    <r>
      <rPr>
        <sz val="11"/>
        <color theme="1"/>
        <rFont val="Calibri"/>
        <family val="2"/>
        <scheme val="minor"/>
      </rPr>
      <t xml:space="preserve">; Rua VIcente Damião = 421,6 m x (6,95+ 5,64+ 5,63+ 5,8+ 5,5+ 5,1+5,55+5,4+5,15+5,18)/10 = </t>
    </r>
    <r>
      <rPr>
        <b/>
        <sz val="11"/>
        <color theme="1"/>
        <rFont val="Calibri"/>
        <family val="2"/>
        <scheme val="minor"/>
      </rPr>
      <t>2.356,74 m²</t>
    </r>
    <r>
      <rPr>
        <sz val="11"/>
        <color theme="1"/>
        <rFont val="Calibri"/>
        <family val="2"/>
        <scheme val="minor"/>
      </rPr>
      <t xml:space="preserve">; Rua Francisco Paulo Coelho = 128,30 m x (5,64+4,67+4,94)/3 = </t>
    </r>
    <r>
      <rPr>
        <b/>
        <sz val="11"/>
        <color theme="1"/>
        <rFont val="Calibri"/>
        <family val="2"/>
        <scheme val="minor"/>
      </rPr>
      <t>652,19 m²</t>
    </r>
    <r>
      <rPr>
        <sz val="11"/>
        <color theme="1"/>
        <rFont val="Calibri"/>
        <family val="2"/>
        <scheme val="minor"/>
      </rPr>
      <t xml:space="preserve">; Rua Manoel Belarmino (trecho 02) = 94,4 m x (5,38+5,36+5,9)/3 = </t>
    </r>
    <r>
      <rPr>
        <b/>
        <sz val="11"/>
        <color theme="1"/>
        <rFont val="Calibri"/>
        <family val="2"/>
        <scheme val="minor"/>
      </rPr>
      <t>523,60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TOTALIZANDO: 19.625,05 M²</t>
    </r>
  </si>
  <si>
    <t>05/09/2024 a 01/10/2024</t>
  </si>
  <si>
    <t>(Área total x 0,04 m de altura) x densidade de 2,40 t/ m³ MAIS quebramola de 0,06 m de área de face * 9,40 m de comprimento = 0,56 m³ * 2,40 t/m³ = 1,35 t</t>
  </si>
  <si>
    <t>MEMORIA DE CALCULO - BM 04</t>
  </si>
  <si>
    <t>04</t>
  </si>
  <si>
    <t>02/10/2024 a 17/03/2025</t>
  </si>
  <si>
    <r>
      <t xml:space="preserve">Bairro Dr. Zeze e Zú Silva: Rua Vicente Ribeiro - 99,50 m x (6,40+6,10+5,90)/3 = </t>
    </r>
    <r>
      <rPr>
        <b/>
        <sz val="11"/>
        <color theme="1"/>
        <rFont val="Calibri"/>
        <family val="2"/>
        <scheme val="minor"/>
      </rPr>
      <t>610,26 m²</t>
    </r>
    <r>
      <rPr>
        <sz val="11"/>
        <color theme="1"/>
        <rFont val="Calibri"/>
        <family val="2"/>
        <scheme val="minor"/>
      </rPr>
      <t xml:space="preserve">. Rua Maria Dolores Nóbrega: 84,90 m x (4,90+5,20+5,50)/3 = </t>
    </r>
    <r>
      <rPr>
        <b/>
        <sz val="11"/>
        <color theme="1"/>
        <rFont val="Calibri"/>
        <family val="2"/>
        <scheme val="minor"/>
      </rPr>
      <t>441,48 m²</t>
    </r>
    <r>
      <rPr>
        <sz val="11"/>
        <color theme="1"/>
        <rFont val="Calibri"/>
        <family val="2"/>
        <scheme val="minor"/>
      </rPr>
      <t xml:space="preserve">. Travessa Flavio de Lira - 44 m x 4,75 = </t>
    </r>
    <r>
      <rPr>
        <b/>
        <sz val="11"/>
        <color theme="1"/>
        <rFont val="Calibri"/>
        <family val="2"/>
        <scheme val="minor"/>
      </rPr>
      <t>209,00 m²</t>
    </r>
    <r>
      <rPr>
        <sz val="11"/>
        <color theme="1"/>
        <rFont val="Calibri"/>
        <family val="2"/>
        <scheme val="minor"/>
      </rPr>
      <t xml:space="preserve">. Travessa João de Deus: 44,70 m x 4,87 = </t>
    </r>
    <r>
      <rPr>
        <b/>
        <sz val="11"/>
        <color theme="1"/>
        <rFont val="Calibri"/>
        <family val="2"/>
        <scheme val="minor"/>
      </rPr>
      <t>217,69 m²</t>
    </r>
    <r>
      <rPr>
        <sz val="11"/>
        <color theme="1"/>
        <rFont val="Calibri"/>
        <family val="2"/>
        <scheme val="minor"/>
      </rPr>
      <t xml:space="preserve">. Travessa Antônio Jose: 94,50 m x (4,60+4,45+4,90)/3 = </t>
    </r>
    <r>
      <rPr>
        <b/>
        <sz val="11"/>
        <color theme="1"/>
        <rFont val="Calibri"/>
        <family val="2"/>
        <scheme val="minor"/>
      </rPr>
      <t>439,42 m²</t>
    </r>
    <r>
      <rPr>
        <sz val="11"/>
        <color theme="1"/>
        <rFont val="Calibri"/>
        <family val="2"/>
        <scheme val="minor"/>
      </rPr>
      <t xml:space="preserve">. Travessa Jackson de Almeida: 47,10 m x 5,00 = </t>
    </r>
    <r>
      <rPr>
        <b/>
        <sz val="11"/>
        <color theme="1"/>
        <rFont val="Calibri"/>
        <family val="2"/>
        <scheme val="minor"/>
      </rPr>
      <t>235,50 m²</t>
    </r>
    <r>
      <rPr>
        <sz val="11"/>
        <color theme="1"/>
        <rFont val="Calibri"/>
        <family val="2"/>
        <scheme val="minor"/>
      </rPr>
      <t xml:space="preserve">. Travessa Manoel Zuza: 46,00 m x 5,15 = </t>
    </r>
    <r>
      <rPr>
        <b/>
        <sz val="11"/>
        <color theme="1"/>
        <rFont val="Calibri"/>
        <family val="2"/>
        <scheme val="minor"/>
      </rPr>
      <t>236,90 m²</t>
    </r>
    <r>
      <rPr>
        <sz val="11"/>
        <color theme="1"/>
        <rFont val="Calibri"/>
        <family val="2"/>
        <scheme val="minor"/>
      </rPr>
      <t xml:space="preserve">. Travessa Patrícia: 44,80 * 5,05 = </t>
    </r>
    <r>
      <rPr>
        <b/>
        <sz val="11"/>
        <color theme="1"/>
        <rFont val="Calibri"/>
        <family val="2"/>
        <scheme val="minor"/>
      </rPr>
      <t>226,24 m²</t>
    </r>
    <r>
      <rPr>
        <sz val="11"/>
        <color theme="1"/>
        <rFont val="Calibri"/>
        <family val="2"/>
        <scheme val="minor"/>
      </rPr>
      <t xml:space="preserve">. Travessa Celestino de Paula: 45,90 * 5,05 = </t>
    </r>
    <r>
      <rPr>
        <b/>
        <sz val="11"/>
        <color theme="1"/>
        <rFont val="Calibri"/>
        <family val="2"/>
        <scheme val="minor"/>
      </rPr>
      <t>231,79 m²</t>
    </r>
    <r>
      <rPr>
        <sz val="11"/>
        <color theme="1"/>
        <rFont val="Calibri"/>
        <family val="2"/>
        <scheme val="minor"/>
      </rPr>
      <t xml:space="preserve">. Travessa Benício Alves Vieira: 38,30 m x 4,85 = </t>
    </r>
    <r>
      <rPr>
        <b/>
        <sz val="11"/>
        <color theme="1"/>
        <rFont val="Calibri"/>
        <family val="2"/>
        <scheme val="minor"/>
      </rPr>
      <t>185,75 m²</t>
    </r>
    <r>
      <rPr>
        <sz val="11"/>
        <color theme="1"/>
        <rFont val="Calibri"/>
        <family val="2"/>
        <scheme val="minor"/>
      </rPr>
      <t xml:space="preserve">. Rua Francisco Paulo Coelho: 218,60 m x (4,6+4,3+4,7+4,4+4,2+4,5)/6 = </t>
    </r>
    <r>
      <rPr>
        <b/>
        <sz val="11"/>
        <color theme="1"/>
        <rFont val="Calibri"/>
        <family val="2"/>
        <scheme val="minor"/>
      </rPr>
      <t>972,77 m²</t>
    </r>
    <r>
      <rPr>
        <sz val="11"/>
        <color theme="1"/>
        <rFont val="Calibri"/>
        <family val="2"/>
        <scheme val="minor"/>
      </rPr>
      <t xml:space="preserve">. Rua Padre Ibiapina 173,40x (5,0+4,6+4,7+4,8+5)/5 = </t>
    </r>
    <r>
      <rPr>
        <b/>
        <sz val="11"/>
        <color theme="1"/>
        <rFont val="Calibri"/>
        <family val="2"/>
        <scheme val="minor"/>
      </rPr>
      <t>835,79 m²</t>
    </r>
    <r>
      <rPr>
        <sz val="11"/>
        <color theme="1"/>
        <rFont val="Calibri"/>
        <family val="2"/>
        <scheme val="minor"/>
      </rPr>
      <t xml:space="preserve">. Rua Raimundo Braga Rolim Filho: 274,60 m x (5,1+4,35+4,35+4,6+4,5+4,5+5,3)/7 =  </t>
    </r>
    <r>
      <rPr>
        <b/>
        <sz val="11"/>
        <color theme="1"/>
        <rFont val="Calibri"/>
        <family val="2"/>
        <scheme val="minor"/>
      </rPr>
      <t>1.282,77 m²</t>
    </r>
    <r>
      <rPr>
        <sz val="11"/>
        <color theme="1"/>
        <rFont val="Calibri"/>
        <family val="2"/>
        <scheme val="minor"/>
      </rPr>
      <t xml:space="preserve">. BAIRRO GUANABARA: Rua Nivaldo Gomes de Sá: 85,10 m x (6,4+6,4+6,32+6,12)/4 = </t>
    </r>
    <r>
      <rPr>
        <b/>
        <sz val="11"/>
        <color theme="1"/>
        <rFont val="Calibri"/>
        <family val="2"/>
        <scheme val="minor"/>
      </rPr>
      <t>536,98 m²</t>
    </r>
    <r>
      <rPr>
        <sz val="11"/>
        <color theme="1"/>
        <rFont val="Calibri"/>
        <family val="2"/>
        <scheme val="minor"/>
      </rPr>
      <t xml:space="preserve">. Rua Alexandre M. Formiga: 137,60 m x (5,5+5,55+5,0+5,42+5,5+5,55)/6 = </t>
    </r>
    <r>
      <rPr>
        <b/>
        <sz val="11"/>
        <color theme="1"/>
        <rFont val="Calibri"/>
        <family val="2"/>
        <scheme val="minor"/>
      </rPr>
      <t>745,79 m²</t>
    </r>
    <r>
      <rPr>
        <sz val="11"/>
        <color theme="1"/>
        <rFont val="Calibri"/>
        <family val="2"/>
        <scheme val="minor"/>
      </rPr>
      <t xml:space="preserve">. Rua Telegrafista Antonio Amorim: 104,20 m x (5,75+5,62+5,48+5,65+5,85)/5 = </t>
    </r>
    <r>
      <rPr>
        <b/>
        <sz val="11"/>
        <color theme="1"/>
        <rFont val="Calibri"/>
        <family val="2"/>
        <scheme val="minor"/>
      </rPr>
      <t>590,81 m²</t>
    </r>
    <r>
      <rPr>
        <sz val="11"/>
        <color theme="1"/>
        <rFont val="Calibri"/>
        <family val="2"/>
        <scheme val="minor"/>
      </rPr>
      <t xml:space="preserve">. Rua Maria do Socorro M. dos Santos: 143,50 m x (6,25+4,95+4,50+3,90)/4 = </t>
    </r>
    <r>
      <rPr>
        <b/>
        <sz val="11"/>
        <color theme="1"/>
        <rFont val="Calibri"/>
        <family val="2"/>
        <scheme val="minor"/>
      </rPr>
      <t>703,15 m²</t>
    </r>
    <r>
      <rPr>
        <sz val="11"/>
        <color theme="1"/>
        <rFont val="Calibri"/>
        <family val="2"/>
        <scheme val="minor"/>
      </rPr>
      <t xml:space="preserve">. Rua Antonio Vicente de Sousa: 181,40 m x (4,15+4,0 + 3,85+ 4,1+ 3,5)/5 = </t>
    </r>
    <r>
      <rPr>
        <b/>
        <sz val="11"/>
        <color theme="1"/>
        <rFont val="Calibri"/>
        <family val="2"/>
        <scheme val="minor"/>
      </rPr>
      <t>711,08 m²</t>
    </r>
    <r>
      <rPr>
        <sz val="11"/>
        <color theme="1"/>
        <rFont val="Calibri"/>
        <family val="2"/>
        <scheme val="minor"/>
      </rPr>
      <t xml:space="preserve">. Rua Jose Alexandre dos Santos: 103,0 m x (5,7+5,7+6,2)/ 3 = </t>
    </r>
    <r>
      <rPr>
        <b/>
        <sz val="11"/>
        <color theme="1"/>
        <rFont val="Calibri"/>
        <family val="2"/>
        <scheme val="minor"/>
      </rPr>
      <t>604,26 m²</t>
    </r>
    <r>
      <rPr>
        <sz val="11"/>
        <color theme="1"/>
        <rFont val="Calibri"/>
        <family val="2"/>
        <scheme val="minor"/>
      </rPr>
      <t xml:space="preserve">. Rua Francisco G. Ribeiro: 76,00 m x (5,0+4,7+4,7+4,2)/4 = </t>
    </r>
    <r>
      <rPr>
        <b/>
        <sz val="11"/>
        <color theme="1"/>
        <rFont val="Calibri"/>
        <family val="2"/>
        <scheme val="minor"/>
      </rPr>
      <t>353,40 m²</t>
    </r>
    <r>
      <rPr>
        <sz val="11"/>
        <color theme="1"/>
        <rFont val="Calibri"/>
        <family val="2"/>
        <scheme val="minor"/>
      </rPr>
      <t xml:space="preserve">. BAIRRO JARDIM SANTANA: Rua Vicente Manoel: 85,30 x (4,3+4,8+4,7+4,3)/4 = </t>
    </r>
    <r>
      <rPr>
        <b/>
        <sz val="11"/>
        <color theme="1"/>
        <rFont val="Calibri"/>
        <family val="2"/>
        <scheme val="minor"/>
      </rPr>
      <t>385,98 m²</t>
    </r>
    <r>
      <rPr>
        <sz val="11"/>
        <color theme="1"/>
        <rFont val="Calibri"/>
        <family val="2"/>
        <scheme val="minor"/>
      </rPr>
      <t xml:space="preserve">. Rua Manoel Galdino da Costa: 301,60 m x (5,45+5,2+5,9+5,55+5,35+4,9+3,2+5,4+4,95+5,35+5,15+6,3)/12 = </t>
    </r>
    <r>
      <rPr>
        <b/>
        <sz val="11"/>
        <color theme="1"/>
        <rFont val="Calibri"/>
        <family val="2"/>
        <scheme val="minor"/>
      </rPr>
      <t>1.575,86 m²</t>
    </r>
    <r>
      <rPr>
        <sz val="11"/>
        <color theme="1"/>
        <rFont val="Calibri"/>
        <family val="2"/>
        <scheme val="minor"/>
      </rPr>
      <t xml:space="preserve">. Rua Manoel Belarmino: 90,40 x (6,6+5,4+5,4+5,4)/ 4  = </t>
    </r>
    <r>
      <rPr>
        <b/>
        <sz val="11"/>
        <color theme="1"/>
        <rFont val="Calibri"/>
        <family val="2"/>
        <scheme val="minor"/>
      </rPr>
      <t>515,28 m²</t>
    </r>
    <r>
      <rPr>
        <sz val="11"/>
        <color theme="1"/>
        <rFont val="Calibri"/>
        <family val="2"/>
        <scheme val="minor"/>
      </rPr>
      <t xml:space="preserve">.Rua Otaviano Fontes: 66,60 x (5,1+4,7+5,25)/3 = </t>
    </r>
    <r>
      <rPr>
        <b/>
        <sz val="11"/>
        <color theme="1"/>
        <rFont val="Calibri"/>
        <family val="2"/>
        <scheme val="minor"/>
      </rPr>
      <t>334,11 m²</t>
    </r>
    <r>
      <rPr>
        <sz val="11"/>
        <color theme="1"/>
        <rFont val="Calibri"/>
        <family val="2"/>
        <scheme val="minor"/>
      </rPr>
      <t xml:space="preserve">. Rua Quatro de Outubro: 121,00 m x (8,3+4,88+4,84+7)/4 = </t>
    </r>
    <r>
      <rPr>
        <b/>
        <sz val="11"/>
        <color theme="1"/>
        <rFont val="Calibri"/>
        <family val="2"/>
        <scheme val="minor"/>
      </rPr>
      <t>756,85 m²</t>
    </r>
    <r>
      <rPr>
        <sz val="11"/>
        <color theme="1"/>
        <rFont val="Calibri"/>
        <family val="2"/>
        <scheme val="minor"/>
      </rPr>
      <t xml:space="preserve">. Rua Expedito Gonçalves dos Santos: 240,14 m x (5,1+4,6+4,95+4,78+5,56+5,5)/6 = </t>
    </r>
    <r>
      <rPr>
        <b/>
        <sz val="11"/>
        <color theme="1"/>
        <rFont val="Calibri"/>
        <family val="2"/>
        <scheme val="minor"/>
      </rPr>
      <t>1.220,31 m²</t>
    </r>
    <r>
      <rPr>
        <sz val="11"/>
        <color theme="1"/>
        <rFont val="Calibri"/>
        <family val="2"/>
        <scheme val="minor"/>
      </rPr>
      <t xml:space="preserve">. Travessa Rita de Cassia: 33,0 x 4,20 = </t>
    </r>
    <r>
      <rPr>
        <b/>
        <sz val="11"/>
        <color theme="1"/>
        <rFont val="Calibri"/>
        <family val="2"/>
        <scheme val="minor"/>
      </rPr>
      <t>138,60 m²</t>
    </r>
    <r>
      <rPr>
        <sz val="11"/>
        <color theme="1"/>
        <rFont val="Calibri"/>
        <family val="2"/>
        <scheme val="minor"/>
      </rPr>
      <t>.</t>
    </r>
  </si>
  <si>
    <t>(Área total x 0,04 m de altura) x densidade de 2,40 t/ m³</t>
  </si>
  <si>
    <t>Total de CAP 50/70 x distância de 465 km (CORREÇÃO QUE NOS 3 BMS ANTERIORES ESTAVA PAGANDO O RR-2C COMO MATERIAL A QUENTE) PORTANTO: VALOR TOTAL ACUMULADO DE TRANSPORTE A QUENTE É: 144.210,45 T.KM (BM01 - 47.588,10+ BM 02: 15.521,70 + BM 03: 45.588,60+ BM 04: 35.512,10)</t>
  </si>
  <si>
    <t>Total de RR-2C x distancia de 465 km (CORREÇÃO QUE NOS 3 BMS ANTERIORES ESTAVA PAGANDO O CAP COMO MATERIAL A FRIO). VALOR TOTAL ACUMULADO DE TRANSPORTE A FRIO É 14.438,25 T.KM (BM01 - 4.766,25+ BM 02: 1.553,1 + BM 03: 4.561,65 + BM 04: 3.557,25)</t>
  </si>
  <si>
    <t>Sinalização das ruas do contrato (memória em anexo) - 2.182,02 m²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</si>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</sst>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5">
    <cellStyle name="20% - Ênfase1" xfId="4" builtinId="30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topLeftCell="A20" zoomScale="90" zoomScaleNormal="100" zoomScaleSheetLayoutView="90" workbookViewId="0">
      <selection activeCell="G6" sqref="G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79" t="s">
        <v>31</v>
      </c>
      <c r="B1" s="80"/>
      <c r="C1" s="80"/>
      <c r="D1" s="80"/>
      <c r="E1" s="80"/>
      <c r="F1" s="80"/>
      <c r="G1" s="80"/>
      <c r="H1" s="80"/>
      <c r="I1" s="81"/>
      <c r="J1" s="3" t="s">
        <v>2</v>
      </c>
    </row>
    <row r="2" spans="1:10" s="5" customFormat="1" ht="16.5" customHeight="1" x14ac:dyDescent="0.25">
      <c r="A2" s="82"/>
      <c r="B2" s="83"/>
      <c r="C2" s="83"/>
      <c r="D2" s="83"/>
      <c r="E2" s="83"/>
      <c r="F2" s="83"/>
      <c r="G2" s="83"/>
      <c r="H2" s="83"/>
      <c r="I2" s="84"/>
      <c r="J2" s="45" t="s">
        <v>3</v>
      </c>
    </row>
    <row r="3" spans="1:10" s="5" customFormat="1" ht="18.75" customHeight="1" x14ac:dyDescent="0.25">
      <c r="A3" s="77" t="s">
        <v>32</v>
      </c>
      <c r="B3" s="78"/>
      <c r="C3" s="77" t="s">
        <v>33</v>
      </c>
      <c r="D3" s="85"/>
      <c r="E3" s="85"/>
      <c r="F3" s="78"/>
      <c r="G3" s="77" t="s">
        <v>34</v>
      </c>
      <c r="H3" s="78"/>
      <c r="I3" s="46" t="s">
        <v>35</v>
      </c>
      <c r="J3" s="46" t="s">
        <v>45</v>
      </c>
    </row>
    <row r="4" spans="1:10" s="5" customFormat="1" ht="21.75" customHeight="1" x14ac:dyDescent="0.25">
      <c r="A4" s="73" t="s">
        <v>44</v>
      </c>
      <c r="B4" s="74"/>
      <c r="C4" s="75" t="s">
        <v>44</v>
      </c>
      <c r="D4" s="86"/>
      <c r="E4" s="86"/>
      <c r="F4" s="76"/>
      <c r="G4" s="75"/>
      <c r="H4" s="76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8"/>
      <c r="C5" s="77" t="s">
        <v>37</v>
      </c>
      <c r="D5" s="78"/>
      <c r="E5" s="77" t="s">
        <v>38</v>
      </c>
      <c r="F5" s="78"/>
      <c r="G5" s="46" t="s">
        <v>39</v>
      </c>
      <c r="H5" s="46" t="s">
        <v>40</v>
      </c>
      <c r="I5" s="77" t="s">
        <v>41</v>
      </c>
      <c r="J5" s="78"/>
    </row>
    <row r="6" spans="1:10" s="5" customFormat="1" ht="24" customHeight="1" x14ac:dyDescent="0.25">
      <c r="A6" s="101" t="s">
        <v>46</v>
      </c>
      <c r="B6" s="102"/>
      <c r="C6" s="103"/>
      <c r="D6" s="104"/>
      <c r="E6" s="105"/>
      <c r="F6" s="106"/>
      <c r="G6" s="47">
        <v>45463</v>
      </c>
      <c r="H6" s="47" t="s">
        <v>83</v>
      </c>
      <c r="I6" s="107">
        <v>45511</v>
      </c>
      <c r="J6" s="108"/>
    </row>
    <row r="7" spans="1:10" s="5" customFormat="1" ht="18.75" customHeight="1" x14ac:dyDescent="0.25">
      <c r="A7" s="109" t="s">
        <v>4</v>
      </c>
      <c r="B7" s="110"/>
      <c r="C7" s="77" t="s">
        <v>42</v>
      </c>
      <c r="D7" s="85"/>
      <c r="E7" s="78"/>
      <c r="F7" s="26" t="s">
        <v>43</v>
      </c>
      <c r="G7" s="77" t="s">
        <v>5</v>
      </c>
      <c r="H7" s="78"/>
      <c r="I7" s="77" t="s">
        <v>72</v>
      </c>
      <c r="J7" s="78"/>
    </row>
    <row r="8" spans="1:10" s="5" customFormat="1" ht="48" customHeight="1" x14ac:dyDescent="0.25">
      <c r="A8" s="111" t="s">
        <v>71</v>
      </c>
      <c r="B8" s="112"/>
      <c r="C8" s="113" t="s">
        <v>47</v>
      </c>
      <c r="D8" s="114"/>
      <c r="E8" s="115"/>
      <c r="F8" s="48">
        <v>3921050.63</v>
      </c>
      <c r="G8" s="116">
        <f>BM.01!$I$26</f>
        <v>1152628.07</v>
      </c>
      <c r="H8" s="117"/>
      <c r="I8" s="107" t="s">
        <v>73</v>
      </c>
      <c r="J8" s="10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87" t="s">
        <v>1</v>
      </c>
      <c r="F10" s="87"/>
      <c r="G10" s="87"/>
      <c r="H10" s="88" t="s">
        <v>7</v>
      </c>
      <c r="I10" s="87"/>
      <c r="J10" s="89"/>
    </row>
    <row r="11" spans="1:10" s="5" customFormat="1" x14ac:dyDescent="0.25">
      <c r="A11" s="90" t="s">
        <v>0</v>
      </c>
      <c r="B11" s="91" t="s">
        <v>8</v>
      </c>
      <c r="C11" s="92" t="s">
        <v>9</v>
      </c>
      <c r="D11" s="93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0"/>
      <c r="B12" s="91"/>
      <c r="C12" s="92"/>
      <c r="D12" s="93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423366.74</v>
      </c>
      <c r="J14" s="38">
        <f>SUM(J15:J18)</f>
        <v>423366.74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01'!E6</f>
        <v>20500.599999999999</v>
      </c>
      <c r="G15" s="30">
        <f>F15</f>
        <v>20500.599999999999</v>
      </c>
      <c r="H15" s="39">
        <f>ROUND(E15*D15,2)</f>
        <v>19918.75</v>
      </c>
      <c r="I15" s="40">
        <f>ROUND(D15*F15,2)</f>
        <v>6560.19</v>
      </c>
      <c r="J15" s="39">
        <f>ROUND(D15*G15,2)</f>
        <v>6560.19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01'!E7</f>
        <v>1968.06</v>
      </c>
      <c r="G16" s="30">
        <f t="shared" ref="G16:G18" si="0">F16</f>
        <v>1968.06</v>
      </c>
      <c r="H16" s="39">
        <f t="shared" ref="H16:H18" si="1">ROUND(E16*D16,2)</f>
        <v>1143436.8</v>
      </c>
      <c r="I16" s="40">
        <f t="shared" ref="I16:I18" si="2">ROUND(D16*F16,2)</f>
        <v>376588.28</v>
      </c>
      <c r="J16" s="39">
        <f t="shared" ref="J16:J18" si="3">ROUND(D16*G16,2)</f>
        <v>376588.28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01'!E8</f>
        <v>4766.25</v>
      </c>
      <c r="G17" s="30">
        <f t="shared" si="0"/>
        <v>4766.25</v>
      </c>
      <c r="H17" s="39">
        <f t="shared" si="1"/>
        <v>152378.45000000001</v>
      </c>
      <c r="I17" s="40">
        <f t="shared" si="2"/>
        <v>4051.31</v>
      </c>
      <c r="J17" s="39">
        <f t="shared" si="3"/>
        <v>4051.31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01'!E9</f>
        <v>47588.1</v>
      </c>
      <c r="G18" s="30">
        <f t="shared" si="0"/>
        <v>47588.1</v>
      </c>
      <c r="H18" s="39">
        <f t="shared" si="1"/>
        <v>11826.76</v>
      </c>
      <c r="I18" s="40">
        <f t="shared" si="2"/>
        <v>36166.959999999999</v>
      </c>
      <c r="J18" s="39">
        <f t="shared" si="3"/>
        <v>36166.959999999999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7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01'!E12</f>
        <v>0</v>
      </c>
      <c r="G20" s="30">
        <f>F20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7"/>
      <c r="H21" s="38">
        <f>SUM(H22:H23)</f>
        <v>2531042.2999999998</v>
      </c>
      <c r="I21" s="38">
        <f>SUM(I22:I23)</f>
        <v>729261.33</v>
      </c>
      <c r="J21" s="38">
        <f>SUM(J22:J23)</f>
        <v>729261.33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1">
        <f>'Memória 01'!E15</f>
        <v>10.25</v>
      </c>
      <c r="G22" s="24">
        <f>F22</f>
        <v>10.25</v>
      </c>
      <c r="H22" s="39">
        <f>ROUND(E22*D22,2)</f>
        <v>155055.09</v>
      </c>
      <c r="I22" s="40">
        <f t="shared" ref="I22:I23" si="4">ROUND(D22*F22,2)</f>
        <v>51070.52</v>
      </c>
      <c r="J22" s="39">
        <f t="shared" ref="J22:J23" si="5">ROUND(D22*G22,2)</f>
        <v>51070.52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1">
        <f>'Memória 01'!E16</f>
        <v>102.34</v>
      </c>
      <c r="G23" s="24">
        <f>F23</f>
        <v>102.34</v>
      </c>
      <c r="H23" s="39">
        <f>ROUND(E23*D23,2)</f>
        <v>2375987.21</v>
      </c>
      <c r="I23" s="40">
        <f t="shared" si="4"/>
        <v>678190.81</v>
      </c>
      <c r="J23" s="39">
        <f t="shared" si="5"/>
        <v>678190.81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7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1">
        <f>'Memória 01'!E18</f>
        <v>0</v>
      </c>
      <c r="G25" s="24">
        <f>F25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4" t="s">
        <v>67</v>
      </c>
      <c r="B26" s="95"/>
      <c r="C26" s="95"/>
      <c r="D26" s="95"/>
      <c r="E26" s="95"/>
      <c r="F26" s="95"/>
      <c r="G26" s="96"/>
      <c r="H26" s="41">
        <f>H14+H19+H21+H24</f>
        <v>3921026.62</v>
      </c>
      <c r="I26" s="41">
        <f>I14+I19+I21+I24</f>
        <v>1152628.07</v>
      </c>
      <c r="J26" s="41">
        <f>J14+J19+J21+J24</f>
        <v>1152628.07</v>
      </c>
      <c r="K26" s="70">
        <f>J26/H26</f>
        <v>0.29399999999999998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7" t="s">
        <v>27</v>
      </c>
      <c r="B28" s="97"/>
      <c r="C28" s="97"/>
      <c r="D28" s="98">
        <f>I26</f>
        <v>1152628.07</v>
      </c>
      <c r="E28" s="98"/>
      <c r="F28" s="99"/>
      <c r="G28" s="99"/>
      <c r="H28" s="99"/>
      <c r="I28" s="99"/>
      <c r="J28" s="99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0"/>
      <c r="H30" s="100"/>
      <c r="I30" s="100"/>
      <c r="J30" s="100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0"/>
  <sheetViews>
    <sheetView view="pageBreakPreview" topLeftCell="B1" zoomScaleNormal="100" zoomScaleSheetLayoutView="100" workbookViewId="0">
      <selection activeCell="E8" sqref="E8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8" ht="26.25" x14ac:dyDescent="0.25">
      <c r="A1" s="118" t="s">
        <v>70</v>
      </c>
      <c r="B1" s="119"/>
      <c r="C1" s="119"/>
      <c r="D1" s="120"/>
    </row>
    <row r="3" spans="1:8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8" x14ac:dyDescent="0.25">
      <c r="A4" s="52"/>
      <c r="B4" s="53"/>
      <c r="C4" s="54"/>
      <c r="D4" s="52"/>
    </row>
    <row r="5" spans="1:8" x14ac:dyDescent="0.25">
      <c r="A5" s="55" t="s">
        <v>19</v>
      </c>
      <c r="B5" s="56" t="s">
        <v>50</v>
      </c>
      <c r="C5" s="57"/>
      <c r="D5" s="58"/>
    </row>
    <row r="6" spans="1:8" ht="21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79</v>
      </c>
      <c r="E6" s="49">
        <f>1860.22+2009.66+1642+960.22+1165.24+375+384+2238.5+1505.24+327+639.63+1344.68+982.5+314.07+1455.66+2120.82+672.44+503.72</f>
        <v>20500.599999999999</v>
      </c>
      <c r="G6" s="62"/>
      <c r="H6">
        <f>(6.15+5.1+4.6+6.8)/4</f>
        <v>5.6624999999999996</v>
      </c>
    </row>
    <row r="7" spans="1:8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76</v>
      </c>
      <c r="E7" s="49">
        <f>(E6)*0.04*2.4</f>
        <v>1968.06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E15*465</f>
        <v>4766.25</v>
      </c>
    </row>
    <row r="9" spans="1:8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E16*465</f>
        <v>47588.1</v>
      </c>
    </row>
    <row r="10" spans="1:8" x14ac:dyDescent="0.25">
      <c r="A10" s="59"/>
      <c r="B10" s="64"/>
      <c r="C10" s="54"/>
      <c r="D10" s="52"/>
    </row>
    <row r="11" spans="1:8" x14ac:dyDescent="0.25">
      <c r="A11" s="55" t="s">
        <v>24</v>
      </c>
      <c r="B11" s="56" t="s">
        <v>53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63</v>
      </c>
      <c r="D12" s="53"/>
    </row>
    <row r="13" spans="1:8" x14ac:dyDescent="0.25">
      <c r="A13" s="59"/>
      <c r="B13" s="64"/>
      <c r="C13" s="54"/>
      <c r="D13" s="52"/>
    </row>
    <row r="14" spans="1:8" x14ac:dyDescent="0.25">
      <c r="A14" s="55" t="s">
        <v>28</v>
      </c>
      <c r="B14" s="56" t="s">
        <v>66</v>
      </c>
      <c r="C14" s="58"/>
      <c r="D14" s="58"/>
    </row>
    <row r="15" spans="1:8" x14ac:dyDescent="0.25">
      <c r="A15" s="59" t="s">
        <v>25</v>
      </c>
      <c r="B15" s="64" t="str">
        <f>BM.01!B22</f>
        <v>EMULSAO ASFALTICA RR-2C EXCLUSIVE TRANSPORTE</v>
      </c>
      <c r="C15" s="54" t="s">
        <v>64</v>
      </c>
      <c r="D15" s="52" t="s">
        <v>78</v>
      </c>
      <c r="E15" s="49">
        <f>E6*0.0005</f>
        <v>10.25</v>
      </c>
      <c r="F15" s="67"/>
    </row>
    <row r="16" spans="1:8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64</v>
      </c>
      <c r="D16" s="53" t="s">
        <v>80</v>
      </c>
      <c r="E16" s="49">
        <f>E7*0.052</f>
        <v>102.34</v>
      </c>
      <c r="F16">
        <f>E7*0.06</f>
        <v>118.0836</v>
      </c>
    </row>
    <row r="17" spans="1:6" x14ac:dyDescent="0.25">
      <c r="A17" s="68" t="str">
        <f>BM.01!A24</f>
        <v>4.0</v>
      </c>
      <c r="B17" s="56" t="str">
        <f>BM.01!B24</f>
        <v>PLACA DA OBRA</v>
      </c>
      <c r="C17" s="58"/>
      <c r="D17" s="58"/>
      <c r="F17" s="49">
        <f>F16-E16</f>
        <v>15.74</v>
      </c>
    </row>
    <row r="18" spans="1:6" x14ac:dyDescent="0.25">
      <c r="A18" s="59" t="s">
        <v>49</v>
      </c>
      <c r="B18" s="64" t="str">
        <f>BM.01!B25</f>
        <v>PLACA INDICATIVA DE OBRA</v>
      </c>
      <c r="C18" s="66" t="s">
        <v>68</v>
      </c>
      <c r="D18" s="52"/>
      <c r="F18">
        <f>F17*BM.01!D23</f>
        <v>104306.4616</v>
      </c>
    </row>
    <row r="20" spans="1:6" x14ac:dyDescent="0.25">
      <c r="A20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FB91-337B-4F91-BAC0-2C71722EA6FE}">
  <sheetPr codeName="Plan18"/>
  <dimension ref="A1:K36"/>
  <sheetViews>
    <sheetView view="pageBreakPreview" topLeftCell="A21" zoomScale="90" zoomScaleNormal="100" zoomScaleSheetLayoutView="90" workbookViewId="0">
      <selection activeCell="G18" sqref="G1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79" t="s">
        <v>31</v>
      </c>
      <c r="B1" s="80"/>
      <c r="C1" s="80"/>
      <c r="D1" s="80"/>
      <c r="E1" s="80"/>
      <c r="F1" s="80"/>
      <c r="G1" s="80"/>
      <c r="H1" s="80"/>
      <c r="I1" s="81"/>
      <c r="J1" s="3" t="s">
        <v>2</v>
      </c>
    </row>
    <row r="2" spans="1:10" s="5" customFormat="1" ht="16.5" customHeight="1" x14ac:dyDescent="0.25">
      <c r="A2" s="82"/>
      <c r="B2" s="83"/>
      <c r="C2" s="83"/>
      <c r="D2" s="83"/>
      <c r="E2" s="83"/>
      <c r="F2" s="83"/>
      <c r="G2" s="83"/>
      <c r="H2" s="83"/>
      <c r="I2" s="84"/>
      <c r="J2" s="45" t="s">
        <v>84</v>
      </c>
    </row>
    <row r="3" spans="1:10" s="5" customFormat="1" ht="18.75" customHeight="1" x14ac:dyDescent="0.25">
      <c r="A3" s="77" t="s">
        <v>32</v>
      </c>
      <c r="B3" s="78"/>
      <c r="C3" s="77" t="s">
        <v>33</v>
      </c>
      <c r="D3" s="85"/>
      <c r="E3" s="85"/>
      <c r="F3" s="78"/>
      <c r="G3" s="77" t="s">
        <v>34</v>
      </c>
      <c r="H3" s="78"/>
      <c r="I3" s="46" t="s">
        <v>35</v>
      </c>
      <c r="J3" s="46" t="s">
        <v>45</v>
      </c>
    </row>
    <row r="4" spans="1:10" s="5" customFormat="1" ht="21.75" customHeight="1" x14ac:dyDescent="0.25">
      <c r="A4" s="73" t="s">
        <v>44</v>
      </c>
      <c r="B4" s="74"/>
      <c r="C4" s="75" t="s">
        <v>44</v>
      </c>
      <c r="D4" s="86"/>
      <c r="E4" s="86"/>
      <c r="F4" s="76"/>
      <c r="G4" s="75"/>
      <c r="H4" s="76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8"/>
      <c r="C5" s="77" t="s">
        <v>37</v>
      </c>
      <c r="D5" s="78"/>
      <c r="E5" s="77" t="s">
        <v>38</v>
      </c>
      <c r="F5" s="78"/>
      <c r="G5" s="46" t="s">
        <v>39</v>
      </c>
      <c r="H5" s="46" t="s">
        <v>40</v>
      </c>
      <c r="I5" s="77" t="s">
        <v>41</v>
      </c>
      <c r="J5" s="78"/>
    </row>
    <row r="6" spans="1:10" s="5" customFormat="1" ht="24" customHeight="1" x14ac:dyDescent="0.25">
      <c r="A6" s="101" t="s">
        <v>46</v>
      </c>
      <c r="B6" s="102"/>
      <c r="C6" s="103"/>
      <c r="D6" s="104"/>
      <c r="E6" s="105"/>
      <c r="F6" s="106"/>
      <c r="G6" s="47">
        <v>45463</v>
      </c>
      <c r="H6" s="47" t="s">
        <v>83</v>
      </c>
      <c r="I6" s="107">
        <v>45539</v>
      </c>
      <c r="J6" s="108"/>
    </row>
    <row r="7" spans="1:10" s="5" customFormat="1" ht="18.75" customHeight="1" x14ac:dyDescent="0.25">
      <c r="A7" s="109" t="s">
        <v>4</v>
      </c>
      <c r="B7" s="110"/>
      <c r="C7" s="77" t="s">
        <v>42</v>
      </c>
      <c r="D7" s="85"/>
      <c r="E7" s="78"/>
      <c r="F7" s="26" t="s">
        <v>43</v>
      </c>
      <c r="G7" s="77" t="s">
        <v>5</v>
      </c>
      <c r="H7" s="78"/>
      <c r="I7" s="77" t="s">
        <v>72</v>
      </c>
      <c r="J7" s="78"/>
    </row>
    <row r="8" spans="1:10" s="5" customFormat="1" ht="48" customHeight="1" x14ac:dyDescent="0.25">
      <c r="A8" s="111" t="s">
        <v>71</v>
      </c>
      <c r="B8" s="112"/>
      <c r="C8" s="113" t="s">
        <v>47</v>
      </c>
      <c r="D8" s="114"/>
      <c r="E8" s="115"/>
      <c r="F8" s="48">
        <v>3921050.63</v>
      </c>
      <c r="G8" s="116">
        <f>BM.02!$I$26</f>
        <v>375933.19</v>
      </c>
      <c r="H8" s="117"/>
      <c r="I8" s="107" t="s">
        <v>85</v>
      </c>
      <c r="J8" s="10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87" t="s">
        <v>1</v>
      </c>
      <c r="F10" s="87"/>
      <c r="G10" s="87"/>
      <c r="H10" s="88" t="s">
        <v>7</v>
      </c>
      <c r="I10" s="87"/>
      <c r="J10" s="89"/>
    </row>
    <row r="11" spans="1:10" s="5" customFormat="1" x14ac:dyDescent="0.25">
      <c r="A11" s="90" t="s">
        <v>0</v>
      </c>
      <c r="B11" s="91" t="s">
        <v>8</v>
      </c>
      <c r="C11" s="92" t="s">
        <v>9</v>
      </c>
      <c r="D11" s="93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0"/>
      <c r="B12" s="91"/>
      <c r="C12" s="92"/>
      <c r="D12" s="93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138087.75</v>
      </c>
      <c r="J14" s="38">
        <f>SUM(J15:J18)</f>
        <v>561454.49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02'!E6</f>
        <v>6686.65</v>
      </c>
      <c r="G15" s="30">
        <f>F15+BM.01!G15</f>
        <v>27187.25</v>
      </c>
      <c r="H15" s="39">
        <f>ROUND(E15*D15,2)</f>
        <v>19918.75</v>
      </c>
      <c r="I15" s="40">
        <f>ROUND(D15*F15,2)</f>
        <v>2139.73</v>
      </c>
      <c r="J15" s="39">
        <f>ROUND(D15*G15,2)</f>
        <v>8699.92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02'!E7</f>
        <v>641.91999999999996</v>
      </c>
      <c r="G16" s="30">
        <f>F16+BM.01!G16</f>
        <v>2609.98</v>
      </c>
      <c r="H16" s="39">
        <f t="shared" ref="H16:H18" si="0">ROUND(E16*D16,2)</f>
        <v>1143436.8</v>
      </c>
      <c r="I16" s="40">
        <f t="shared" ref="I16:I18" si="1">ROUND(D16*F16,2)</f>
        <v>122831.39</v>
      </c>
      <c r="J16" s="39">
        <f t="shared" ref="J16:J18" si="2">ROUND(D16*G16,2)</f>
        <v>499419.67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02'!E8</f>
        <v>1553.1</v>
      </c>
      <c r="G17" s="30">
        <f>F17+BM.01!G17</f>
        <v>6319.35</v>
      </c>
      <c r="H17" s="39">
        <f t="shared" si="0"/>
        <v>152378.45000000001</v>
      </c>
      <c r="I17" s="40">
        <f t="shared" si="1"/>
        <v>1320.14</v>
      </c>
      <c r="J17" s="39">
        <f t="shared" si="2"/>
        <v>5371.45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02'!E9</f>
        <v>15521.7</v>
      </c>
      <c r="G18" s="30">
        <f>F18+BM.01!G18</f>
        <v>63109.8</v>
      </c>
      <c r="H18" s="39">
        <f t="shared" si="0"/>
        <v>11826.76</v>
      </c>
      <c r="I18" s="40">
        <f t="shared" si="1"/>
        <v>11796.49</v>
      </c>
      <c r="J18" s="39">
        <f t="shared" si="2"/>
        <v>47963.45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02'!E11</f>
        <v>0</v>
      </c>
      <c r="G20" s="30">
        <f>F20+BM.01!G20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237845.44</v>
      </c>
      <c r="J21" s="38">
        <f>SUM(J22:J23)</f>
        <v>967106.76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02'!E13</f>
        <v>3.34</v>
      </c>
      <c r="G22" s="30">
        <f>F22+BM.01!G22</f>
        <v>13.59</v>
      </c>
      <c r="H22" s="39">
        <f>ROUND(E22*D22,2)</f>
        <v>155055.09</v>
      </c>
      <c r="I22" s="40">
        <f t="shared" ref="I22:I23" si="3">ROUND(D22*F22,2)</f>
        <v>16641.52</v>
      </c>
      <c r="J22" s="39">
        <f t="shared" ref="J22:J23" si="4">ROUND(D22*G22,2)</f>
        <v>67712.039999999994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02'!E14</f>
        <v>33.380000000000003</v>
      </c>
      <c r="G23" s="30">
        <f>F23+BM.01!G23</f>
        <v>135.72</v>
      </c>
      <c r="H23" s="39">
        <f>ROUND(E23*D23,2)</f>
        <v>2375987.21</v>
      </c>
      <c r="I23" s="40">
        <f t="shared" si="3"/>
        <v>221203.92</v>
      </c>
      <c r="J23" s="39">
        <f t="shared" si="4"/>
        <v>899394.72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02'!E16</f>
        <v>0</v>
      </c>
      <c r="G25" s="30">
        <f>F25+BM.01!G25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4" t="s">
        <v>67</v>
      </c>
      <c r="B26" s="95"/>
      <c r="C26" s="95"/>
      <c r="D26" s="95"/>
      <c r="E26" s="95"/>
      <c r="F26" s="95"/>
      <c r="G26" s="96"/>
      <c r="H26" s="41">
        <f>H14+H19+H21+H24</f>
        <v>3921026.62</v>
      </c>
      <c r="I26" s="41">
        <f>I14+I19+I21+I24</f>
        <v>375933.19</v>
      </c>
      <c r="J26" s="41">
        <f>J14+J19+J21+J24</f>
        <v>1528561.25</v>
      </c>
      <c r="K26" s="70">
        <f>J26/H26</f>
        <v>0.38979999999999998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7" t="s">
        <v>27</v>
      </c>
      <c r="B28" s="97"/>
      <c r="C28" s="97"/>
      <c r="D28" s="98">
        <f>I26</f>
        <v>375933.19</v>
      </c>
      <c r="E28" s="98"/>
      <c r="F28" s="99"/>
      <c r="G28" s="99"/>
      <c r="H28" s="99"/>
      <c r="I28" s="99"/>
      <c r="J28" s="99"/>
      <c r="K28" s="71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0"/>
      <c r="H30" s="100"/>
      <c r="I30" s="100"/>
      <c r="J30" s="100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89F8-E40A-4B4E-9AFA-D4E448478D11}">
  <dimension ref="A1:G18"/>
  <sheetViews>
    <sheetView view="pageBreakPreview" topLeftCell="B1" zoomScaleNormal="100" zoomScaleSheetLayoutView="100" workbookViewId="0">
      <selection activeCell="E6" sqref="E6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7" ht="26.25" x14ac:dyDescent="0.25">
      <c r="A1" s="118" t="s">
        <v>86</v>
      </c>
      <c r="B1" s="119"/>
      <c r="C1" s="119"/>
      <c r="D1" s="120"/>
    </row>
    <row r="3" spans="1:7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7" x14ac:dyDescent="0.25">
      <c r="A4" s="52"/>
      <c r="B4" s="53"/>
      <c r="C4" s="54"/>
      <c r="D4" s="52"/>
    </row>
    <row r="5" spans="1:7" x14ac:dyDescent="0.25">
      <c r="A5" s="55" t="s">
        <v>19</v>
      </c>
      <c r="B5" s="56" t="s">
        <v>50</v>
      </c>
      <c r="C5" s="57"/>
      <c r="D5" s="58"/>
    </row>
    <row r="6" spans="1:7" ht="6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87</v>
      </c>
      <c r="E6" s="49">
        <f>2284.23+1662.31+1205.82+1534.29</f>
        <v>6686.65</v>
      </c>
      <c r="G6" s="62"/>
    </row>
    <row r="7" spans="1:7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76</v>
      </c>
      <c r="E7" s="49">
        <f>(E6)*0.04*2.4</f>
        <v>641.91999999999996</v>
      </c>
    </row>
    <row r="8" spans="1:7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E13*465</f>
        <v>1553.1</v>
      </c>
    </row>
    <row r="9" spans="1:7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E14*465</f>
        <v>15521.7</v>
      </c>
    </row>
    <row r="10" spans="1:7" x14ac:dyDescent="0.25">
      <c r="A10" s="55" t="s">
        <v>24</v>
      </c>
      <c r="B10" s="56" t="s">
        <v>53</v>
      </c>
      <c r="C10" s="65"/>
      <c r="D10" s="65"/>
    </row>
    <row r="11" spans="1:7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/>
    </row>
    <row r="12" spans="1:7" x14ac:dyDescent="0.25">
      <c r="A12" s="55" t="s">
        <v>28</v>
      </c>
      <c r="B12" s="56" t="s">
        <v>66</v>
      </c>
      <c r="C12" s="58"/>
      <c r="D12" s="58"/>
    </row>
    <row r="13" spans="1:7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3.34</v>
      </c>
      <c r="F13" s="67"/>
    </row>
    <row r="14" spans="1:7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33.380000000000003</v>
      </c>
      <c r="F14">
        <f>E7*0.06</f>
        <v>38.5152</v>
      </c>
    </row>
    <row r="15" spans="1:7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5.14</v>
      </c>
    </row>
    <row r="16" spans="1:7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34061.957600000002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F97B-44DF-4E19-AB37-A260DD4C5314}">
  <sheetPr codeName="Plan19"/>
  <dimension ref="A1:K36"/>
  <sheetViews>
    <sheetView view="pageBreakPreview" topLeftCell="A4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79" t="s">
        <v>31</v>
      </c>
      <c r="B1" s="80"/>
      <c r="C1" s="80"/>
      <c r="D1" s="80"/>
      <c r="E1" s="80"/>
      <c r="F1" s="80"/>
      <c r="G1" s="80"/>
      <c r="H1" s="80"/>
      <c r="I1" s="81"/>
      <c r="J1" s="3" t="s">
        <v>2</v>
      </c>
    </row>
    <row r="2" spans="1:10" s="5" customFormat="1" ht="16.5" customHeight="1" x14ac:dyDescent="0.25">
      <c r="A2" s="82"/>
      <c r="B2" s="83"/>
      <c r="C2" s="83"/>
      <c r="D2" s="83"/>
      <c r="E2" s="83"/>
      <c r="F2" s="83"/>
      <c r="G2" s="83"/>
      <c r="H2" s="83"/>
      <c r="I2" s="84"/>
      <c r="J2" s="45" t="s">
        <v>89</v>
      </c>
    </row>
    <row r="3" spans="1:10" s="5" customFormat="1" ht="18.75" customHeight="1" x14ac:dyDescent="0.25">
      <c r="A3" s="77" t="s">
        <v>32</v>
      </c>
      <c r="B3" s="78"/>
      <c r="C3" s="77" t="s">
        <v>33</v>
      </c>
      <c r="D3" s="85"/>
      <c r="E3" s="85"/>
      <c r="F3" s="78"/>
      <c r="G3" s="77" t="s">
        <v>34</v>
      </c>
      <c r="H3" s="78"/>
      <c r="I3" s="46" t="s">
        <v>35</v>
      </c>
      <c r="J3" s="46" t="s">
        <v>45</v>
      </c>
    </row>
    <row r="4" spans="1:10" s="5" customFormat="1" ht="21.75" customHeight="1" x14ac:dyDescent="0.25">
      <c r="A4" s="73" t="s">
        <v>44</v>
      </c>
      <c r="B4" s="74"/>
      <c r="C4" s="75" t="s">
        <v>44</v>
      </c>
      <c r="D4" s="86"/>
      <c r="E4" s="86"/>
      <c r="F4" s="76"/>
      <c r="G4" s="75"/>
      <c r="H4" s="76"/>
      <c r="I4" s="47">
        <v>45464</v>
      </c>
      <c r="J4" s="47" t="s">
        <v>69</v>
      </c>
    </row>
    <row r="5" spans="1:10" s="5" customFormat="1" ht="18.75" customHeight="1" x14ac:dyDescent="0.25">
      <c r="A5" s="77" t="s">
        <v>36</v>
      </c>
      <c r="B5" s="78"/>
      <c r="C5" s="77" t="s">
        <v>37</v>
      </c>
      <c r="D5" s="78"/>
      <c r="E5" s="77" t="s">
        <v>38</v>
      </c>
      <c r="F5" s="78"/>
      <c r="G5" s="46" t="s">
        <v>39</v>
      </c>
      <c r="H5" s="46" t="s">
        <v>40</v>
      </c>
      <c r="I5" s="77" t="s">
        <v>41</v>
      </c>
      <c r="J5" s="78"/>
    </row>
    <row r="6" spans="1:10" s="5" customFormat="1" ht="24" customHeight="1" x14ac:dyDescent="0.25">
      <c r="A6" s="101" t="s">
        <v>46</v>
      </c>
      <c r="B6" s="102"/>
      <c r="C6" s="103"/>
      <c r="D6" s="104"/>
      <c r="E6" s="105"/>
      <c r="F6" s="106"/>
      <c r="G6" s="47">
        <v>45463</v>
      </c>
      <c r="H6" s="47" t="s">
        <v>83</v>
      </c>
      <c r="I6" s="107">
        <v>45566</v>
      </c>
      <c r="J6" s="108"/>
    </row>
    <row r="7" spans="1:10" s="5" customFormat="1" ht="18.75" customHeight="1" x14ac:dyDescent="0.25">
      <c r="A7" s="109" t="s">
        <v>4</v>
      </c>
      <c r="B7" s="110"/>
      <c r="C7" s="77" t="s">
        <v>42</v>
      </c>
      <c r="D7" s="85"/>
      <c r="E7" s="78"/>
      <c r="F7" s="26" t="s">
        <v>43</v>
      </c>
      <c r="G7" s="77" t="s">
        <v>5</v>
      </c>
      <c r="H7" s="78"/>
      <c r="I7" s="77" t="s">
        <v>72</v>
      </c>
      <c r="J7" s="78"/>
    </row>
    <row r="8" spans="1:10" s="5" customFormat="1" ht="48" customHeight="1" x14ac:dyDescent="0.25">
      <c r="A8" s="111" t="s">
        <v>71</v>
      </c>
      <c r="B8" s="112"/>
      <c r="C8" s="113" t="s">
        <v>47</v>
      </c>
      <c r="D8" s="114"/>
      <c r="E8" s="115"/>
      <c r="F8" s="48">
        <v>3921050.63</v>
      </c>
      <c r="G8" s="116">
        <f>BM.03!$I$26</f>
        <v>1104140.1000000001</v>
      </c>
      <c r="H8" s="117"/>
      <c r="I8" s="107" t="s">
        <v>91</v>
      </c>
      <c r="J8" s="108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87" t="s">
        <v>1</v>
      </c>
      <c r="F10" s="87"/>
      <c r="G10" s="87"/>
      <c r="H10" s="88" t="s">
        <v>7</v>
      </c>
      <c r="I10" s="87"/>
      <c r="J10" s="89"/>
    </row>
    <row r="11" spans="1:10" s="5" customFormat="1" x14ac:dyDescent="0.25">
      <c r="A11" s="90" t="s">
        <v>0</v>
      </c>
      <c r="B11" s="91" t="s">
        <v>8</v>
      </c>
      <c r="C11" s="92" t="s">
        <v>9</v>
      </c>
      <c r="D11" s="93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0"/>
      <c r="B12" s="91"/>
      <c r="C12" s="92"/>
      <c r="D12" s="93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405566.48</v>
      </c>
      <c r="J14" s="38">
        <f>SUM(J15:J18)</f>
        <v>967020.97</v>
      </c>
    </row>
    <row r="15" spans="1:10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03'!E6</f>
        <v>19625.05</v>
      </c>
      <c r="G15" s="30">
        <f>F15+BM.02!G15</f>
        <v>46812.3</v>
      </c>
      <c r="H15" s="39">
        <f>ROUND(E15*D15,2)</f>
        <v>19918.75</v>
      </c>
      <c r="I15" s="40">
        <f>ROUND(D15*F15,2)</f>
        <v>6280.02</v>
      </c>
      <c r="J15" s="39">
        <f>ROUND(D15*G15,2)</f>
        <v>14979.94</v>
      </c>
    </row>
    <row r="16" spans="1:10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03'!E7</f>
        <v>1885.35</v>
      </c>
      <c r="G16" s="30">
        <f>F16+BM.02!G16</f>
        <v>4495.33</v>
      </c>
      <c r="H16" s="39">
        <f t="shared" ref="H16:H18" si="0">ROUND(E16*D16,2)</f>
        <v>1143436.8</v>
      </c>
      <c r="I16" s="40">
        <f t="shared" ref="I16:I18" si="1">ROUND(D16*F16,2)</f>
        <v>360761.72</v>
      </c>
      <c r="J16" s="39">
        <f t="shared" ref="J16:J18" si="2">ROUND(D16*G16,2)</f>
        <v>860181.4</v>
      </c>
    </row>
    <row r="17" spans="1:11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03'!E8</f>
        <v>4561.6499999999996</v>
      </c>
      <c r="G17" s="30">
        <f>F17+BM.02!G17</f>
        <v>10881</v>
      </c>
      <c r="H17" s="39">
        <f t="shared" si="0"/>
        <v>152378.45000000001</v>
      </c>
      <c r="I17" s="40">
        <f t="shared" si="1"/>
        <v>3877.4</v>
      </c>
      <c r="J17" s="39">
        <f t="shared" si="2"/>
        <v>9248.85</v>
      </c>
    </row>
    <row r="18" spans="1:11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03'!E9</f>
        <v>45588.6</v>
      </c>
      <c r="G18" s="30">
        <f>F18+BM.02!G18</f>
        <v>108698.4</v>
      </c>
      <c r="H18" s="39">
        <f t="shared" si="0"/>
        <v>11826.76</v>
      </c>
      <c r="I18" s="40">
        <f t="shared" si="1"/>
        <v>34647.339999999997</v>
      </c>
      <c r="J18" s="39">
        <f t="shared" si="2"/>
        <v>82610.78</v>
      </c>
    </row>
    <row r="19" spans="1:11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0</v>
      </c>
      <c r="J19" s="38">
        <f>SUM(J20:J20)</f>
        <v>0</v>
      </c>
    </row>
    <row r="20" spans="1:11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03'!E11</f>
        <v>0</v>
      </c>
      <c r="G20" s="30">
        <f>F20+BM.02!G20</f>
        <v>0</v>
      </c>
      <c r="H20" s="39">
        <f>ROUND(E20*D20,2)</f>
        <v>60944.95</v>
      </c>
      <c r="I20" s="40">
        <f>ROUND(D20*F20,2)</f>
        <v>0</v>
      </c>
      <c r="J20" s="39">
        <f>ROUND(D20*G20,2)</f>
        <v>0</v>
      </c>
    </row>
    <row r="21" spans="1:11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698573.62</v>
      </c>
      <c r="J21" s="38">
        <f>SUM(J22:J23)</f>
        <v>1665680.39</v>
      </c>
    </row>
    <row r="22" spans="1:11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03'!E13</f>
        <v>9.81</v>
      </c>
      <c r="G22" s="30">
        <f>F22+BM.02!G22</f>
        <v>23.4</v>
      </c>
      <c r="H22" s="39">
        <f>ROUND(E22*D22,2)</f>
        <v>155055.09</v>
      </c>
      <c r="I22" s="40">
        <f t="shared" ref="I22:I23" si="3">ROUND(D22*F22,2)</f>
        <v>48878.23</v>
      </c>
      <c r="J22" s="39">
        <f t="shared" ref="J22:J23" si="4">ROUND(D22*G22,2)</f>
        <v>116590.27</v>
      </c>
    </row>
    <row r="23" spans="1:11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03'!E14</f>
        <v>98.04</v>
      </c>
      <c r="G23" s="30">
        <f>F23+BM.02!G23</f>
        <v>233.76</v>
      </c>
      <c r="H23" s="39">
        <f>ROUND(E23*D23,2)</f>
        <v>2375987.21</v>
      </c>
      <c r="I23" s="40">
        <f t="shared" si="3"/>
        <v>649695.39</v>
      </c>
      <c r="J23" s="39">
        <f t="shared" si="4"/>
        <v>1549090.12</v>
      </c>
    </row>
    <row r="24" spans="1:11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03'!E16</f>
        <v>0</v>
      </c>
      <c r="G25" s="30">
        <f>F25+BM.02!G25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94" t="s">
        <v>67</v>
      </c>
      <c r="B26" s="95"/>
      <c r="C26" s="95"/>
      <c r="D26" s="95"/>
      <c r="E26" s="95"/>
      <c r="F26" s="95"/>
      <c r="G26" s="96"/>
      <c r="H26" s="41">
        <f>H14+H19+H21+H24</f>
        <v>3921026.62</v>
      </c>
      <c r="I26" s="41">
        <f>I14+I19+I21+I24</f>
        <v>1104140.1000000001</v>
      </c>
      <c r="J26" s="41">
        <f>J14+J19+J21+J24</f>
        <v>2632701.36</v>
      </c>
      <c r="K26" s="70">
        <f>J26/H26</f>
        <v>0.6714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97" t="s">
        <v>27</v>
      </c>
      <c r="B28" s="97"/>
      <c r="C28" s="97"/>
      <c r="D28" s="98">
        <f>I26</f>
        <v>1104140.1000000001</v>
      </c>
      <c r="E28" s="98"/>
      <c r="F28" s="99"/>
      <c r="G28" s="99"/>
      <c r="H28" s="99"/>
      <c r="I28" s="99"/>
      <c r="J28" s="99"/>
      <c r="K28" s="71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0"/>
      <c r="H30" s="100"/>
      <c r="I30" s="100"/>
      <c r="J30" s="100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288C-2FE6-4DEE-82FA-AE0ED45BD359}">
  <dimension ref="A1:I18"/>
  <sheetViews>
    <sheetView view="pageBreakPreview" topLeftCell="B3" zoomScaleNormal="100" zoomScaleSheetLayoutView="100" workbookViewId="0">
      <selection activeCell="E8" sqref="E8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9.42578125" style="49" customWidth="1"/>
  </cols>
  <sheetData>
    <row r="1" spans="1:9" ht="26.25" x14ac:dyDescent="0.25">
      <c r="A1" s="118" t="s">
        <v>88</v>
      </c>
      <c r="B1" s="119"/>
      <c r="C1" s="119"/>
      <c r="D1" s="120"/>
    </row>
    <row r="3" spans="1:9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9" x14ac:dyDescent="0.25">
      <c r="A4" s="52"/>
      <c r="B4" s="53"/>
      <c r="C4" s="54"/>
      <c r="D4" s="52"/>
    </row>
    <row r="5" spans="1:9" x14ac:dyDescent="0.25">
      <c r="A5" s="55" t="s">
        <v>19</v>
      </c>
      <c r="B5" s="56" t="s">
        <v>50</v>
      </c>
      <c r="C5" s="57"/>
      <c r="D5" s="58"/>
    </row>
    <row r="6" spans="1:9" ht="21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90</v>
      </c>
      <c r="E6" s="49">
        <f>1621.18+946.37+533.61+1488.87+886.4+2394.81+217.01+1324.25+1610.17+854.55+1834+2381.3+2356.74+652.19+523.6</f>
        <v>19625.05</v>
      </c>
      <c r="G6" s="62">
        <f>94.4*((5.38+5.36+5.9)/3 )</f>
        <v>523.60533333333296</v>
      </c>
      <c r="H6">
        <f>300+13.7+39.9+21.5+47.8</f>
        <v>422.9</v>
      </c>
      <c r="I6">
        <f>(5.9+7.8)*25.5/2</f>
        <v>174.67500000000001</v>
      </c>
    </row>
    <row r="7" spans="1:9" ht="30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92</v>
      </c>
      <c r="E7" s="49">
        <f>((E6)*0.04*2.4)+1.35</f>
        <v>1885.35</v>
      </c>
      <c r="G7">
        <f>0.06*9.4</f>
        <v>0.56399999999999995</v>
      </c>
      <c r="H7">
        <f>G7*2.4</f>
        <v>1.3535999999999999</v>
      </c>
    </row>
    <row r="8" spans="1:9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2" t="s">
        <v>81</v>
      </c>
      <c r="E8" s="49">
        <f>E13*465</f>
        <v>4561.6499999999996</v>
      </c>
    </row>
    <row r="9" spans="1:9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82</v>
      </c>
      <c r="E9" s="49">
        <f>E14*465</f>
        <v>45588.6</v>
      </c>
    </row>
    <row r="10" spans="1:9" x14ac:dyDescent="0.25">
      <c r="A10" s="55" t="s">
        <v>24</v>
      </c>
      <c r="B10" s="56" t="s">
        <v>53</v>
      </c>
      <c r="C10" s="65"/>
      <c r="D10" s="65"/>
    </row>
    <row r="11" spans="1:9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/>
    </row>
    <row r="12" spans="1:9" x14ac:dyDescent="0.25">
      <c r="A12" s="55" t="s">
        <v>28</v>
      </c>
      <c r="B12" s="56" t="s">
        <v>66</v>
      </c>
      <c r="C12" s="58"/>
      <c r="D12" s="58"/>
    </row>
    <row r="13" spans="1:9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9.81</v>
      </c>
      <c r="F13" s="67"/>
    </row>
    <row r="14" spans="1:9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98.04</v>
      </c>
      <c r="F14">
        <f>E7*0.06</f>
        <v>113.121</v>
      </c>
    </row>
    <row r="15" spans="1:9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15.08</v>
      </c>
    </row>
    <row r="16" spans="1:9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99932.747199999998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26FD-D80C-4471-A06E-6ED61F7D2E2B}">
  <sheetPr codeName="Plan20"/>
  <dimension ref="A1:L36"/>
  <sheetViews>
    <sheetView tabSelected="1" view="pageBreakPreview" zoomScale="90" zoomScaleNormal="100" zoomScaleSheetLayoutView="90" workbookViewId="0">
      <selection activeCell="I7" sqref="I7:J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85546875" style="1" bestFit="1" customWidth="1"/>
    <col min="12" max="12" width="11.7109375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79" t="s">
        <v>31</v>
      </c>
      <c r="B1" s="80"/>
      <c r="C1" s="80"/>
      <c r="D1" s="80"/>
      <c r="E1" s="80"/>
      <c r="F1" s="80"/>
      <c r="G1" s="80"/>
      <c r="H1" s="80"/>
      <c r="I1" s="81"/>
      <c r="J1" s="3" t="s">
        <v>2</v>
      </c>
    </row>
    <row r="2" spans="1:11" s="5" customFormat="1" ht="16.5" customHeight="1" x14ac:dyDescent="0.25">
      <c r="A2" s="82"/>
      <c r="B2" s="83"/>
      <c r="C2" s="83"/>
      <c r="D2" s="83"/>
      <c r="E2" s="83"/>
      <c r="F2" s="83"/>
      <c r="G2" s="83"/>
      <c r="H2" s="83"/>
      <c r="I2" s="84"/>
      <c r="J2" s="45" t="s">
        <v>94</v>
      </c>
    </row>
    <row r="3" spans="1:11" s="5" customFormat="1" ht="18.75" customHeight="1" x14ac:dyDescent="0.25">
      <c r="A3" s="77" t="s">
        <v>32</v>
      </c>
      <c r="B3" s="78"/>
      <c r="C3" s="77" t="s">
        <v>33</v>
      </c>
      <c r="D3" s="85"/>
      <c r="E3" s="85"/>
      <c r="F3" s="78"/>
      <c r="G3" s="77" t="s">
        <v>34</v>
      </c>
      <c r="H3" s="78"/>
      <c r="I3" s="46" t="s">
        <v>35</v>
      </c>
      <c r="J3" s="46" t="s">
        <v>45</v>
      </c>
    </row>
    <row r="4" spans="1:11" s="5" customFormat="1" ht="21.75" customHeight="1" x14ac:dyDescent="0.25">
      <c r="A4" s="73" t="s">
        <v>44</v>
      </c>
      <c r="B4" s="74"/>
      <c r="C4" s="75" t="s">
        <v>44</v>
      </c>
      <c r="D4" s="86"/>
      <c r="E4" s="86"/>
      <c r="F4" s="76"/>
      <c r="G4" s="75"/>
      <c r="H4" s="76"/>
      <c r="I4" s="47">
        <v>45464</v>
      </c>
      <c r="J4" s="47" t="s">
        <v>69</v>
      </c>
    </row>
    <row r="5" spans="1:11" s="5" customFormat="1" ht="18.75" customHeight="1" x14ac:dyDescent="0.25">
      <c r="A5" s="77" t="s">
        <v>36</v>
      </c>
      <c r="B5" s="78"/>
      <c r="C5" s="77" t="s">
        <v>37</v>
      </c>
      <c r="D5" s="78"/>
      <c r="E5" s="77" t="s">
        <v>38</v>
      </c>
      <c r="F5" s="78"/>
      <c r="G5" s="46" t="s">
        <v>39</v>
      </c>
      <c r="H5" s="46" t="s">
        <v>40</v>
      </c>
      <c r="I5" s="77" t="s">
        <v>41</v>
      </c>
      <c r="J5" s="78"/>
    </row>
    <row r="6" spans="1:11" s="5" customFormat="1" ht="24" customHeight="1" x14ac:dyDescent="0.25">
      <c r="A6" s="101" t="s">
        <v>46</v>
      </c>
      <c r="B6" s="102"/>
      <c r="C6" s="103"/>
      <c r="D6" s="104"/>
      <c r="E6" s="105"/>
      <c r="F6" s="106"/>
      <c r="G6" s="47">
        <v>45463</v>
      </c>
      <c r="H6" s="47" t="s">
        <v>83</v>
      </c>
      <c r="I6" s="107">
        <v>45733</v>
      </c>
      <c r="J6" s="108"/>
    </row>
    <row r="7" spans="1:11" s="5" customFormat="1" ht="18.75" customHeight="1" x14ac:dyDescent="0.25">
      <c r="A7" s="109" t="s">
        <v>4</v>
      </c>
      <c r="B7" s="110"/>
      <c r="C7" s="77" t="s">
        <v>42</v>
      </c>
      <c r="D7" s="85"/>
      <c r="E7" s="78"/>
      <c r="F7" s="26" t="s">
        <v>43</v>
      </c>
      <c r="G7" s="77" t="s">
        <v>5</v>
      </c>
      <c r="H7" s="78"/>
      <c r="I7" s="77" t="s">
        <v>72</v>
      </c>
      <c r="J7" s="78"/>
    </row>
    <row r="8" spans="1:11" s="5" customFormat="1" ht="48" customHeight="1" x14ac:dyDescent="0.25">
      <c r="A8" s="111" t="s">
        <v>71</v>
      </c>
      <c r="B8" s="112"/>
      <c r="C8" s="113" t="s">
        <v>47</v>
      </c>
      <c r="D8" s="114"/>
      <c r="E8" s="115"/>
      <c r="F8" s="48">
        <v>3921050.63</v>
      </c>
      <c r="G8" s="116">
        <f>BM.04!$I$26</f>
        <v>927124.35</v>
      </c>
      <c r="H8" s="117"/>
      <c r="I8" s="107" t="s">
        <v>95</v>
      </c>
      <c r="J8" s="108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87" t="s">
        <v>1</v>
      </c>
      <c r="F10" s="87"/>
      <c r="G10" s="87"/>
      <c r="H10" s="88" t="s">
        <v>7</v>
      </c>
      <c r="I10" s="87"/>
      <c r="J10" s="89"/>
    </row>
    <row r="11" spans="1:11" s="5" customFormat="1" x14ac:dyDescent="0.25">
      <c r="A11" s="90" t="s">
        <v>0</v>
      </c>
      <c r="B11" s="91" t="s">
        <v>8</v>
      </c>
      <c r="C11" s="92" t="s">
        <v>9</v>
      </c>
      <c r="D11" s="93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0"/>
      <c r="B12" s="91"/>
      <c r="C12" s="92"/>
      <c r="D12" s="93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50</v>
      </c>
      <c r="C14" s="35"/>
      <c r="D14" s="36"/>
      <c r="E14" s="36"/>
      <c r="F14" s="36"/>
      <c r="G14" s="37"/>
      <c r="H14" s="38">
        <f>SUM(H15:H18)</f>
        <v>1327560.76</v>
      </c>
      <c r="I14" s="38">
        <f>SUM(I15:I18)</f>
        <v>327602.32</v>
      </c>
      <c r="J14" s="38">
        <f>SUM(J15:J18)</f>
        <v>1294623.28</v>
      </c>
    </row>
    <row r="15" spans="1:11" s="5" customFormat="1" ht="30" customHeight="1" x14ac:dyDescent="0.25">
      <c r="A15" s="23" t="s">
        <v>20</v>
      </c>
      <c r="B15" s="28" t="s">
        <v>74</v>
      </c>
      <c r="C15" s="29" t="s">
        <v>63</v>
      </c>
      <c r="D15" s="30">
        <v>0.32</v>
      </c>
      <c r="E15" s="30">
        <v>62246.1</v>
      </c>
      <c r="F15" s="32">
        <f>'Memória 04'!E6</f>
        <v>15297.82</v>
      </c>
      <c r="G15" s="30">
        <f>F15+BM.03!G15</f>
        <v>62110.12</v>
      </c>
      <c r="H15" s="39">
        <f>ROUND(E15*D15,2)</f>
        <v>19918.75</v>
      </c>
      <c r="I15" s="40">
        <f>ROUND(D15*F15,2)</f>
        <v>4895.3</v>
      </c>
      <c r="J15" s="39">
        <f>ROUND(D15*G15,2)</f>
        <v>19875.240000000002</v>
      </c>
      <c r="K15" s="70">
        <f>J15/H15</f>
        <v>0.99780000000000002</v>
      </c>
    </row>
    <row r="16" spans="1:11" s="5" customFormat="1" ht="30" customHeight="1" x14ac:dyDescent="0.25">
      <c r="A16" s="23" t="s">
        <v>21</v>
      </c>
      <c r="B16" s="25" t="s">
        <v>75</v>
      </c>
      <c r="C16" s="23" t="s">
        <v>64</v>
      </c>
      <c r="D16" s="24">
        <v>191.35</v>
      </c>
      <c r="E16" s="24">
        <v>5975.63</v>
      </c>
      <c r="F16" s="32">
        <f>'Memória 04'!E7</f>
        <v>1468.59</v>
      </c>
      <c r="G16" s="30">
        <f>F16+BM.03!G16</f>
        <v>5963.92</v>
      </c>
      <c r="H16" s="39">
        <f t="shared" ref="H16:H18" si="0">ROUND(E16*D16,2)</f>
        <v>1143436.8</v>
      </c>
      <c r="I16" s="40">
        <f t="shared" ref="I16:I18" si="1">ROUND(D16*F16,2)</f>
        <v>281014.7</v>
      </c>
      <c r="J16" s="39">
        <f t="shared" ref="J16:J18" si="2">ROUND(D16*G16,2)</f>
        <v>1141196.0900000001</v>
      </c>
      <c r="K16" s="70">
        <f t="shared" ref="K16:K25" si="3">J16/H16</f>
        <v>0.998</v>
      </c>
    </row>
    <row r="17" spans="1:12" s="5" customFormat="1" ht="30" customHeight="1" x14ac:dyDescent="0.25">
      <c r="A17" s="23" t="s">
        <v>22</v>
      </c>
      <c r="B17" s="25" t="s">
        <v>52</v>
      </c>
      <c r="C17" s="23" t="s">
        <v>65</v>
      </c>
      <c r="D17" s="24">
        <v>0.85</v>
      </c>
      <c r="E17" s="24">
        <v>179268.77</v>
      </c>
      <c r="F17" s="32">
        <f>'Memória 04'!E8</f>
        <v>133329.45000000001</v>
      </c>
      <c r="G17" s="30">
        <f>F17+BM.03!G17</f>
        <v>144210.45000000001</v>
      </c>
      <c r="H17" s="39">
        <f t="shared" si="0"/>
        <v>152378.45000000001</v>
      </c>
      <c r="I17" s="40">
        <f t="shared" si="1"/>
        <v>113330.03</v>
      </c>
      <c r="J17" s="39">
        <f t="shared" si="2"/>
        <v>122578.88</v>
      </c>
      <c r="K17" s="70">
        <f t="shared" si="3"/>
        <v>0.8044</v>
      </c>
    </row>
    <row r="18" spans="1:12" s="5" customFormat="1" ht="30" customHeight="1" x14ac:dyDescent="0.25">
      <c r="A18" s="23" t="s">
        <v>23</v>
      </c>
      <c r="B18" s="25" t="s">
        <v>51</v>
      </c>
      <c r="C18" s="23" t="s">
        <v>65</v>
      </c>
      <c r="D18" s="24">
        <v>0.76</v>
      </c>
      <c r="E18" s="24">
        <v>15561.53</v>
      </c>
      <c r="F18" s="32">
        <f>'Memória 04'!E9</f>
        <v>-94260.15</v>
      </c>
      <c r="G18" s="30">
        <f>F18+BM.03!G18</f>
        <v>14438.25</v>
      </c>
      <c r="H18" s="39">
        <f t="shared" si="0"/>
        <v>11826.76</v>
      </c>
      <c r="I18" s="40">
        <f t="shared" si="1"/>
        <v>-71637.710000000006</v>
      </c>
      <c r="J18" s="39">
        <f t="shared" si="2"/>
        <v>10973.07</v>
      </c>
      <c r="K18" s="70">
        <f t="shared" si="3"/>
        <v>0.92779999999999996</v>
      </c>
    </row>
    <row r="19" spans="1:12" s="5" customFormat="1" ht="30" customHeight="1" x14ac:dyDescent="0.25">
      <c r="A19" s="33" t="s">
        <v>24</v>
      </c>
      <c r="B19" s="34" t="s">
        <v>53</v>
      </c>
      <c r="C19" s="35"/>
      <c r="D19" s="36"/>
      <c r="E19" s="36"/>
      <c r="F19" s="36"/>
      <c r="G19" s="36"/>
      <c r="H19" s="38">
        <f>H20</f>
        <v>60944.95</v>
      </c>
      <c r="I19" s="38">
        <f>SUM(I20:I20)</f>
        <v>55314.21</v>
      </c>
      <c r="J19" s="38">
        <f>SUM(J20:J20)</f>
        <v>55314.21</v>
      </c>
    </row>
    <row r="20" spans="1:12" s="5" customFormat="1" ht="30" customHeight="1" x14ac:dyDescent="0.25">
      <c r="A20" s="23" t="s">
        <v>26</v>
      </c>
      <c r="B20" s="25" t="s">
        <v>54</v>
      </c>
      <c r="C20" s="23" t="s">
        <v>63</v>
      </c>
      <c r="D20" s="24">
        <v>25.35</v>
      </c>
      <c r="E20" s="24">
        <v>2404.14</v>
      </c>
      <c r="F20" s="32">
        <f>'Memória 04'!E11</f>
        <v>2182.02</v>
      </c>
      <c r="G20" s="30">
        <f>F20+BM.03!G20</f>
        <v>2182.02</v>
      </c>
      <c r="H20" s="39">
        <f>ROUND(E20*D20,2)</f>
        <v>60944.95</v>
      </c>
      <c r="I20" s="40">
        <f>ROUND(D20*F20,2)</f>
        <v>55314.21</v>
      </c>
      <c r="J20" s="39">
        <f>ROUND(D20*G20,2)</f>
        <v>55314.21</v>
      </c>
      <c r="K20" s="70">
        <f t="shared" si="3"/>
        <v>0.90759999999999996</v>
      </c>
    </row>
    <row r="21" spans="1:12" s="5" customFormat="1" ht="30" customHeight="1" x14ac:dyDescent="0.25">
      <c r="A21" s="33" t="s">
        <v>28</v>
      </c>
      <c r="B21" s="34" t="s">
        <v>55</v>
      </c>
      <c r="C21" s="35"/>
      <c r="D21" s="36"/>
      <c r="E21" s="36"/>
      <c r="F21" s="36"/>
      <c r="G21" s="36"/>
      <c r="H21" s="38">
        <f>SUM(H22:H23)</f>
        <v>2531042.2999999998</v>
      </c>
      <c r="I21" s="38">
        <f>SUM(I22:I23)</f>
        <v>544207.81999999995</v>
      </c>
      <c r="J21" s="38">
        <f>SUM(J22:J23)</f>
        <v>2209888.2000000002</v>
      </c>
    </row>
    <row r="22" spans="1:12" s="5" customFormat="1" ht="30" customHeight="1" x14ac:dyDescent="0.25">
      <c r="A22" s="23" t="s">
        <v>25</v>
      </c>
      <c r="B22" s="25" t="s">
        <v>77</v>
      </c>
      <c r="C22" s="23" t="s">
        <v>64</v>
      </c>
      <c r="D22" s="24">
        <v>4982.49</v>
      </c>
      <c r="E22" s="24">
        <v>31.12</v>
      </c>
      <c r="F22" s="32">
        <f>'Memória 04'!E13</f>
        <v>7.65</v>
      </c>
      <c r="G22" s="30">
        <f>F22+BM.03!G22</f>
        <v>31.05</v>
      </c>
      <c r="H22" s="39">
        <f>ROUND(E22*D22,2)</f>
        <v>155055.09</v>
      </c>
      <c r="I22" s="40">
        <f t="shared" ref="I22:I23" si="4">ROUND(D22*F22,2)</f>
        <v>38116.050000000003</v>
      </c>
      <c r="J22" s="39">
        <f t="shared" ref="J22:J23" si="5">ROUND(D22*G22,2)</f>
        <v>154706.31</v>
      </c>
      <c r="K22" s="70">
        <f t="shared" si="3"/>
        <v>0.99780000000000002</v>
      </c>
    </row>
    <row r="23" spans="1:12" s="5" customFormat="1" ht="30" customHeight="1" x14ac:dyDescent="0.25">
      <c r="A23" s="23" t="s">
        <v>29</v>
      </c>
      <c r="B23" s="25" t="s">
        <v>56</v>
      </c>
      <c r="C23" s="23" t="s">
        <v>64</v>
      </c>
      <c r="D23" s="24">
        <v>6626.84</v>
      </c>
      <c r="E23" s="24">
        <v>358.54</v>
      </c>
      <c r="F23" s="32">
        <f>'Memória 04'!E14</f>
        <v>76.37</v>
      </c>
      <c r="G23" s="30">
        <f>F23+BM.03!G23</f>
        <v>310.13</v>
      </c>
      <c r="H23" s="39">
        <f>ROUND(E23*D23,2)</f>
        <v>2375987.21</v>
      </c>
      <c r="I23" s="40">
        <f t="shared" si="4"/>
        <v>506091.77</v>
      </c>
      <c r="J23" s="39">
        <f t="shared" si="5"/>
        <v>2055181.89</v>
      </c>
      <c r="K23" s="70">
        <f t="shared" si="3"/>
        <v>0.86499999999999999</v>
      </c>
    </row>
    <row r="24" spans="1:12" s="5" customFormat="1" ht="30" customHeight="1" x14ac:dyDescent="0.25">
      <c r="A24" s="33" t="s">
        <v>48</v>
      </c>
      <c r="B24" s="34" t="s">
        <v>57</v>
      </c>
      <c r="C24" s="35"/>
      <c r="D24" s="36"/>
      <c r="E24" s="36"/>
      <c r="F24" s="36"/>
      <c r="G24" s="36"/>
      <c r="H24" s="38">
        <f>H25</f>
        <v>1478.61</v>
      </c>
      <c r="I24" s="38">
        <f>SUM(I25:I25)</f>
        <v>0</v>
      </c>
      <c r="J24" s="38">
        <f>SUM(J25:J25)</f>
        <v>0</v>
      </c>
    </row>
    <row r="25" spans="1:12" s="5" customFormat="1" ht="30" customHeight="1" x14ac:dyDescent="0.25">
      <c r="A25" s="23" t="s">
        <v>49</v>
      </c>
      <c r="B25" s="25" t="s">
        <v>58</v>
      </c>
      <c r="C25" s="23" t="s">
        <v>59</v>
      </c>
      <c r="D25" s="24">
        <v>328.58</v>
      </c>
      <c r="E25" s="24">
        <v>4.5</v>
      </c>
      <c r="F25" s="32">
        <f>'Memória 04'!E16</f>
        <v>0</v>
      </c>
      <c r="G25" s="30">
        <f>F25+BM.03!G25</f>
        <v>0</v>
      </c>
      <c r="H25" s="39">
        <f>ROUND(E25*D25,2)</f>
        <v>1478.61</v>
      </c>
      <c r="I25" s="40">
        <f>ROUND(D25*F25,2)</f>
        <v>0</v>
      </c>
      <c r="J25" s="39">
        <f>ROUND(D25*G25,2)</f>
        <v>0</v>
      </c>
      <c r="K25" s="70">
        <f t="shared" si="3"/>
        <v>0</v>
      </c>
    </row>
    <row r="26" spans="1:12" s="5" customFormat="1" ht="30" customHeight="1" x14ac:dyDescent="0.25">
      <c r="A26" s="94" t="s">
        <v>67</v>
      </c>
      <c r="B26" s="95"/>
      <c r="C26" s="95"/>
      <c r="D26" s="95"/>
      <c r="E26" s="95"/>
      <c r="F26" s="95"/>
      <c r="G26" s="96"/>
      <c r="H26" s="41">
        <f>H14+H19+H21+H24</f>
        <v>3921026.62</v>
      </c>
      <c r="I26" s="41">
        <f>I14+I19+I21+I24</f>
        <v>927124.35</v>
      </c>
      <c r="J26" s="41">
        <f>J14+J19+J21+J24</f>
        <v>3559825.69</v>
      </c>
      <c r="K26" s="70">
        <f>J26/H26</f>
        <v>0.90790000000000004</v>
      </c>
      <c r="L26" s="72">
        <f>H26-J26</f>
        <v>361200.93</v>
      </c>
    </row>
    <row r="27" spans="1:12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2" ht="22.5" customHeight="1" x14ac:dyDescent="0.25">
      <c r="A28" s="97" t="s">
        <v>27</v>
      </c>
      <c r="B28" s="97"/>
      <c r="C28" s="97"/>
      <c r="D28" s="98">
        <f>I26</f>
        <v>927124.35</v>
      </c>
      <c r="E28" s="98"/>
      <c r="F28" s="99"/>
      <c r="G28" s="99"/>
      <c r="H28" s="99"/>
      <c r="I28" s="99"/>
      <c r="J28" s="99"/>
      <c r="K28" s="71"/>
    </row>
    <row r="29" spans="1:12" ht="8.25" customHeight="1" x14ac:dyDescent="0.25">
      <c r="C29" s="18"/>
      <c r="E29" s="19"/>
      <c r="F29" s="19"/>
    </row>
    <row r="30" spans="1:12" ht="17.25" customHeight="1" x14ac:dyDescent="0.25">
      <c r="C30" s="20"/>
      <c r="D30" s="20"/>
      <c r="E30" s="20"/>
      <c r="G30" s="100"/>
      <c r="H30" s="100"/>
      <c r="I30" s="100"/>
      <c r="J30" s="100"/>
    </row>
    <row r="31" spans="1:12" ht="6" customHeight="1" x14ac:dyDescent="0.25"/>
    <row r="34" spans="2:10" ht="15" x14ac:dyDescent="0.25">
      <c r="B34" s="62" t="s">
        <v>101</v>
      </c>
      <c r="D34" t="s">
        <v>102</v>
      </c>
      <c r="E34"/>
      <c r="F34"/>
      <c r="G34"/>
      <c r="H34" s="121" t="s">
        <v>103</v>
      </c>
      <c r="I34" s="121"/>
      <c r="J34" s="121"/>
    </row>
    <row r="35" spans="2:10" ht="15" x14ac:dyDescent="0.25">
      <c r="B35" s="62" t="s">
        <v>104</v>
      </c>
      <c r="C35" s="121" t="s">
        <v>105</v>
      </c>
      <c r="D35" s="121"/>
      <c r="E35" s="121"/>
      <c r="F35" s="121"/>
      <c r="G35" s="121"/>
      <c r="H35" s="121" t="s">
        <v>106</v>
      </c>
      <c r="I35" s="121"/>
      <c r="J35" s="121"/>
    </row>
    <row r="36" spans="2:10" x14ac:dyDescent="0.25">
      <c r="J36" s="44"/>
    </row>
  </sheetData>
  <mergeCells count="37">
    <mergeCell ref="A28:C28"/>
    <mergeCell ref="D28:E28"/>
    <mergeCell ref="F28:J28"/>
    <mergeCell ref="G30:J30"/>
    <mergeCell ref="A11:A12"/>
    <mergeCell ref="B11:B12"/>
    <mergeCell ref="C11:C12"/>
    <mergeCell ref="D11:D12"/>
    <mergeCell ref="A26:G26"/>
    <mergeCell ref="A8:B8"/>
    <mergeCell ref="C8:E8"/>
    <mergeCell ref="G8:H8"/>
    <mergeCell ref="I8:J8"/>
    <mergeCell ref="E10:G10"/>
    <mergeCell ref="H10:J10"/>
    <mergeCell ref="E6:F6"/>
    <mergeCell ref="I6:J6"/>
    <mergeCell ref="A7:B7"/>
    <mergeCell ref="C7:E7"/>
    <mergeCell ref="G7:H7"/>
    <mergeCell ref="I7:J7"/>
    <mergeCell ref="H34:J34"/>
    <mergeCell ref="C35:G35"/>
    <mergeCell ref="H35:J35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8D52-CC39-44CA-8968-1358997DEEFE}">
  <dimension ref="A1:I18"/>
  <sheetViews>
    <sheetView view="pageBreakPreview" topLeftCell="A6" zoomScale="90" zoomScaleNormal="100" zoomScaleSheetLayoutView="90" workbookViewId="0">
      <selection activeCell="D12" sqref="D12"/>
    </sheetView>
  </sheetViews>
  <sheetFormatPr defaultRowHeight="15" x14ac:dyDescent="0.25"/>
  <cols>
    <col min="2" max="2" width="51.7109375" style="69" customWidth="1"/>
    <col min="3" max="3" width="9.140625" style="62"/>
    <col min="4" max="4" width="105.5703125" customWidth="1"/>
    <col min="5" max="5" width="10.7109375" style="49" customWidth="1"/>
    <col min="6" max="6" width="11.42578125" customWidth="1"/>
    <col min="7" max="7" width="10.7109375" customWidth="1"/>
  </cols>
  <sheetData>
    <row r="1" spans="1:9" ht="26.25" x14ac:dyDescent="0.25">
      <c r="A1" s="118" t="s">
        <v>93</v>
      </c>
      <c r="B1" s="119"/>
      <c r="C1" s="119"/>
      <c r="D1" s="120"/>
    </row>
    <row r="3" spans="1:9" x14ac:dyDescent="0.25">
      <c r="A3" s="50" t="s">
        <v>0</v>
      </c>
      <c r="B3" s="51" t="s">
        <v>60</v>
      </c>
      <c r="C3" s="50" t="s">
        <v>61</v>
      </c>
      <c r="D3" s="50" t="s">
        <v>62</v>
      </c>
    </row>
    <row r="4" spans="1:9" x14ac:dyDescent="0.25">
      <c r="A4" s="52"/>
      <c r="B4" s="53"/>
      <c r="C4" s="54"/>
      <c r="D4" s="52"/>
    </row>
    <row r="5" spans="1:9" x14ac:dyDescent="0.25">
      <c r="A5" s="55" t="s">
        <v>19</v>
      </c>
      <c r="B5" s="56" t="s">
        <v>50</v>
      </c>
      <c r="C5" s="57"/>
      <c r="D5" s="58"/>
    </row>
    <row r="6" spans="1:9" ht="270" x14ac:dyDescent="0.25">
      <c r="A6" s="59" t="s">
        <v>20</v>
      </c>
      <c r="B6" s="60" t="str">
        <f>BM.01!B15</f>
        <v>PINTURA DE LIGACAO EXCLUSIVE LIGANTE</v>
      </c>
      <c r="C6" s="61" t="s">
        <v>63</v>
      </c>
      <c r="D6" s="53" t="s">
        <v>96</v>
      </c>
      <c r="E6" s="49">
        <f>610.26+441.48+209+217.69+439.42+235.5+236.9+226.24+231.79+185.75+972.77+835.79+1282.77+536.98+745.79+590.81+703.15+711.08+604.26+353.4+385.98+1575.86+515.28+334.11+756.85+1220.31+138.6</f>
        <v>15297.82</v>
      </c>
      <c r="F6">
        <f>274.6*( (5.1+4.35+4.35+4.6+4.5+4.5+5.3)/7)</f>
        <v>1282.77428571429</v>
      </c>
      <c r="G6" s="62">
        <f>94.4*((5.38+5.36+5.9)/3 )</f>
        <v>523.60533333333296</v>
      </c>
      <c r="H6">
        <f>300+13.7+39.9+21.5+47.8</f>
        <v>422.9</v>
      </c>
      <c r="I6">
        <f>(5.9+7.8)*25.5/2</f>
        <v>174.67500000000001</v>
      </c>
    </row>
    <row r="7" spans="1:9" x14ac:dyDescent="0.25">
      <c r="A7" s="59" t="s">
        <v>21</v>
      </c>
      <c r="B7" s="60" t="str">
        <f>BM.01!B16</f>
        <v>CBUQ COM BRITA COMERCIAL EXCL LIGANTE</v>
      </c>
      <c r="C7" s="61" t="s">
        <v>64</v>
      </c>
      <c r="D7" s="63" t="s">
        <v>97</v>
      </c>
      <c r="E7" s="49">
        <f>((E6)*0.04*2.4)</f>
        <v>1468.59</v>
      </c>
      <c r="G7">
        <f>0.06*9.4</f>
        <v>0.56399999999999995</v>
      </c>
      <c r="H7">
        <f>G7*2.4</f>
        <v>1.3535999999999999</v>
      </c>
    </row>
    <row r="8" spans="1:9" ht="45" x14ac:dyDescent="0.25">
      <c r="A8" s="59" t="s">
        <v>22</v>
      </c>
      <c r="B8" s="60" t="str">
        <f>BM.01!B17</f>
        <v>TRANSPORTE DE MATERIAIS ASFALTICO A QUENTE</v>
      </c>
      <c r="C8" s="61" t="s">
        <v>65</v>
      </c>
      <c r="D8" s="53" t="s">
        <v>98</v>
      </c>
      <c r="E8" s="49">
        <f>144210.45-F8</f>
        <v>133329.45000000001</v>
      </c>
      <c r="F8" s="49">
        <v>10881</v>
      </c>
      <c r="G8" s="49">
        <f>47588.1+15521.7+45588.6+35512.1</f>
        <v>144210.5</v>
      </c>
    </row>
    <row r="9" spans="1:9" ht="45" x14ac:dyDescent="0.25">
      <c r="A9" s="59" t="s">
        <v>23</v>
      </c>
      <c r="B9" s="60" t="str">
        <f>BM.01!B18</f>
        <v>TRANSPORTE DE MATERIAIS ASFALTICO A FRIO</v>
      </c>
      <c r="C9" s="61" t="s">
        <v>65</v>
      </c>
      <c r="D9" s="53" t="s">
        <v>99</v>
      </c>
      <c r="E9" s="49">
        <f>14438.25-F9</f>
        <v>-94260.15</v>
      </c>
      <c r="F9" s="49">
        <v>108698.4</v>
      </c>
      <c r="G9" s="49">
        <f>4766.25+1553.1+4561.65+3557.25</f>
        <v>14438.25</v>
      </c>
    </row>
    <row r="10" spans="1:9" x14ac:dyDescent="0.25">
      <c r="A10" s="55" t="s">
        <v>24</v>
      </c>
      <c r="B10" s="56" t="s">
        <v>53</v>
      </c>
      <c r="C10" s="65"/>
      <c r="D10" s="65"/>
    </row>
    <row r="11" spans="1:9" ht="30" x14ac:dyDescent="0.25">
      <c r="A11" s="59" t="s">
        <v>26</v>
      </c>
      <c r="B11" s="64" t="str">
        <f>BM.01!B20</f>
        <v>SINALIZACAO HORIZONTAL COM TINTA 2 ANOS DURACAO</v>
      </c>
      <c r="C11" s="66" t="s">
        <v>63</v>
      </c>
      <c r="D11" s="53" t="s">
        <v>100</v>
      </c>
      <c r="E11" s="49">
        <v>2182.02</v>
      </c>
    </row>
    <row r="12" spans="1:9" x14ac:dyDescent="0.25">
      <c r="A12" s="55" t="s">
        <v>28</v>
      </c>
      <c r="B12" s="56" t="s">
        <v>66</v>
      </c>
      <c r="C12" s="58"/>
      <c r="D12" s="58"/>
      <c r="F12">
        <f>E13*465</f>
        <v>3557.25</v>
      </c>
    </row>
    <row r="13" spans="1:9" x14ac:dyDescent="0.25">
      <c r="A13" s="59" t="s">
        <v>25</v>
      </c>
      <c r="B13" s="64" t="str">
        <f>BM.01!B22</f>
        <v>EMULSAO ASFALTICA RR-2C EXCLUSIVE TRANSPORTE</v>
      </c>
      <c r="C13" s="54" t="s">
        <v>64</v>
      </c>
      <c r="D13" s="52" t="s">
        <v>78</v>
      </c>
      <c r="E13" s="49">
        <f>E6*0.0005</f>
        <v>7.65</v>
      </c>
      <c r="F13" s="67"/>
    </row>
    <row r="14" spans="1:9" x14ac:dyDescent="0.25">
      <c r="A14" s="59" t="s">
        <v>29</v>
      </c>
      <c r="B14" s="64" t="str">
        <f>BM.01!B23</f>
        <v xml:space="preserve">CIMENTO ASFALTICO CAP 50/70 EXCLUSIVE TRANSPORTE </v>
      </c>
      <c r="C14" s="54" t="s">
        <v>64</v>
      </c>
      <c r="D14" s="53" t="s">
        <v>80</v>
      </c>
      <c r="E14" s="49">
        <f>E7*0.052</f>
        <v>76.37</v>
      </c>
      <c r="F14">
        <f>E7*0.06</f>
        <v>88.115399999999994</v>
      </c>
    </row>
    <row r="15" spans="1:9" x14ac:dyDescent="0.25">
      <c r="A15" s="68" t="str">
        <f>BM.01!A24</f>
        <v>4.0</v>
      </c>
      <c r="B15" s="56" t="str">
        <f>BM.01!B24</f>
        <v>PLACA DA OBRA</v>
      </c>
      <c r="C15" s="58"/>
      <c r="D15" s="58"/>
      <c r="F15" s="49">
        <f>F14-E14</f>
        <v>11.75</v>
      </c>
    </row>
    <row r="16" spans="1:9" x14ac:dyDescent="0.25">
      <c r="A16" s="59" t="s">
        <v>49</v>
      </c>
      <c r="B16" s="64" t="str">
        <f>BM.01!B25</f>
        <v>PLACA INDICATIVA DE OBRA</v>
      </c>
      <c r="C16" s="66" t="s">
        <v>68</v>
      </c>
      <c r="D16" s="52"/>
      <c r="F16">
        <f>F15*BM.01!D23</f>
        <v>77865.37</v>
      </c>
    </row>
    <row r="18" spans="1:1" x14ac:dyDescent="0.25">
      <c r="A18" s="69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12</vt:i4>
      </vt:variant>
    </vt:vector>
  </HeadingPairs>
  <TitlesOfParts>
    <vt:vector size="20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BM.01!Area_de_impressao</vt:lpstr>
      <vt:lpstr>BM.02!Area_de_impressao</vt:lpstr>
      <vt:lpstr>BM.03!Area_de_impressao</vt:lpstr>
      <vt:lpstr>BM.04!Area_de_impressao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BM.01!Titulos_de_impressao</vt:lpstr>
      <vt:lpstr>BM.02!Titulos_de_impressao</vt:lpstr>
      <vt:lpstr>BM.03!Titulos_de_impressao</vt:lpstr>
      <vt:lpstr>BM.04!Titulos_de_impressao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Valdeir Gonçalves</cp:lastModifiedBy>
  <cp:lastPrinted>2025-05-05T18:30:11Z</cp:lastPrinted>
  <dcterms:created xsi:type="dcterms:W3CDTF">2020-05-27T14:22:35Z</dcterms:created>
  <dcterms:modified xsi:type="dcterms:W3CDTF">2026-08-26T14:01:34Z</dcterms:modified>
</cp:coreProperties>
</file>