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306E1A6-BB98-457A-8FC7-F649DF6856BC}" xr6:coauthVersionLast="47" xr6:coauthVersionMax="47" xr10:uidLastSave="{00000000-0000-0000-0000-000000000000}"/>
  <bookViews>
    <workbookView xWindow="-120" yWindow="-120" windowWidth="20730" windowHeight="11160" tabRatio="908" firstSheet="3" activeTab="9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Reprogramação" sheetId="35" r:id="rId9"/>
    <sheet name="BM.05" sheetId="36" r:id="rId10"/>
    <sheet name="Memória 05" sheetId="33" r:id="rId11"/>
    <sheet name="ATESTADO" sheetId="37" r:id="rId12"/>
  </sheets>
  <definedNames>
    <definedName name="_xlnm.Print_Area" localSheetId="11">ATESTADO!$A$1:$D$14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BM.04!$A$1:$J$38</definedName>
    <definedName name="_xlnm.Print_Area" localSheetId="9">BM.05!$A$1:$J$38</definedName>
    <definedName name="_xlnm.Print_Area" localSheetId="1">'Memória 01'!$A$1:$D$18</definedName>
    <definedName name="_xlnm.Print_Area" localSheetId="3">'Memória 02'!$A$1:$D$16</definedName>
    <definedName name="_xlnm.Print_Area" localSheetId="5">'Memória 03'!$A$1:$D$16</definedName>
    <definedName name="_xlnm.Print_Area" localSheetId="7">'Memória 04'!$A$1:$D$16</definedName>
    <definedName name="_xlnm.Print_Area" localSheetId="10">'Memória 05'!$A$1:$D$16</definedName>
    <definedName name="_xlnm.Print_Area" localSheetId="8">Reprogramação!$A$1:$J$25</definedName>
    <definedName name="_xlnm.Print_Titles" localSheetId="11">ATESTADO!$1:$2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9">BM.05!$10:$13</definedName>
    <definedName name="_xlnm.Print_Titles" localSheetId="8">Reprogramação!$8:$11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36" l="1"/>
  <c r="H24" i="36" s="1"/>
  <c r="F25" i="36"/>
  <c r="I25" i="36" s="1"/>
  <c r="I24" i="36" s="1"/>
  <c r="H23" i="36"/>
  <c r="F23" i="36"/>
  <c r="G23" i="36" s="1"/>
  <c r="J23" i="36" s="1"/>
  <c r="K23" i="36" s="1"/>
  <c r="H22" i="36"/>
  <c r="F22" i="36"/>
  <c r="I22" i="36" s="1"/>
  <c r="H21" i="36"/>
  <c r="H20" i="36"/>
  <c r="H19" i="36" s="1"/>
  <c r="F20" i="36"/>
  <c r="G20" i="36" s="1"/>
  <c r="J20" i="36" s="1"/>
  <c r="H18" i="36"/>
  <c r="F18" i="36"/>
  <c r="I18" i="36" s="1"/>
  <c r="H17" i="36"/>
  <c r="F17" i="36"/>
  <c r="G17" i="36" s="1"/>
  <c r="J17" i="36" s="1"/>
  <c r="H16" i="36"/>
  <c r="F16" i="36"/>
  <c r="I16" i="36" s="1"/>
  <c r="H15" i="36"/>
  <c r="H14" i="36" s="1"/>
  <c r="F15" i="36"/>
  <c r="G15" i="36" s="1"/>
  <c r="J15" i="36" s="1"/>
  <c r="G18" i="35"/>
  <c r="F18" i="35" s="1"/>
  <c r="I18" i="35" s="1"/>
  <c r="I17" i="35" s="1"/>
  <c r="E6" i="35"/>
  <c r="H24" i="35"/>
  <c r="H23" i="35"/>
  <c r="H22" i="35" s="1"/>
  <c r="J23" i="35"/>
  <c r="J22" i="35" s="1"/>
  <c r="H21" i="35"/>
  <c r="J21" i="35"/>
  <c r="H20" i="35"/>
  <c r="H19" i="35" s="1"/>
  <c r="F20" i="35"/>
  <c r="I20" i="35" s="1"/>
  <c r="H18" i="35"/>
  <c r="H17" i="35" s="1"/>
  <c r="H16" i="35"/>
  <c r="J16" i="35"/>
  <c r="H15" i="35"/>
  <c r="F15" i="35"/>
  <c r="I15" i="35" s="1"/>
  <c r="H14" i="35"/>
  <c r="F14" i="35"/>
  <c r="I14" i="35" s="1"/>
  <c r="H13" i="35"/>
  <c r="J13" i="35"/>
  <c r="H26" i="36" l="1"/>
  <c r="K17" i="36"/>
  <c r="K15" i="36"/>
  <c r="K20" i="36"/>
  <c r="J19" i="36"/>
  <c r="K19" i="36" s="1"/>
  <c r="I15" i="36"/>
  <c r="G16" i="36"/>
  <c r="J16" i="36" s="1"/>
  <c r="K16" i="36" s="1"/>
  <c r="I17" i="36"/>
  <c r="G18" i="36"/>
  <c r="J18" i="36" s="1"/>
  <c r="K18" i="36" s="1"/>
  <c r="I20" i="36"/>
  <c r="I19" i="36" s="1"/>
  <c r="G22" i="36"/>
  <c r="J22" i="36" s="1"/>
  <c r="I23" i="36"/>
  <c r="I21" i="36" s="1"/>
  <c r="G25" i="36"/>
  <c r="J25" i="36" s="1"/>
  <c r="J18" i="35"/>
  <c r="J17" i="35" s="1"/>
  <c r="J20" i="35"/>
  <c r="H12" i="35"/>
  <c r="J14" i="35"/>
  <c r="J15" i="35"/>
  <c r="J19" i="35"/>
  <c r="F16" i="35"/>
  <c r="I16" i="35" s="1"/>
  <c r="F21" i="35"/>
  <c r="I21" i="35" s="1"/>
  <c r="I19" i="35" s="1"/>
  <c r="J12" i="35"/>
  <c r="F13" i="35"/>
  <c r="I13" i="35" s="1"/>
  <c r="F23" i="35"/>
  <c r="I23" i="35" s="1"/>
  <c r="I22" i="35" s="1"/>
  <c r="J21" i="36" l="1"/>
  <c r="K21" i="36" s="1"/>
  <c r="K22" i="36"/>
  <c r="I14" i="36"/>
  <c r="I26" i="36" s="1"/>
  <c r="J14" i="36"/>
  <c r="J24" i="36"/>
  <c r="K24" i="36" s="1"/>
  <c r="K25" i="36"/>
  <c r="J24" i="35"/>
  <c r="K24" i="35" s="1"/>
  <c r="K18" i="35" s="1"/>
  <c r="L23" i="35"/>
  <c r="I12" i="35"/>
  <c r="I24" i="35" s="1"/>
  <c r="D28" i="36" l="1"/>
  <c r="L26" i="36"/>
  <c r="G8" i="36"/>
  <c r="K14" i="36"/>
  <c r="J26" i="36"/>
  <c r="K26" i="36" s="1"/>
  <c r="E7" i="33"/>
  <c r="F7" i="33"/>
  <c r="E14" i="33"/>
  <c r="E8" i="33" s="1"/>
  <c r="K25" i="30"/>
  <c r="K23" i="30"/>
  <c r="K22" i="30"/>
  <c r="K20" i="30"/>
  <c r="K16" i="30"/>
  <c r="K17" i="30"/>
  <c r="K18" i="30"/>
  <c r="K15" i="30"/>
  <c r="F6" i="33"/>
  <c r="L26" i="30"/>
  <c r="E9" i="33"/>
  <c r="B16" i="33"/>
  <c r="B15" i="33"/>
  <c r="A15" i="33"/>
  <c r="B14" i="33"/>
  <c r="B13" i="33"/>
  <c r="B11" i="33"/>
  <c r="B9" i="33"/>
  <c r="B8" i="33"/>
  <c r="B7" i="33"/>
  <c r="E13" i="33"/>
  <c r="B6" i="33"/>
  <c r="G9" i="31"/>
  <c r="F12" i="31"/>
  <c r="G8" i="31"/>
  <c r="E8" i="31"/>
  <c r="E9" i="31"/>
  <c r="E6" i="31"/>
  <c r="F15" i="30" s="1"/>
  <c r="G15" i="30" s="1"/>
  <c r="F6" i="31"/>
  <c r="F25" i="30"/>
  <c r="G25" i="30" s="1"/>
  <c r="J25" i="30" s="1"/>
  <c r="J24" i="30" s="1"/>
  <c r="F20" i="30"/>
  <c r="G20" i="30" s="1"/>
  <c r="J20" i="30" s="1"/>
  <c r="J19" i="30" s="1"/>
  <c r="B16" i="31"/>
  <c r="B15" i="31"/>
  <c r="A15" i="31"/>
  <c r="B14" i="31"/>
  <c r="B13" i="31"/>
  <c r="B11" i="31"/>
  <c r="B9" i="31"/>
  <c r="B8" i="31"/>
  <c r="H7" i="31"/>
  <c r="G7" i="31"/>
  <c r="B7" i="31"/>
  <c r="I6" i="31"/>
  <c r="H6" i="31"/>
  <c r="G6" i="31"/>
  <c r="E13" i="31"/>
  <c r="F17" i="30" s="1"/>
  <c r="B6" i="31"/>
  <c r="H25" i="30"/>
  <c r="H24" i="30" s="1"/>
  <c r="H23" i="30"/>
  <c r="H21" i="30" s="1"/>
  <c r="H22" i="30"/>
  <c r="I20" i="30"/>
  <c r="I19" i="30" s="1"/>
  <c r="H20" i="30"/>
  <c r="H19" i="30"/>
  <c r="H18" i="30"/>
  <c r="H17" i="30"/>
  <c r="H16" i="30"/>
  <c r="H15" i="30"/>
  <c r="H14" i="30" s="1"/>
  <c r="H26" i="30" s="1"/>
  <c r="E7" i="29"/>
  <c r="H7" i="29"/>
  <c r="G7" i="29"/>
  <c r="E6" i="29"/>
  <c r="G6" i="29"/>
  <c r="I6" i="29"/>
  <c r="H6" i="29"/>
  <c r="F20" i="28"/>
  <c r="G20" i="28" s="1"/>
  <c r="J20" i="28" s="1"/>
  <c r="J19" i="28" s="1"/>
  <c r="F25" i="28"/>
  <c r="G25" i="28"/>
  <c r="J25" i="28" s="1"/>
  <c r="J24" i="28" s="1"/>
  <c r="F15" i="28"/>
  <c r="I15" i="28" s="1"/>
  <c r="B16" i="29"/>
  <c r="B15" i="29"/>
  <c r="A15" i="29"/>
  <c r="B14" i="29"/>
  <c r="B13" i="29"/>
  <c r="B11" i="29"/>
  <c r="B9" i="29"/>
  <c r="B8" i="29"/>
  <c r="E14" i="29"/>
  <c r="E9" i="29" s="1"/>
  <c r="F18" i="28" s="1"/>
  <c r="G18" i="28" s="1"/>
  <c r="J18" i="28" s="1"/>
  <c r="B7" i="29"/>
  <c r="E13" i="29"/>
  <c r="E8" i="29" s="1"/>
  <c r="F17" i="28" s="1"/>
  <c r="B6" i="29"/>
  <c r="I25" i="28"/>
  <c r="I24" i="28" s="1"/>
  <c r="H25" i="28"/>
  <c r="H24" i="28" s="1"/>
  <c r="H23" i="28"/>
  <c r="H21" i="28" s="1"/>
  <c r="H22" i="28"/>
  <c r="I20" i="28"/>
  <c r="I19" i="28" s="1"/>
  <c r="H20" i="28"/>
  <c r="H19" i="28" s="1"/>
  <c r="H18" i="28"/>
  <c r="H17" i="28"/>
  <c r="H16" i="28"/>
  <c r="H15" i="28"/>
  <c r="H14" i="28" s="1"/>
  <c r="F25" i="26"/>
  <c r="G25" i="26" s="1"/>
  <c r="F16" i="26"/>
  <c r="G16" i="26" s="1"/>
  <c r="F17" i="26"/>
  <c r="G17" i="26"/>
  <c r="F18" i="26"/>
  <c r="G18" i="26" s="1"/>
  <c r="F20" i="26"/>
  <c r="G20" i="26" s="1"/>
  <c r="J20" i="26" s="1"/>
  <c r="J19" i="26" s="1"/>
  <c r="F22" i="26"/>
  <c r="G22" i="26" s="1"/>
  <c r="J22" i="26" s="1"/>
  <c r="F23" i="26"/>
  <c r="G23" i="26"/>
  <c r="E6" i="27"/>
  <c r="E7" i="27" s="1"/>
  <c r="B16" i="27"/>
  <c r="B15" i="27"/>
  <c r="A15" i="27"/>
  <c r="B14" i="27"/>
  <c r="B13" i="27"/>
  <c r="B11" i="27"/>
  <c r="B9" i="27"/>
  <c r="B8" i="27"/>
  <c r="B7" i="27"/>
  <c r="B6" i="27"/>
  <c r="H25" i="26"/>
  <c r="H24" i="26" s="1"/>
  <c r="H23" i="26"/>
  <c r="H22" i="26"/>
  <c r="I20" i="26"/>
  <c r="I19" i="26" s="1"/>
  <c r="H20" i="26"/>
  <c r="H19" i="26"/>
  <c r="H18" i="26"/>
  <c r="H17" i="26"/>
  <c r="H16" i="26"/>
  <c r="H15" i="26"/>
  <c r="E6" i="25"/>
  <c r="E7" i="25" s="1"/>
  <c r="E16" i="25" s="1"/>
  <c r="E9" i="25" s="1"/>
  <c r="A17" i="25"/>
  <c r="H7" i="25"/>
  <c r="H6" i="25"/>
  <c r="H25" i="24"/>
  <c r="H24" i="24" s="1"/>
  <c r="H23" i="24"/>
  <c r="H22" i="24"/>
  <c r="H21" i="24" s="1"/>
  <c r="H20" i="24"/>
  <c r="H19" i="24" s="1"/>
  <c r="H16" i="24"/>
  <c r="H17" i="24"/>
  <c r="H18" i="24"/>
  <c r="H15" i="24"/>
  <c r="B17" i="25"/>
  <c r="B18" i="25"/>
  <c r="B16" i="25"/>
  <c r="B15" i="25"/>
  <c r="B12" i="25"/>
  <c r="B9" i="25"/>
  <c r="B7" i="25"/>
  <c r="B8" i="25"/>
  <c r="B6" i="25"/>
  <c r="E7" i="31" l="1"/>
  <c r="F16" i="30" s="1"/>
  <c r="G16" i="30" s="1"/>
  <c r="J16" i="30" s="1"/>
  <c r="I17" i="30"/>
  <c r="G17" i="30"/>
  <c r="J17" i="30" s="1"/>
  <c r="F22" i="30"/>
  <c r="J15" i="30"/>
  <c r="I15" i="30"/>
  <c r="I25" i="30"/>
  <c r="I24" i="30" s="1"/>
  <c r="I17" i="28"/>
  <c r="G17" i="28"/>
  <c r="G15" i="28"/>
  <c r="J15" i="28" s="1"/>
  <c r="F23" i="28"/>
  <c r="F22" i="28"/>
  <c r="I18" i="28"/>
  <c r="F16" i="28"/>
  <c r="F14" i="29"/>
  <c r="F15" i="29" s="1"/>
  <c r="F16" i="29" s="1"/>
  <c r="H26" i="28"/>
  <c r="J17" i="28"/>
  <c r="H14" i="26"/>
  <c r="H21" i="26"/>
  <c r="I22" i="26"/>
  <c r="F15" i="26"/>
  <c r="I15" i="26" s="1"/>
  <c r="E13" i="27"/>
  <c r="F16" i="25"/>
  <c r="F17" i="25" s="1"/>
  <c r="F18" i="25" s="1"/>
  <c r="E15" i="25"/>
  <c r="H14" i="24"/>
  <c r="H26" i="24" s="1"/>
  <c r="F18" i="24"/>
  <c r="G18" i="24" s="1"/>
  <c r="F25" i="24"/>
  <c r="G25" i="24" s="1"/>
  <c r="F22" i="24"/>
  <c r="G22" i="24" s="1"/>
  <c r="F20" i="24"/>
  <c r="G20" i="24" s="1"/>
  <c r="F16" i="24"/>
  <c r="G16" i="24" s="1"/>
  <c r="F15" i="24"/>
  <c r="I16" i="30" l="1"/>
  <c r="G22" i="30"/>
  <c r="J22" i="30" s="1"/>
  <c r="I22" i="30"/>
  <c r="E14" i="31"/>
  <c r="F14" i="31"/>
  <c r="G16" i="28"/>
  <c r="J16" i="28" s="1"/>
  <c r="I16" i="28"/>
  <c r="I14" i="28" s="1"/>
  <c r="J14" i="28"/>
  <c r="G23" i="28"/>
  <c r="J23" i="28" s="1"/>
  <c r="I23" i="28"/>
  <c r="G22" i="28"/>
  <c r="J22" i="28" s="1"/>
  <c r="I22" i="28"/>
  <c r="I21" i="28" s="1"/>
  <c r="H26" i="26"/>
  <c r="E8" i="27"/>
  <c r="G15" i="26"/>
  <c r="J15" i="26" s="1"/>
  <c r="J16" i="26"/>
  <c r="I16" i="26"/>
  <c r="F14" i="27"/>
  <c r="E14" i="27"/>
  <c r="E8" i="25"/>
  <c r="F17" i="24" s="1"/>
  <c r="G17" i="24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F15" i="31" l="1"/>
  <c r="F16" i="31" s="1"/>
  <c r="F23" i="30"/>
  <c r="I26" i="28"/>
  <c r="J21" i="28"/>
  <c r="J26" i="28" s="1"/>
  <c r="K26" i="28" s="1"/>
  <c r="I23" i="26"/>
  <c r="I21" i="26" s="1"/>
  <c r="J23" i="26"/>
  <c r="J21" i="26" s="1"/>
  <c r="J17" i="26"/>
  <c r="I17" i="26"/>
  <c r="E9" i="27"/>
  <c r="F15" i="27"/>
  <c r="F16" i="27" s="1"/>
  <c r="J16" i="24"/>
  <c r="I16" i="24"/>
  <c r="J24" i="24"/>
  <c r="J19" i="24"/>
  <c r="G23" i="30" l="1"/>
  <c r="J23" i="30" s="1"/>
  <c r="J21" i="30" s="1"/>
  <c r="I23" i="30"/>
  <c r="I21" i="30" s="1"/>
  <c r="G8" i="28"/>
  <c r="D28" i="28"/>
  <c r="J18" i="26"/>
  <c r="J14" i="26" s="1"/>
  <c r="I18" i="26"/>
  <c r="I14" i="26" s="1"/>
  <c r="I25" i="26"/>
  <c r="I24" i="26" s="1"/>
  <c r="J25" i="26"/>
  <c r="J24" i="26" s="1"/>
  <c r="J17" i="24"/>
  <c r="I17" i="24"/>
  <c r="I22" i="24"/>
  <c r="J22" i="24"/>
  <c r="J26" i="26" l="1"/>
  <c r="K26" i="26" s="1"/>
  <c r="I26" i="26"/>
  <c r="I18" i="24"/>
  <c r="I14" i="24" s="1"/>
  <c r="J18" i="24"/>
  <c r="J14" i="24" s="1"/>
  <c r="I23" i="24"/>
  <c r="I21" i="24" s="1"/>
  <c r="J23" i="24"/>
  <c r="D28" i="26" l="1"/>
  <c r="G8" i="26"/>
  <c r="J21" i="24"/>
  <c r="J26" i="24" s="1"/>
  <c r="K26" i="24" s="1"/>
  <c r="I26" i="24"/>
  <c r="G8" i="24" l="1"/>
  <c r="D28" i="24"/>
  <c r="F18" i="30" l="1"/>
  <c r="I18" i="30" s="1"/>
  <c r="I14" i="30" s="1"/>
  <c r="I26" i="30" s="1"/>
  <c r="D28" i="30" l="1"/>
  <c r="G8" i="30"/>
  <c r="G18" i="30"/>
  <c r="J18" i="30" s="1"/>
  <c r="J14" i="30" s="1"/>
  <c r="J26" i="30" s="1"/>
  <c r="K26" i="30" s="1"/>
</calcChain>
</file>

<file path=xl/sharedStrings.xml><?xml version="1.0" encoding="utf-8"?>
<sst xmlns="http://schemas.openxmlformats.org/spreadsheetml/2006/main" count="681" uniqueCount="120">
  <si>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</si>
  <si>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</si>
  <si>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</si>
  <si>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</si>
  <si>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</si>
  <si>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</si>
  <si>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</si>
  <si>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</si>
  <si>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</si>
  <si>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</si>
  <si>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</si>
  <si>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</si>
  <si>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</si>
  <si>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</si>
  <si>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</si>
  <si>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</si>
  <si>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</si>
  <si>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</si>
  <si>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</si>
  <si>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</si>
  <si>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</si>
  <si>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</si>
  <si>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</si>
  <si>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</si>
  <si>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</si>
  <si>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</si>
  <si>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</si>
  <si>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</si>
  <si>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</si>
  <si>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</si>
  <si>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</si>
  <si>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</si>
  <si>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</si>
  <si>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</si>
  <si>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</si>
  <si>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</si>
  <si>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</si>
  <si>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</si>
  <si>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</si>
  <si>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</si>
  <si>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</si>
  <si>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</si>
  <si>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</si>
  <si>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</si>
  <si>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</si>
  <si>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</si>
  <si>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</si>
  <si>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Niemaia Construções Eireli</t>
  </si>
  <si>
    <t>4.0</t>
  </si>
  <si>
    <t>4.1</t>
  </si>
  <si>
    <t>PAVIMENTAÇÃO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</si>
  <si>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</si>
  <si>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</si>
  <si>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</si>
  <si>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</si>
  <si>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</si>
  <si>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 xml:space="preserve">CIMENTO ASFALTICO CAP 50/70 EXCLUSIVE TRANSPORTE </t>
  </si>
  <si>
    <t>PLACA DA OBRA</t>
  </si>
  <si>
    <t>PLACA INDICATIVA DE OBRA</t>
  </si>
  <si>
    <t>M2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</si>
  <si>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</si>
  <si>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</si>
  <si>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</si>
  <si>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</si>
  <si>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</si>
  <si>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</si>
  <si>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</si>
  <si>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</si>
  <si>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M²</t>
  </si>
  <si>
    <t>12 meses</t>
  </si>
  <si>
    <t>MEMORIA DE CALCULO - BM 01</t>
  </si>
  <si>
    <t>Execução de pavimentação asfáltica de ruas e avenidas do Bairro Alto Capanema, Jardim Santana, Estação, Dr. Zeze e Zú Silva</t>
  </si>
  <si>
    <t>Período da medição</t>
  </si>
  <si>
    <t>21/06/2024 a 07/08/2024</t>
  </si>
  <si>
    <t>PINTURA DE LIGACAO EXCLUSIVE LIGANTE</t>
  </si>
  <si>
    <t>CBUQ COM BRITA COMERCIAL EXCL LIGANTE</t>
  </si>
  <si>
    <t>(Área total x 0,04 m de altura) x densidade de 2,40 t/ m³ =</t>
  </si>
  <si>
    <t>EMULSAO ASFALTICA RR-2C EXCLUSIVE TRANSPORTE</t>
  </si>
  <si>
    <t xml:space="preserve">Área total de pintura de ligação x teor de ligante de 0,05% = </t>
  </si>
  <si>
    <r>
      <t xml:space="preserve">Rua João Vieira de Almeida: (39,20*(6,35+6,75)/2)+224*((7+7+7,3+7,3+7,15+7,2)/6) = </t>
    </r>
    <r>
      <rPr>
        <b/>
        <sz val="11"/>
        <color theme="1"/>
        <rFont val="Calibri"/>
        <family val="2"/>
        <scheme val="minor"/>
      </rPr>
      <t>1.860,22 m²</t>
    </r>
    <r>
      <rPr>
        <sz val="11"/>
        <color theme="1"/>
        <rFont val="Calibri"/>
        <family val="2"/>
        <scheme val="minor"/>
      </rPr>
      <t xml:space="preserve">; Rua Jose Francisco Braga Rolim: (39,00*(5,00+6,80)/2)+357,70*((4,6+5,10+5,05+5,05+5+5+5+5)/8)= </t>
    </r>
    <r>
      <rPr>
        <b/>
        <sz val="11"/>
        <color theme="1"/>
        <rFont val="Calibri"/>
        <family val="2"/>
        <scheme val="minor"/>
      </rPr>
      <t>2.009,66 m²</t>
    </r>
    <r>
      <rPr>
        <sz val="11"/>
        <color theme="1"/>
        <rFont val="Calibri"/>
        <family val="2"/>
        <scheme val="minor"/>
      </rPr>
      <t xml:space="preserve">; Rua Simão Afonso de Carvalho: 331,30*((5,10+5,15+4,90+5,00+4,90+4,85+4,90+4,85)/8) = </t>
    </r>
    <r>
      <rPr>
        <b/>
        <sz val="11"/>
        <color theme="1"/>
        <rFont val="Calibri"/>
        <family val="2"/>
        <scheme val="minor"/>
      </rPr>
      <t>1.642,00 m²</t>
    </r>
    <r>
      <rPr>
        <sz val="11"/>
        <color theme="1"/>
        <rFont val="Calibri"/>
        <family val="2"/>
        <scheme val="minor"/>
      </rPr>
      <t xml:space="preserve">; Rua Francisco Sarmento Medeiros: 190,90*(5,10+5,00+4,85+5,05+5,15)/5 = </t>
    </r>
    <r>
      <rPr>
        <b/>
        <sz val="11"/>
        <color theme="1"/>
        <rFont val="Calibri"/>
        <family val="2"/>
        <scheme val="minor"/>
      </rPr>
      <t>960,22 m²</t>
    </r>
    <r>
      <rPr>
        <sz val="11"/>
        <color theme="1"/>
        <rFont val="Calibri"/>
        <family val="2"/>
        <scheme val="minor"/>
      </rPr>
      <t xml:space="preserve">; Rua Professor Trajano (parte 1): 196,50*(6,60+5,75+5,90+5,80+5,60)/5= </t>
    </r>
    <r>
      <rPr>
        <b/>
        <sz val="11"/>
        <color theme="1"/>
        <rFont val="Calibri"/>
        <family val="2"/>
        <scheme val="minor"/>
      </rPr>
      <t>1.165,24 m²</t>
    </r>
    <r>
      <rPr>
        <sz val="11"/>
        <color theme="1"/>
        <rFont val="Calibri"/>
        <family val="2"/>
        <scheme val="minor"/>
      </rPr>
      <t xml:space="preserve">;  Rua Professor Trajano (parte 2): 60*(6,55+7,60+4,60)/3= </t>
    </r>
    <r>
      <rPr>
        <b/>
        <sz val="11"/>
        <color theme="1"/>
        <rFont val="Calibri"/>
        <family val="2"/>
        <scheme val="minor"/>
      </rPr>
      <t>375,00 m²</t>
    </r>
    <r>
      <rPr>
        <sz val="11"/>
        <color theme="1"/>
        <rFont val="Calibri"/>
        <family val="2"/>
        <scheme val="minor"/>
      </rPr>
      <t xml:space="preserve">; Rua Eládio Pedrosa: 60*6,40 = </t>
    </r>
    <r>
      <rPr>
        <b/>
        <sz val="11"/>
        <color theme="1"/>
        <rFont val="Calibri"/>
        <family val="2"/>
        <scheme val="minor"/>
      </rPr>
      <t>384,00 m²</t>
    </r>
    <r>
      <rPr>
        <sz val="11"/>
        <color theme="1"/>
        <rFont val="Calibri"/>
        <family val="2"/>
        <scheme val="minor"/>
      </rPr>
      <t xml:space="preserve">; Rua João Bosco Sarmento: (28*(6,80+6,70)/2)+259,90*((8,60+8,20+7,30+8,20+7,90+7,50+7,50)/7) = </t>
    </r>
    <r>
      <rPr>
        <b/>
        <sz val="11"/>
        <color theme="1"/>
        <rFont val="Calibri"/>
        <family val="2"/>
        <scheme val="minor"/>
      </rPr>
      <t>2.238,50 m²</t>
    </r>
    <r>
      <rPr>
        <sz val="11"/>
        <color theme="1"/>
        <rFont val="Calibri"/>
        <family val="2"/>
        <scheme val="minor"/>
      </rPr>
      <t xml:space="preserve">; Rua Clotilde Meira: 199,90*(10,0+6,75+6,50+6,50+7,90)/5= </t>
    </r>
    <r>
      <rPr>
        <b/>
        <sz val="11"/>
        <color theme="1"/>
        <rFont val="Calibri"/>
        <family val="2"/>
        <scheme val="minor"/>
      </rPr>
      <t>1.505,24 m²</t>
    </r>
    <r>
      <rPr>
        <sz val="11"/>
        <color theme="1"/>
        <rFont val="Calibri"/>
        <family val="2"/>
        <scheme val="minor"/>
      </rPr>
      <t xml:space="preserve">; Rua Dr. Jose Gadelha: 94,76*(6,85+6,30+7,10)/3 = </t>
    </r>
    <r>
      <rPr>
        <b/>
        <sz val="11"/>
        <color theme="1"/>
        <rFont val="Calibri"/>
        <family val="2"/>
        <scheme val="minor"/>
      </rPr>
      <t>639,63 m²</t>
    </r>
    <r>
      <rPr>
        <sz val="11"/>
        <color theme="1"/>
        <rFont val="Calibri"/>
        <family val="2"/>
        <scheme val="minor"/>
      </rPr>
      <t xml:space="preserve">; Rua Epitácio Pessoa: 60*(5,70+5,20)/2 = </t>
    </r>
    <r>
      <rPr>
        <b/>
        <sz val="11"/>
        <color theme="1"/>
        <rFont val="Calibri"/>
        <family val="2"/>
        <scheme val="minor"/>
      </rPr>
      <t>327,00 m²</t>
    </r>
    <r>
      <rPr>
        <sz val="11"/>
        <color theme="1"/>
        <rFont val="Calibri"/>
        <family val="2"/>
        <scheme val="minor"/>
      </rPr>
      <t xml:space="preserve">; Rua Cel. Augusto Braga: 239,80*(5,78+ 5,48+5,40+6,00+ 5,90+ 5,20+6,00+5,10)/8 = </t>
    </r>
    <r>
      <rPr>
        <b/>
        <sz val="11"/>
        <color theme="1"/>
        <rFont val="Calibri"/>
        <family val="2"/>
        <scheme val="minor"/>
      </rPr>
      <t>1.344,68 m²</t>
    </r>
    <r>
      <rPr>
        <sz val="11"/>
        <color theme="1"/>
        <rFont val="Calibri"/>
        <family val="2"/>
        <scheme val="minor"/>
      </rPr>
      <t xml:space="preserve">; Rua Genésio Gambarra: (89,05*(11,90+11,25+10,95)/3)-(19,80*1,50) = </t>
    </r>
    <r>
      <rPr>
        <b/>
        <sz val="11"/>
        <color theme="1"/>
        <rFont val="Calibri"/>
        <family val="2"/>
        <scheme val="minor"/>
      </rPr>
      <t>982,50 m²</t>
    </r>
    <r>
      <rPr>
        <sz val="11"/>
        <color theme="1"/>
        <rFont val="Calibri"/>
        <family val="2"/>
        <scheme val="minor"/>
      </rPr>
      <t xml:space="preserve">; Rua Vital Gomes de Sousa: 73,90*(4,00+4,50+4,25)/3 = </t>
    </r>
    <r>
      <rPr>
        <b/>
        <sz val="11"/>
        <color theme="1"/>
        <rFont val="Calibri"/>
        <family val="2"/>
        <scheme val="minor"/>
      </rPr>
      <t>314,07 m²</t>
    </r>
    <r>
      <rPr>
        <sz val="11"/>
        <color theme="1"/>
        <rFont val="Calibri"/>
        <family val="2"/>
        <scheme val="minor"/>
      </rPr>
      <t xml:space="preserve">; Rua Eládio Pedrosa de Melo: 202,40*(5,8+7,0+ 7,6+8,16+7,4)/5 = </t>
    </r>
    <r>
      <rPr>
        <b/>
        <sz val="11"/>
        <color theme="1"/>
        <rFont val="Calibri"/>
        <family val="2"/>
        <scheme val="minor"/>
      </rPr>
      <t>1.455,66 m²</t>
    </r>
    <r>
      <rPr>
        <sz val="11"/>
        <color theme="1"/>
        <rFont val="Calibri"/>
        <family val="2"/>
        <scheme val="minor"/>
      </rPr>
      <t xml:space="preserve">; Rua Vicente Vieira: 231,70*(8,20+7,67+9,4+9,15+9,80+10,7)/6 = </t>
    </r>
    <r>
      <rPr>
        <b/>
        <sz val="11"/>
        <color theme="1"/>
        <rFont val="Calibri"/>
        <family val="2"/>
        <scheme val="minor"/>
      </rPr>
      <t>2.120,82 m²</t>
    </r>
    <r>
      <rPr>
        <sz val="11"/>
        <color theme="1"/>
        <rFont val="Calibri"/>
        <family val="2"/>
        <scheme val="minor"/>
      </rPr>
      <t xml:space="preserve">; Rua Primeiro de Maio: 132,50*(5,30+5,0+5,0+5,0)/4 = </t>
    </r>
    <r>
      <rPr>
        <b/>
        <sz val="11"/>
        <color theme="1"/>
        <rFont val="Calibri"/>
        <family val="2"/>
        <scheme val="minor"/>
      </rPr>
      <t>672,44 m²</t>
    </r>
    <r>
      <rPr>
        <sz val="11"/>
        <color theme="1"/>
        <rFont val="Calibri"/>
        <family val="2"/>
        <scheme val="minor"/>
      </rPr>
      <t xml:space="preserve">; Rua Maria Emilia Sarmento: 98*(5,07+5,30+5,05)/3 = </t>
    </r>
    <r>
      <rPr>
        <b/>
        <sz val="11"/>
        <color theme="1"/>
        <rFont val="Calibri"/>
        <family val="2"/>
        <scheme val="minor"/>
      </rPr>
      <t>503,72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>TOTALIZANDO 20.500,60 M²</t>
    </r>
  </si>
  <si>
    <t>Volume total de CBUQ em toneladas x 5,2% de taxa de aplicação =</t>
  </si>
  <si>
    <t>Total de RR-2C x distancia de 465 km</t>
  </si>
  <si>
    <t xml:space="preserve">Total de CAP 50/70 x distância de 465 km </t>
  </si>
  <si>
    <t>323/2024</t>
  </si>
  <si>
    <t>02</t>
  </si>
  <si>
    <t>08/08/2024 a 04/09/2024</t>
  </si>
  <si>
    <t>MEMORIA DE CALCULO - BM 02</t>
  </si>
  <si>
    <r>
      <t xml:space="preserve">Rua Raimundo Xavier F. Souza: 417 m x (5,6+5,3+5,1+5,0+5,7+5,8+5,4+5,5+5,9)/9 =  </t>
    </r>
    <r>
      <rPr>
        <b/>
        <sz val="11"/>
        <color theme="1"/>
        <rFont val="Calibri"/>
        <family val="2"/>
        <scheme val="minor"/>
      </rPr>
      <t>2.284,23 m²</t>
    </r>
    <r>
      <rPr>
        <sz val="11"/>
        <color theme="1"/>
        <rFont val="Calibri"/>
        <family val="2"/>
        <scheme val="minor"/>
      </rPr>
      <t xml:space="preserve">; Rua Deocleciano Nunes Rezende: 316,20 m x (5,3+5,1+5,1+5,4+5,1+5,45+5,35)/7 = </t>
    </r>
    <r>
      <rPr>
        <b/>
        <sz val="11"/>
        <color theme="1"/>
        <rFont val="Calibri"/>
        <family val="2"/>
        <scheme val="minor"/>
      </rPr>
      <t>1.662,31 m²</t>
    </r>
    <r>
      <rPr>
        <sz val="11"/>
        <color theme="1"/>
        <rFont val="Calibri"/>
        <family val="2"/>
        <scheme val="minor"/>
      </rPr>
      <t>; Rua Benedito Pereira de Lima = 277,20 m x (4,30+ 4,45+4,35+4,6+4,15+4,30+4,30)/7 =</t>
    </r>
    <r>
      <rPr>
        <b/>
        <sz val="11"/>
        <color theme="1"/>
        <rFont val="Calibri"/>
        <family val="2"/>
        <scheme val="minor"/>
      </rPr>
      <t xml:space="preserve"> 1.205,82 m²</t>
    </r>
    <r>
      <rPr>
        <sz val="11"/>
        <color theme="1"/>
        <rFont val="Calibri"/>
        <family val="2"/>
        <scheme val="minor"/>
      </rPr>
      <t xml:space="preserve">; Rua Arnóbio Bezerra da Silva: 300,00 m x (5,50+5,7+5,6+4,6+ 4,55+ 4,65+ 5,20)/7 = </t>
    </r>
    <r>
      <rPr>
        <b/>
        <sz val="11"/>
        <color theme="1"/>
        <rFont val="Calibri"/>
        <family val="2"/>
        <scheme val="minor"/>
      </rPr>
      <t>1.534,29 m²</t>
    </r>
  </si>
  <si>
    <t>MEMORIA DE CALCULO - BM 03</t>
  </si>
  <si>
    <t>03</t>
  </si>
  <si>
    <r>
      <t xml:space="preserve">Rua João Nobre - 271,0 m x (7,0+7,45+5,85+6,0+5,4+5,84+5,6+5,5+5,2)/9 = </t>
    </r>
    <r>
      <rPr>
        <b/>
        <sz val="11"/>
        <color theme="1"/>
        <rFont val="Calibri"/>
        <family val="2"/>
        <scheme val="minor"/>
      </rPr>
      <t>1.621,18 m²</t>
    </r>
    <r>
      <rPr>
        <sz val="11"/>
        <color theme="1"/>
        <rFont val="Calibri"/>
        <family val="2"/>
        <scheme val="minor"/>
      </rPr>
      <t xml:space="preserve">; Rua Severino Barbosa: 171,4 m x (5,75+5,24+5,36+6,1+5,8+5,3+5,1)/7 = </t>
    </r>
    <r>
      <rPr>
        <b/>
        <sz val="11"/>
        <color theme="1"/>
        <rFont val="Calibri"/>
        <family val="2"/>
        <scheme val="minor"/>
      </rPr>
      <t>946,37 m²</t>
    </r>
    <r>
      <rPr>
        <sz val="11"/>
        <color theme="1"/>
        <rFont val="Calibri"/>
        <family val="2"/>
        <scheme val="minor"/>
      </rPr>
      <t xml:space="preserve">; Rua Francisco C. Correia de Sá = 108,90 m x (4,7+4,9+4,1+5,2+5,6)/5 = </t>
    </r>
    <r>
      <rPr>
        <b/>
        <sz val="11"/>
        <color theme="1"/>
        <rFont val="Calibri"/>
        <family val="2"/>
        <scheme val="minor"/>
      </rPr>
      <t>533,61 m²</t>
    </r>
    <r>
      <rPr>
        <sz val="11"/>
        <color theme="1"/>
        <rFont val="Calibri"/>
        <family val="2"/>
        <scheme val="minor"/>
      </rPr>
      <t xml:space="preserve">; Rua Maria Marques da Silva = 311,10 x (4,8+4,55+4,62+4,6+4,66+4,95+4,9+4,8+4,8+4,95+4,9+4,9)/12 = </t>
    </r>
    <r>
      <rPr>
        <b/>
        <sz val="11"/>
        <color theme="1"/>
        <rFont val="Calibri"/>
        <family val="2"/>
        <scheme val="minor"/>
      </rPr>
      <t>1.488,87 m²</t>
    </r>
    <r>
      <rPr>
        <sz val="11"/>
        <color theme="1"/>
        <rFont val="Calibri"/>
        <family val="2"/>
        <scheme val="minor"/>
      </rPr>
      <t xml:space="preserve">; Rua Manoel Belarmino: 100,00*(4,6+9,8+5,85)/3= 675,00 m² + trapézio de: (3,6+11,5)*28/2 = 211,40 m², totalizando: </t>
    </r>
    <r>
      <rPr>
        <b/>
        <sz val="11"/>
        <color theme="1"/>
        <rFont val="Calibri"/>
        <family val="2"/>
        <scheme val="minor"/>
      </rPr>
      <t>886,40 m²</t>
    </r>
    <r>
      <rPr>
        <sz val="11"/>
        <color theme="1"/>
        <rFont val="Calibri"/>
        <family val="2"/>
        <scheme val="minor"/>
      </rPr>
      <t xml:space="preserve">; Rua Pedro Alves Cabral + Rua Jose Pereira Fontes: 369,00m x (6,8+6,48+5,4+6,85+7,05+7,0+7,05+7,50+7,7+6,0+ 4,97+ 5,57+ 6,0)/13 = </t>
    </r>
    <r>
      <rPr>
        <b/>
        <sz val="11"/>
        <color theme="1"/>
        <rFont val="Calibri"/>
        <family val="2"/>
        <scheme val="minor"/>
      </rPr>
      <t>2.394,81 m²</t>
    </r>
    <r>
      <rPr>
        <sz val="11"/>
        <color theme="1"/>
        <rFont val="Calibri"/>
        <family val="2"/>
        <scheme val="minor"/>
      </rPr>
      <t xml:space="preserve">; Rua Maria José: 45,40 m x(5,36+4,20)/2 = </t>
    </r>
    <r>
      <rPr>
        <b/>
        <sz val="11"/>
        <color theme="1"/>
        <rFont val="Calibri"/>
        <family val="2"/>
        <scheme val="minor"/>
      </rPr>
      <t>217,01 m²</t>
    </r>
    <r>
      <rPr>
        <sz val="11"/>
        <color theme="1"/>
        <rFont val="Calibri"/>
        <family val="2"/>
        <scheme val="minor"/>
      </rPr>
      <t xml:space="preserve">; Rua Otaviano Fontes: 252,72 m x (5,30+5,28+5,15+4,77+5,48+5,60+5,10)/7 = </t>
    </r>
    <r>
      <rPr>
        <b/>
        <sz val="11"/>
        <color theme="1"/>
        <rFont val="Calibri"/>
        <family val="2"/>
        <scheme val="minor"/>
      </rPr>
      <t>1.324,25 m²</t>
    </r>
    <r>
      <rPr>
        <sz val="11"/>
        <color theme="1"/>
        <rFont val="Calibri"/>
        <family val="2"/>
        <scheme val="minor"/>
      </rPr>
      <t xml:space="preserve">; Rua Quatro de Outubro: 298,18 m x (7,0+4,96+5,48+5,57+5,20+ 4,77+ 4,82)/7 = </t>
    </r>
    <r>
      <rPr>
        <b/>
        <sz val="11"/>
        <color theme="1"/>
        <rFont val="Calibri"/>
        <family val="2"/>
        <scheme val="minor"/>
      </rPr>
      <t>1.610,17 m²</t>
    </r>
    <r>
      <rPr>
        <sz val="11"/>
        <color theme="1"/>
        <rFont val="Calibri"/>
        <family val="2"/>
        <scheme val="minor"/>
      </rPr>
      <t xml:space="preserve">; Rua Prof. Clotilde Meira = 126,60 m x (7,0+6,26+6,69+7,05)/4 = </t>
    </r>
    <r>
      <rPr>
        <b/>
        <sz val="11"/>
        <color theme="1"/>
        <rFont val="Calibri"/>
        <family val="2"/>
        <scheme val="minor"/>
      </rPr>
      <t>854,55 m²</t>
    </r>
    <r>
      <rPr>
        <sz val="11"/>
        <color theme="1"/>
        <rFont val="Calibri"/>
        <family val="2"/>
        <scheme val="minor"/>
      </rPr>
      <t xml:space="preserve">; Rua Sady Fernandes = 200,00 m x (9,30+9,4+9,6+9,65+7,9)/5 = </t>
    </r>
    <r>
      <rPr>
        <b/>
        <sz val="11"/>
        <color theme="1"/>
        <rFont val="Calibri"/>
        <family val="2"/>
        <scheme val="minor"/>
      </rPr>
      <t>1.834,00 m²</t>
    </r>
    <r>
      <rPr>
        <sz val="11"/>
        <color theme="1"/>
        <rFont val="Calibri"/>
        <family val="2"/>
        <scheme val="minor"/>
      </rPr>
      <t xml:space="preserve">; Rua Dr. José Mariz + Tv. Hélio Silva + Rua Júlio Melo = 422,90 m x (5,9+4,5+3,9+ 3,3+5,6+5,35+ 5,3+5,6+ 5,3+4,9+6,15+5,6+5,68+5,97)/14 = 2.206,63 m² mais trapézio de (5,9+7,8)*25,5/2 = 174,67, totalizando: </t>
    </r>
    <r>
      <rPr>
        <b/>
        <sz val="11"/>
        <color theme="1"/>
        <rFont val="Calibri"/>
        <family val="2"/>
        <scheme val="minor"/>
      </rPr>
      <t>2.381,30 m²</t>
    </r>
    <r>
      <rPr>
        <sz val="11"/>
        <color theme="1"/>
        <rFont val="Calibri"/>
        <family val="2"/>
        <scheme val="minor"/>
      </rPr>
      <t xml:space="preserve">; Rua VIcente Damião = 421,6 m x (6,95+ 5,64+ 5,63+ 5,8+ 5,5+ 5,1+5,55+5,4+5,15+5,18)/10 = </t>
    </r>
    <r>
      <rPr>
        <b/>
        <sz val="11"/>
        <color theme="1"/>
        <rFont val="Calibri"/>
        <family val="2"/>
        <scheme val="minor"/>
      </rPr>
      <t>2.356,74 m²</t>
    </r>
    <r>
      <rPr>
        <sz val="11"/>
        <color theme="1"/>
        <rFont val="Calibri"/>
        <family val="2"/>
        <scheme val="minor"/>
      </rPr>
      <t xml:space="preserve">; Rua Francisco Paulo Coelho = 128,30 m x (5,64+4,67+4,94)/3 = </t>
    </r>
    <r>
      <rPr>
        <b/>
        <sz val="11"/>
        <color theme="1"/>
        <rFont val="Calibri"/>
        <family val="2"/>
        <scheme val="minor"/>
      </rPr>
      <t>652,19 m²</t>
    </r>
    <r>
      <rPr>
        <sz val="11"/>
        <color theme="1"/>
        <rFont val="Calibri"/>
        <family val="2"/>
        <scheme val="minor"/>
      </rPr>
      <t xml:space="preserve">; Rua Manoel Belarmino (trecho 02) = 94,4 m x (5,38+5,36+5,9)/3 = </t>
    </r>
    <r>
      <rPr>
        <b/>
        <sz val="11"/>
        <color theme="1"/>
        <rFont val="Calibri"/>
        <family val="2"/>
        <scheme val="minor"/>
      </rPr>
      <t>523,60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>TOTALIZANDO: 19.625,05 M²</t>
    </r>
  </si>
  <si>
    <t>05/09/2024 a 01/10/2024</t>
  </si>
  <si>
    <t>(Área total x 0,04 m de altura) x densidade de 2,40 t/ m³ MAIS quebramola de 0,06 m de área de face * 9,40 m de comprimento = 0,56 m³ * 2,40 t/m³ = 1,35 t</t>
  </si>
  <si>
    <t>MEMORIA DE CALCULO - BM 04</t>
  </si>
  <si>
    <t>04</t>
  </si>
  <si>
    <t>02/10/2024 a 17/03/2025</t>
  </si>
  <si>
    <r>
      <t xml:space="preserve">Bairro Dr. Zeze e Zú Silva: Rua Vicente Ribeiro - 99,50 m x (6,40+6,10+5,90)/3 = </t>
    </r>
    <r>
      <rPr>
        <b/>
        <sz val="11"/>
        <color theme="1"/>
        <rFont val="Calibri"/>
        <family val="2"/>
        <scheme val="minor"/>
      </rPr>
      <t>610,26 m²</t>
    </r>
    <r>
      <rPr>
        <sz val="11"/>
        <color theme="1"/>
        <rFont val="Calibri"/>
        <family val="2"/>
        <scheme val="minor"/>
      </rPr>
      <t xml:space="preserve">. Rua Maria Dolores Nóbrega: 84,90 m x (4,90+5,20+5,50)/3 = </t>
    </r>
    <r>
      <rPr>
        <b/>
        <sz val="11"/>
        <color theme="1"/>
        <rFont val="Calibri"/>
        <family val="2"/>
        <scheme val="minor"/>
      </rPr>
      <t>441,48 m²</t>
    </r>
    <r>
      <rPr>
        <sz val="11"/>
        <color theme="1"/>
        <rFont val="Calibri"/>
        <family val="2"/>
        <scheme val="minor"/>
      </rPr>
      <t xml:space="preserve">. Travessa Flavio de Lira - 44 m x 4,75 = </t>
    </r>
    <r>
      <rPr>
        <b/>
        <sz val="11"/>
        <color theme="1"/>
        <rFont val="Calibri"/>
        <family val="2"/>
        <scheme val="minor"/>
      </rPr>
      <t>209,00 m²</t>
    </r>
    <r>
      <rPr>
        <sz val="11"/>
        <color theme="1"/>
        <rFont val="Calibri"/>
        <family val="2"/>
        <scheme val="minor"/>
      </rPr>
      <t xml:space="preserve">. Travessa João de Deus: 44,70 m x 4,87 = </t>
    </r>
    <r>
      <rPr>
        <b/>
        <sz val="11"/>
        <color theme="1"/>
        <rFont val="Calibri"/>
        <family val="2"/>
        <scheme val="minor"/>
      </rPr>
      <t>217,69 m²</t>
    </r>
    <r>
      <rPr>
        <sz val="11"/>
        <color theme="1"/>
        <rFont val="Calibri"/>
        <family val="2"/>
        <scheme val="minor"/>
      </rPr>
      <t xml:space="preserve">. Travessa Antônio Jose: 94,50 m x (4,60+4,45+4,90)/3 = </t>
    </r>
    <r>
      <rPr>
        <b/>
        <sz val="11"/>
        <color theme="1"/>
        <rFont val="Calibri"/>
        <family val="2"/>
        <scheme val="minor"/>
      </rPr>
      <t>439,42 m²</t>
    </r>
    <r>
      <rPr>
        <sz val="11"/>
        <color theme="1"/>
        <rFont val="Calibri"/>
        <family val="2"/>
        <scheme val="minor"/>
      </rPr>
      <t xml:space="preserve">. Travessa Jackson de Almeida: 47,10 m x 5,00 = </t>
    </r>
    <r>
      <rPr>
        <b/>
        <sz val="11"/>
        <color theme="1"/>
        <rFont val="Calibri"/>
        <family val="2"/>
        <scheme val="minor"/>
      </rPr>
      <t>235,50 m²</t>
    </r>
    <r>
      <rPr>
        <sz val="11"/>
        <color theme="1"/>
        <rFont val="Calibri"/>
        <family val="2"/>
        <scheme val="minor"/>
      </rPr>
      <t xml:space="preserve">. Travessa Manoel Zuza: 46,00 m x 5,15 = </t>
    </r>
    <r>
      <rPr>
        <b/>
        <sz val="11"/>
        <color theme="1"/>
        <rFont val="Calibri"/>
        <family val="2"/>
        <scheme val="minor"/>
      </rPr>
      <t>236,90 m²</t>
    </r>
    <r>
      <rPr>
        <sz val="11"/>
        <color theme="1"/>
        <rFont val="Calibri"/>
        <family val="2"/>
        <scheme val="minor"/>
      </rPr>
      <t xml:space="preserve">. Travessa Patrícia: 44,80 * 5,05 = </t>
    </r>
    <r>
      <rPr>
        <b/>
        <sz val="11"/>
        <color theme="1"/>
        <rFont val="Calibri"/>
        <family val="2"/>
        <scheme val="minor"/>
      </rPr>
      <t>226,24 m²</t>
    </r>
    <r>
      <rPr>
        <sz val="11"/>
        <color theme="1"/>
        <rFont val="Calibri"/>
        <family val="2"/>
        <scheme val="minor"/>
      </rPr>
      <t xml:space="preserve">. Travessa Celestino de Paula: 45,90 * 5,05 = </t>
    </r>
    <r>
      <rPr>
        <b/>
        <sz val="11"/>
        <color theme="1"/>
        <rFont val="Calibri"/>
        <family val="2"/>
        <scheme val="minor"/>
      </rPr>
      <t>231,79 m²</t>
    </r>
    <r>
      <rPr>
        <sz val="11"/>
        <color theme="1"/>
        <rFont val="Calibri"/>
        <family val="2"/>
        <scheme val="minor"/>
      </rPr>
      <t xml:space="preserve">. Travessa Benício Alves Vieira: 38,30 m x 4,85 = </t>
    </r>
    <r>
      <rPr>
        <b/>
        <sz val="11"/>
        <color theme="1"/>
        <rFont val="Calibri"/>
        <family val="2"/>
        <scheme val="minor"/>
      </rPr>
      <t>185,75 m²</t>
    </r>
    <r>
      <rPr>
        <sz val="11"/>
        <color theme="1"/>
        <rFont val="Calibri"/>
        <family val="2"/>
        <scheme val="minor"/>
      </rPr>
      <t xml:space="preserve">. Rua Francisco Paulo Coelho: 218,60 m x (4,6+4,3+4,7+4,4+4,2+4,5)/6 = </t>
    </r>
    <r>
      <rPr>
        <b/>
        <sz val="11"/>
        <color theme="1"/>
        <rFont val="Calibri"/>
        <family val="2"/>
        <scheme val="minor"/>
      </rPr>
      <t>972,77 m²</t>
    </r>
    <r>
      <rPr>
        <sz val="11"/>
        <color theme="1"/>
        <rFont val="Calibri"/>
        <family val="2"/>
        <scheme val="minor"/>
      </rPr>
      <t xml:space="preserve">. Rua Padre Ibiapina 173,40x (5,0+4,6+4,7+4,8+5)/5 = </t>
    </r>
    <r>
      <rPr>
        <b/>
        <sz val="11"/>
        <color theme="1"/>
        <rFont val="Calibri"/>
        <family val="2"/>
        <scheme val="minor"/>
      </rPr>
      <t>835,79 m²</t>
    </r>
    <r>
      <rPr>
        <sz val="11"/>
        <color theme="1"/>
        <rFont val="Calibri"/>
        <family val="2"/>
        <scheme val="minor"/>
      </rPr>
      <t xml:space="preserve">. Rua Raimundo Braga Rolim Filho: 274,60 m x (5,1+4,35+4,35+4,6+4,5+4,5+5,3)/7 =  </t>
    </r>
    <r>
      <rPr>
        <b/>
        <sz val="11"/>
        <color theme="1"/>
        <rFont val="Calibri"/>
        <family val="2"/>
        <scheme val="minor"/>
      </rPr>
      <t>1.282,77 m²</t>
    </r>
    <r>
      <rPr>
        <sz val="11"/>
        <color theme="1"/>
        <rFont val="Calibri"/>
        <family val="2"/>
        <scheme val="minor"/>
      </rPr>
      <t xml:space="preserve">. BAIRRO GUANABARA: Rua Nivaldo Gomes de Sá: 85,10 m x (6,4+6,4+6,32+6,12)/4 = </t>
    </r>
    <r>
      <rPr>
        <b/>
        <sz val="11"/>
        <color theme="1"/>
        <rFont val="Calibri"/>
        <family val="2"/>
        <scheme val="minor"/>
      </rPr>
      <t>536,98 m²</t>
    </r>
    <r>
      <rPr>
        <sz val="11"/>
        <color theme="1"/>
        <rFont val="Calibri"/>
        <family val="2"/>
        <scheme val="minor"/>
      </rPr>
      <t xml:space="preserve">. Rua Alexandre M. Formiga: 137,60 m x (5,5+5,55+5,0+5,42+5,5+5,55)/6 = </t>
    </r>
    <r>
      <rPr>
        <b/>
        <sz val="11"/>
        <color theme="1"/>
        <rFont val="Calibri"/>
        <family val="2"/>
        <scheme val="minor"/>
      </rPr>
      <t>745,79 m²</t>
    </r>
    <r>
      <rPr>
        <sz val="11"/>
        <color theme="1"/>
        <rFont val="Calibri"/>
        <family val="2"/>
        <scheme val="minor"/>
      </rPr>
      <t xml:space="preserve">. Rua Telegrafista Antonio Amorim: 104,20 m x (5,75+5,62+5,48+5,65+5,85)/5 = </t>
    </r>
    <r>
      <rPr>
        <b/>
        <sz val="11"/>
        <color theme="1"/>
        <rFont val="Calibri"/>
        <family val="2"/>
        <scheme val="minor"/>
      </rPr>
      <t>590,81 m²</t>
    </r>
    <r>
      <rPr>
        <sz val="11"/>
        <color theme="1"/>
        <rFont val="Calibri"/>
        <family val="2"/>
        <scheme val="minor"/>
      </rPr>
      <t xml:space="preserve">. Rua Maria do Socorro M. dos Santos: 143,50 m x (6,25+4,95+4,50+3,90)/4 = </t>
    </r>
    <r>
      <rPr>
        <b/>
        <sz val="11"/>
        <color theme="1"/>
        <rFont val="Calibri"/>
        <family val="2"/>
        <scheme val="minor"/>
      </rPr>
      <t>703,15 m²</t>
    </r>
    <r>
      <rPr>
        <sz val="11"/>
        <color theme="1"/>
        <rFont val="Calibri"/>
        <family val="2"/>
        <scheme val="minor"/>
      </rPr>
      <t xml:space="preserve">. Rua Antonio Vicente de Sousa: 181,40 m x (4,15+4,0 + 3,85+ 4,1+ 3,5)/5 = </t>
    </r>
    <r>
      <rPr>
        <b/>
        <sz val="11"/>
        <color theme="1"/>
        <rFont val="Calibri"/>
        <family val="2"/>
        <scheme val="minor"/>
      </rPr>
      <t>711,08 m²</t>
    </r>
    <r>
      <rPr>
        <sz val="11"/>
        <color theme="1"/>
        <rFont val="Calibri"/>
        <family val="2"/>
        <scheme val="minor"/>
      </rPr>
      <t xml:space="preserve">. Rua Jose Alexandre dos Santos: 103,0 m x (5,7+5,7+6,2)/ 3 = </t>
    </r>
    <r>
      <rPr>
        <b/>
        <sz val="11"/>
        <color theme="1"/>
        <rFont val="Calibri"/>
        <family val="2"/>
        <scheme val="minor"/>
      </rPr>
      <t>604,26 m²</t>
    </r>
    <r>
      <rPr>
        <sz val="11"/>
        <color theme="1"/>
        <rFont val="Calibri"/>
        <family val="2"/>
        <scheme val="minor"/>
      </rPr>
      <t xml:space="preserve">. Rua Francisco G. Ribeiro: 76,00 m x (5,0+4,7+4,7+4,2)/4 = </t>
    </r>
    <r>
      <rPr>
        <b/>
        <sz val="11"/>
        <color theme="1"/>
        <rFont val="Calibri"/>
        <family val="2"/>
        <scheme val="minor"/>
      </rPr>
      <t>353,40 m²</t>
    </r>
    <r>
      <rPr>
        <sz val="11"/>
        <color theme="1"/>
        <rFont val="Calibri"/>
        <family val="2"/>
        <scheme val="minor"/>
      </rPr>
      <t xml:space="preserve">. BAIRRO JARDIM SANTANA: Rua Vicente Manoel: 85,30 x (4,3+4,8+4,7+4,3)/4 = </t>
    </r>
    <r>
      <rPr>
        <b/>
        <sz val="11"/>
        <color theme="1"/>
        <rFont val="Calibri"/>
        <family val="2"/>
        <scheme val="minor"/>
      </rPr>
      <t>385,98 m²</t>
    </r>
    <r>
      <rPr>
        <sz val="11"/>
        <color theme="1"/>
        <rFont val="Calibri"/>
        <family val="2"/>
        <scheme val="minor"/>
      </rPr>
      <t xml:space="preserve">. Rua Manoel Galdino da Costa: 301,60 m x (5,45+5,2+5,9+5,55+5,35+4,9+3,2+5,4+4,95+5,35+5,15+6,3)/12 = </t>
    </r>
    <r>
      <rPr>
        <b/>
        <sz val="11"/>
        <color theme="1"/>
        <rFont val="Calibri"/>
        <family val="2"/>
        <scheme val="minor"/>
      </rPr>
      <t>1.575,86 m²</t>
    </r>
    <r>
      <rPr>
        <sz val="11"/>
        <color theme="1"/>
        <rFont val="Calibri"/>
        <family val="2"/>
        <scheme val="minor"/>
      </rPr>
      <t xml:space="preserve">. Rua Manoel Belarmino: 90,40 x (6,6+5,4+5,4+5,4)/ 4  = </t>
    </r>
    <r>
      <rPr>
        <b/>
        <sz val="11"/>
        <color theme="1"/>
        <rFont val="Calibri"/>
        <family val="2"/>
        <scheme val="minor"/>
      </rPr>
      <t>515,28 m²</t>
    </r>
    <r>
      <rPr>
        <sz val="11"/>
        <color theme="1"/>
        <rFont val="Calibri"/>
        <family val="2"/>
        <scheme val="minor"/>
      </rPr>
      <t xml:space="preserve">.Rua Otaviano Fontes: 66,60 x (5,1+4,7+5,25)/3 = </t>
    </r>
    <r>
      <rPr>
        <b/>
        <sz val="11"/>
        <color theme="1"/>
        <rFont val="Calibri"/>
        <family val="2"/>
        <scheme val="minor"/>
      </rPr>
      <t>334,11 m²</t>
    </r>
    <r>
      <rPr>
        <sz val="11"/>
        <color theme="1"/>
        <rFont val="Calibri"/>
        <family val="2"/>
        <scheme val="minor"/>
      </rPr>
      <t xml:space="preserve">. Rua Quatro de Outubro: 121,00 m x (8,3+4,88+4,84+7)/4 = </t>
    </r>
    <r>
      <rPr>
        <b/>
        <sz val="11"/>
        <color theme="1"/>
        <rFont val="Calibri"/>
        <family val="2"/>
        <scheme val="minor"/>
      </rPr>
      <t>756,85 m²</t>
    </r>
    <r>
      <rPr>
        <sz val="11"/>
        <color theme="1"/>
        <rFont val="Calibri"/>
        <family val="2"/>
        <scheme val="minor"/>
      </rPr>
      <t xml:space="preserve">. Rua Expedito Gonçalves dos Santos: 240,14 m x (5,1+4,6+4,95+4,78+5,56+5,5)/6 = </t>
    </r>
    <r>
      <rPr>
        <b/>
        <sz val="11"/>
        <color theme="1"/>
        <rFont val="Calibri"/>
        <family val="2"/>
        <scheme val="minor"/>
      </rPr>
      <t>1.220,31 m²</t>
    </r>
    <r>
      <rPr>
        <sz val="11"/>
        <color theme="1"/>
        <rFont val="Calibri"/>
        <family val="2"/>
        <scheme val="minor"/>
      </rPr>
      <t xml:space="preserve">. Travessa Rita de Cassia: 33,0 x 4,20 = </t>
    </r>
    <r>
      <rPr>
        <b/>
        <sz val="11"/>
        <color theme="1"/>
        <rFont val="Calibri"/>
        <family val="2"/>
        <scheme val="minor"/>
      </rPr>
      <t>138,60 m²</t>
    </r>
    <r>
      <rPr>
        <sz val="11"/>
        <color theme="1"/>
        <rFont val="Calibri"/>
        <family val="2"/>
        <scheme val="minor"/>
      </rPr>
      <t>.</t>
    </r>
  </si>
  <si>
    <t>(Área total x 0,04 m de altura) x densidade de 2,40 t/ m³</t>
  </si>
  <si>
    <t>Total de CAP 50/70 x distância de 465 km (CORREÇÃO QUE NOS 3 BMS ANTERIORES ESTAVA PAGANDO O RR-2C COMO MATERIAL A QUENTE) PORTANTO: VALOR TOTAL ACUMULADO DE TRANSPORTE A QUENTE É: 144.210,45 T.KM (BM01 - 47.588,10+ BM 02: 15.521,70 + BM 03: 45.588,60+ BM 04: 35.512,10)</t>
  </si>
  <si>
    <t>Total de RR-2C x distancia de 465 km (CORREÇÃO QUE NOS 3 BMS ANTERIORES ESTAVA PAGANDO O CAP COMO MATERIAL A FRIO). VALOR TOTAL ACUMULADO DE TRANSPORTE A FRIO É 14.438,25 T.KM (BM01 - 4.766,25+ BM 02: 1.553,1 + BM 03: 4.561,65 + BM 04: 3.557,25)</t>
  </si>
  <si>
    <t>Sinalização das ruas do contrato (memória em anexo) - 2.182,02 m²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</si>
  <si>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</si>
  <si>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</si>
  <si>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</si>
  <si>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</si>
  <si>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</si>
  <si>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</si>
  <si>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t>MEMORIA DE CALCULO - BM 05</t>
  </si>
  <si>
    <t>05</t>
  </si>
  <si>
    <t>Total de CAP 50/70 x distância de 465 km</t>
  </si>
  <si>
    <t>(Área total das ruas dos BMs 02,03 e 04 x 0,01 m de altura) x densidade de 2,40 t/ m³ - tendo em vista que as ruas foram executadas com 5 cm e nos referidos BMs foram pagas com 4 cm (BM 02 - 6.686,65 m² + BM 03 - 19.625,05 + parte do BM 04 - 620 m²)</t>
  </si>
  <si>
    <t>18/03/2025 a 02/05/2025</t>
  </si>
  <si>
    <t>REPROGRAMAÇÃO DO ORÇAMENTO</t>
  </si>
  <si>
    <t>Data da reprogramação</t>
  </si>
  <si>
    <t>Alterada</t>
  </si>
  <si>
    <t>Após reprogramação</t>
  </si>
  <si>
    <t>1.5</t>
  </si>
  <si>
    <t>1.5.1</t>
  </si>
  <si>
    <t>TOTAIS</t>
  </si>
  <si>
    <t>orçamento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</si>
</sst>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7" fontId="5" fillId="0" borderId="0" xfId="3" applyNumberFormat="1" applyFont="1" applyAlignment="1">
      <alignment vertical="center"/>
    </xf>
    <xf numFmtId="164" fontId="2" fillId="0" borderId="0" xfId="2" applyFont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lef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3" fontId="9" fillId="0" borderId="14" xfId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</cellXfs>
  <cellStyles count="5">
    <cellStyle name="20% - Ênfase1" xfId="4" builtinId="30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topLeftCell="A6" zoomScale="90" zoomScaleNormal="100" zoomScaleSheetLayoutView="90" workbookViewId="0">
      <selection activeCell="G6" sqref="G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113" t="s">
        <v>31</v>
      </c>
      <c r="B1" s="114"/>
      <c r="C1" s="114"/>
      <c r="D1" s="114"/>
      <c r="E1" s="114"/>
      <c r="F1" s="114"/>
      <c r="G1" s="114"/>
      <c r="H1" s="114"/>
      <c r="I1" s="115"/>
      <c r="J1" s="3" t="s">
        <v>2</v>
      </c>
    </row>
    <row r="2" spans="1:10" s="5" customFormat="1" ht="16.5" customHeight="1" x14ac:dyDescent="0.25">
      <c r="A2" s="116"/>
      <c r="B2" s="117"/>
      <c r="C2" s="117"/>
      <c r="D2" s="117"/>
      <c r="E2" s="117"/>
      <c r="F2" s="117"/>
      <c r="G2" s="117"/>
      <c r="H2" s="117"/>
      <c r="I2" s="118"/>
      <c r="J2" s="45" t="s">
        <v>3</v>
      </c>
    </row>
    <row r="3" spans="1:10" s="5" customFormat="1" ht="18.75" customHeight="1" x14ac:dyDescent="0.25">
      <c r="A3" s="77" t="s">
        <v>32</v>
      </c>
      <c r="B3" s="79"/>
      <c r="C3" s="77" t="s">
        <v>33</v>
      </c>
      <c r="D3" s="78"/>
      <c r="E3" s="78"/>
      <c r="F3" s="79"/>
      <c r="G3" s="77" t="s">
        <v>34</v>
      </c>
      <c r="H3" s="79"/>
      <c r="I3" s="46" t="s">
        <v>35</v>
      </c>
      <c r="J3" s="46" t="s">
        <v>45</v>
      </c>
    </row>
    <row r="4" spans="1:10" s="5" customFormat="1" ht="21.75" customHeight="1" x14ac:dyDescent="0.25">
      <c r="A4" s="109" t="s">
        <v>44</v>
      </c>
      <c r="B4" s="110"/>
      <c r="C4" s="111" t="s">
        <v>44</v>
      </c>
      <c r="D4" s="119"/>
      <c r="E4" s="119"/>
      <c r="F4" s="112"/>
      <c r="G4" s="111"/>
      <c r="H4" s="112"/>
      <c r="I4" s="47">
        <v>45464</v>
      </c>
      <c r="J4" s="47" t="s">
        <v>69</v>
      </c>
    </row>
    <row r="5" spans="1:10" s="5" customFormat="1" ht="18.75" customHeight="1" x14ac:dyDescent="0.25">
      <c r="A5" s="77" t="s">
        <v>36</v>
      </c>
      <c r="B5" s="79"/>
      <c r="C5" s="77" t="s">
        <v>37</v>
      </c>
      <c r="D5" s="79"/>
      <c r="E5" s="77" t="s">
        <v>38</v>
      </c>
      <c r="F5" s="79"/>
      <c r="G5" s="46" t="s">
        <v>39</v>
      </c>
      <c r="H5" s="46" t="s">
        <v>40</v>
      </c>
      <c r="I5" s="77" t="s">
        <v>41</v>
      </c>
      <c r="J5" s="79"/>
    </row>
    <row r="6" spans="1:10" s="5" customFormat="1" ht="24" customHeight="1" x14ac:dyDescent="0.25">
      <c r="A6" s="89" t="s">
        <v>46</v>
      </c>
      <c r="B6" s="90"/>
      <c r="C6" s="91"/>
      <c r="D6" s="92"/>
      <c r="E6" s="93"/>
      <c r="F6" s="94"/>
      <c r="G6" s="47">
        <v>45463</v>
      </c>
      <c r="H6" s="47" t="s">
        <v>83</v>
      </c>
      <c r="I6" s="87">
        <v>45511</v>
      </c>
      <c r="J6" s="88"/>
    </row>
    <row r="7" spans="1:10" s="5" customFormat="1" ht="18.75" customHeight="1" x14ac:dyDescent="0.25">
      <c r="A7" s="75" t="s">
        <v>4</v>
      </c>
      <c r="B7" s="76"/>
      <c r="C7" s="77" t="s">
        <v>42</v>
      </c>
      <c r="D7" s="78"/>
      <c r="E7" s="79"/>
      <c r="F7" s="26" t="s">
        <v>43</v>
      </c>
      <c r="G7" s="77" t="s">
        <v>5</v>
      </c>
      <c r="H7" s="79"/>
      <c r="I7" s="77" t="s">
        <v>72</v>
      </c>
      <c r="J7" s="79"/>
    </row>
    <row r="8" spans="1:10" s="5" customFormat="1" ht="48" customHeight="1" x14ac:dyDescent="0.25">
      <c r="A8" s="80" t="s">
        <v>71</v>
      </c>
      <c r="B8" s="81"/>
      <c r="C8" s="82" t="s">
        <v>47</v>
      </c>
      <c r="D8" s="83"/>
      <c r="E8" s="84"/>
      <c r="F8" s="48">
        <v>3921050.63</v>
      </c>
      <c r="G8" s="85">
        <f>BM.01!$I$26</f>
        <v>1152628.07</v>
      </c>
      <c r="H8" s="86"/>
      <c r="I8" s="87" t="s">
        <v>73</v>
      </c>
      <c r="J8" s="88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102" t="s">
        <v>1</v>
      </c>
      <c r="F10" s="102"/>
      <c r="G10" s="102"/>
      <c r="H10" s="103" t="s">
        <v>7</v>
      </c>
      <c r="I10" s="102"/>
      <c r="J10" s="104"/>
    </row>
    <row r="11" spans="1:10" s="5" customFormat="1" x14ac:dyDescent="0.25">
      <c r="A11" s="105" t="s">
        <v>0</v>
      </c>
      <c r="B11" s="106" t="s">
        <v>8</v>
      </c>
      <c r="C11" s="107" t="s">
        <v>9</v>
      </c>
      <c r="D11" s="108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105"/>
      <c r="B12" s="106"/>
      <c r="C12" s="107"/>
      <c r="D12" s="108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50</v>
      </c>
      <c r="C14" s="35"/>
      <c r="D14" s="36"/>
      <c r="E14" s="36"/>
      <c r="F14" s="36"/>
      <c r="G14" s="37"/>
      <c r="H14" s="38">
        <f>SUM(H15:H18)</f>
        <v>1327560.76</v>
      </c>
      <c r="I14" s="38">
        <f>SUM(I15:I18)</f>
        <v>423366.74</v>
      </c>
      <c r="J14" s="38">
        <f>SUM(J15:J18)</f>
        <v>423366.74</v>
      </c>
    </row>
    <row r="15" spans="1:10" s="5" customFormat="1" ht="30" customHeight="1" x14ac:dyDescent="0.25">
      <c r="A15" s="23" t="s">
        <v>20</v>
      </c>
      <c r="B15" s="28" t="s">
        <v>74</v>
      </c>
      <c r="C15" s="29" t="s">
        <v>63</v>
      </c>
      <c r="D15" s="30">
        <v>0.32</v>
      </c>
      <c r="E15" s="30">
        <v>62246.1</v>
      </c>
      <c r="F15" s="32">
        <f>'Memória 01'!E6</f>
        <v>20500.599999999999</v>
      </c>
      <c r="G15" s="30">
        <f>F15</f>
        <v>20500.599999999999</v>
      </c>
      <c r="H15" s="39">
        <f>ROUND(E15*D15,2)</f>
        <v>19918.75</v>
      </c>
      <c r="I15" s="40">
        <f>ROUND(D15*F15,2)</f>
        <v>6560.19</v>
      </c>
      <c r="J15" s="39">
        <f>ROUND(D15*G15,2)</f>
        <v>6560.19</v>
      </c>
    </row>
    <row r="16" spans="1:10" s="5" customFormat="1" ht="30" customHeight="1" x14ac:dyDescent="0.25">
      <c r="A16" s="23" t="s">
        <v>21</v>
      </c>
      <c r="B16" s="25" t="s">
        <v>75</v>
      </c>
      <c r="C16" s="23" t="s">
        <v>64</v>
      </c>
      <c r="D16" s="24">
        <v>191.35</v>
      </c>
      <c r="E16" s="24">
        <v>5975.63</v>
      </c>
      <c r="F16" s="32">
        <f>'Memória 01'!E7</f>
        <v>1968.06</v>
      </c>
      <c r="G16" s="30">
        <f t="shared" ref="G16:G18" si="0">F16</f>
        <v>1968.06</v>
      </c>
      <c r="H16" s="39">
        <f t="shared" ref="H16:H18" si="1">ROUND(E16*D16,2)</f>
        <v>1143436.8</v>
      </c>
      <c r="I16" s="40">
        <f t="shared" ref="I16:I18" si="2">ROUND(D16*F16,2)</f>
        <v>376588.28</v>
      </c>
      <c r="J16" s="39">
        <f t="shared" ref="J16:J18" si="3">ROUND(D16*G16,2)</f>
        <v>376588.28</v>
      </c>
    </row>
    <row r="17" spans="1:11" s="5" customFormat="1" ht="30" customHeight="1" x14ac:dyDescent="0.25">
      <c r="A17" s="23" t="s">
        <v>22</v>
      </c>
      <c r="B17" s="25" t="s">
        <v>52</v>
      </c>
      <c r="C17" s="23" t="s">
        <v>65</v>
      </c>
      <c r="D17" s="24">
        <v>0.85</v>
      </c>
      <c r="E17" s="24">
        <v>179268.77</v>
      </c>
      <c r="F17" s="32">
        <f>'Memória 01'!E8</f>
        <v>4766.25</v>
      </c>
      <c r="G17" s="30">
        <f t="shared" si="0"/>
        <v>4766.25</v>
      </c>
      <c r="H17" s="39">
        <f t="shared" si="1"/>
        <v>152378.45000000001</v>
      </c>
      <c r="I17" s="40">
        <f t="shared" si="2"/>
        <v>4051.31</v>
      </c>
      <c r="J17" s="39">
        <f t="shared" si="3"/>
        <v>4051.31</v>
      </c>
    </row>
    <row r="18" spans="1:11" s="5" customFormat="1" ht="30" customHeight="1" x14ac:dyDescent="0.25">
      <c r="A18" s="23" t="s">
        <v>23</v>
      </c>
      <c r="B18" s="25" t="s">
        <v>51</v>
      </c>
      <c r="C18" s="23" t="s">
        <v>65</v>
      </c>
      <c r="D18" s="24">
        <v>0.76</v>
      </c>
      <c r="E18" s="24">
        <v>15561.53</v>
      </c>
      <c r="F18" s="32">
        <f>'Memória 01'!E9</f>
        <v>47588.1</v>
      </c>
      <c r="G18" s="30">
        <f t="shared" si="0"/>
        <v>47588.1</v>
      </c>
      <c r="H18" s="39">
        <f t="shared" si="1"/>
        <v>11826.76</v>
      </c>
      <c r="I18" s="40">
        <f t="shared" si="2"/>
        <v>36166.959999999999</v>
      </c>
      <c r="J18" s="39">
        <f t="shared" si="3"/>
        <v>36166.959999999999</v>
      </c>
    </row>
    <row r="19" spans="1:11" s="5" customFormat="1" ht="30" customHeight="1" x14ac:dyDescent="0.25">
      <c r="A19" s="33" t="s">
        <v>24</v>
      </c>
      <c r="B19" s="34" t="s">
        <v>53</v>
      </c>
      <c r="C19" s="35"/>
      <c r="D19" s="36"/>
      <c r="E19" s="36"/>
      <c r="F19" s="36"/>
      <c r="G19" s="37"/>
      <c r="H19" s="38">
        <f>H20</f>
        <v>60944.95</v>
      </c>
      <c r="I19" s="38">
        <f>SUM(I20:I20)</f>
        <v>0</v>
      </c>
      <c r="J19" s="38">
        <f>SUM(J20:J20)</f>
        <v>0</v>
      </c>
    </row>
    <row r="20" spans="1:11" s="5" customFormat="1" ht="30" customHeight="1" x14ac:dyDescent="0.25">
      <c r="A20" s="23" t="s">
        <v>26</v>
      </c>
      <c r="B20" s="25" t="s">
        <v>54</v>
      </c>
      <c r="C20" s="23" t="s">
        <v>63</v>
      </c>
      <c r="D20" s="24">
        <v>25.35</v>
      </c>
      <c r="E20" s="24">
        <v>2404.14</v>
      </c>
      <c r="F20" s="32">
        <f>'Memória 01'!E12</f>
        <v>0</v>
      </c>
      <c r="G20" s="30">
        <f>F20</f>
        <v>0</v>
      </c>
      <c r="H20" s="39">
        <f>ROUND(E20*D20,2)</f>
        <v>60944.95</v>
      </c>
      <c r="I20" s="40">
        <f>ROUND(D20*F20,2)</f>
        <v>0</v>
      </c>
      <c r="J20" s="39">
        <f>ROUND(D20*G20,2)</f>
        <v>0</v>
      </c>
    </row>
    <row r="21" spans="1:11" s="5" customFormat="1" ht="30" customHeight="1" x14ac:dyDescent="0.25">
      <c r="A21" s="33" t="s">
        <v>28</v>
      </c>
      <c r="B21" s="34" t="s">
        <v>55</v>
      </c>
      <c r="C21" s="35"/>
      <c r="D21" s="36"/>
      <c r="E21" s="36"/>
      <c r="F21" s="36"/>
      <c r="G21" s="37"/>
      <c r="H21" s="38">
        <f>SUM(H22:H23)</f>
        <v>2531042.2999999998</v>
      </c>
      <c r="I21" s="38">
        <f>SUM(I22:I23)</f>
        <v>729261.33</v>
      </c>
      <c r="J21" s="38">
        <f>SUM(J22:J23)</f>
        <v>729261.33</v>
      </c>
    </row>
    <row r="22" spans="1:11" s="5" customFormat="1" ht="30" customHeight="1" x14ac:dyDescent="0.25">
      <c r="A22" s="23" t="s">
        <v>25</v>
      </c>
      <c r="B22" s="25" t="s">
        <v>77</v>
      </c>
      <c r="C22" s="23" t="s">
        <v>64</v>
      </c>
      <c r="D22" s="24">
        <v>4982.49</v>
      </c>
      <c r="E22" s="24">
        <v>31.12</v>
      </c>
      <c r="F22" s="31">
        <f>'Memória 01'!E15</f>
        <v>10.25</v>
      </c>
      <c r="G22" s="24">
        <f>F22</f>
        <v>10.25</v>
      </c>
      <c r="H22" s="39">
        <f>ROUND(E22*D22,2)</f>
        <v>155055.09</v>
      </c>
      <c r="I22" s="40">
        <f t="shared" ref="I22:I23" si="4">ROUND(D22*F22,2)</f>
        <v>51070.52</v>
      </c>
      <c r="J22" s="39">
        <f t="shared" ref="J22:J23" si="5">ROUND(D22*G22,2)</f>
        <v>51070.52</v>
      </c>
    </row>
    <row r="23" spans="1:11" s="5" customFormat="1" ht="30" customHeight="1" x14ac:dyDescent="0.25">
      <c r="A23" s="23" t="s">
        <v>29</v>
      </c>
      <c r="B23" s="25" t="s">
        <v>56</v>
      </c>
      <c r="C23" s="23" t="s">
        <v>64</v>
      </c>
      <c r="D23" s="24">
        <v>6626.84</v>
      </c>
      <c r="E23" s="24">
        <v>358.54</v>
      </c>
      <c r="F23" s="31">
        <f>'Memória 01'!E16</f>
        <v>102.34</v>
      </c>
      <c r="G23" s="24">
        <f>F23</f>
        <v>102.34</v>
      </c>
      <c r="H23" s="39">
        <f>ROUND(E23*D23,2)</f>
        <v>2375987.21</v>
      </c>
      <c r="I23" s="40">
        <f t="shared" si="4"/>
        <v>678190.81</v>
      </c>
      <c r="J23" s="39">
        <f t="shared" si="5"/>
        <v>678190.81</v>
      </c>
    </row>
    <row r="24" spans="1:11" s="5" customFormat="1" ht="30" customHeight="1" x14ac:dyDescent="0.25">
      <c r="A24" s="33" t="s">
        <v>48</v>
      </c>
      <c r="B24" s="34" t="s">
        <v>57</v>
      </c>
      <c r="C24" s="35"/>
      <c r="D24" s="36"/>
      <c r="E24" s="36"/>
      <c r="F24" s="36"/>
      <c r="G24" s="37"/>
      <c r="H24" s="38">
        <f>H25</f>
        <v>1478.61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49</v>
      </c>
      <c r="B25" s="25" t="s">
        <v>58</v>
      </c>
      <c r="C25" s="23" t="s">
        <v>59</v>
      </c>
      <c r="D25" s="24">
        <v>328.58</v>
      </c>
      <c r="E25" s="24">
        <v>4.5</v>
      </c>
      <c r="F25" s="31">
        <f>'Memória 01'!E18</f>
        <v>0</v>
      </c>
      <c r="G25" s="24">
        <f>F25</f>
        <v>0</v>
      </c>
      <c r="H25" s="39">
        <f>ROUND(E25*D25,2)</f>
        <v>1478.61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95" t="s">
        <v>67</v>
      </c>
      <c r="B26" s="96"/>
      <c r="C26" s="96"/>
      <c r="D26" s="96"/>
      <c r="E26" s="96"/>
      <c r="F26" s="96"/>
      <c r="G26" s="97"/>
      <c r="H26" s="41">
        <f>H14+H19+H21+H24</f>
        <v>3921026.62</v>
      </c>
      <c r="I26" s="41">
        <f>I14+I19+I21+I24</f>
        <v>1152628.07</v>
      </c>
      <c r="J26" s="41">
        <f>J14+J19+J21+J24</f>
        <v>1152628.07</v>
      </c>
      <c r="K26" s="70">
        <f>J26/H26</f>
        <v>0.29399999999999998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98" t="s">
        <v>27</v>
      </c>
      <c r="B28" s="98"/>
      <c r="C28" s="98"/>
      <c r="D28" s="99">
        <f>I26</f>
        <v>1152628.07</v>
      </c>
      <c r="E28" s="99"/>
      <c r="F28" s="100"/>
      <c r="G28" s="100"/>
      <c r="H28" s="100"/>
      <c r="I28" s="100"/>
      <c r="J28" s="100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1"/>
      <c r="H30" s="101"/>
      <c r="I30" s="101"/>
      <c r="J30" s="101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4:B4"/>
    <mergeCell ref="G4:H4"/>
    <mergeCell ref="A3:B3"/>
    <mergeCell ref="G3:H3"/>
    <mergeCell ref="A1:I2"/>
    <mergeCell ref="C3:F3"/>
    <mergeCell ref="C4:F4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E849-48C7-4280-ADFE-537B9E10EDAF}">
  <sheetPr codeName="Plan23"/>
  <dimension ref="A1:L36"/>
  <sheetViews>
    <sheetView tabSelected="1" view="pageBreakPreview" topLeftCell="A4" zoomScale="90" zoomScaleNormal="100" zoomScaleSheetLayoutView="90" workbookViewId="0">
      <selection activeCell="F11" sqref="F11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85546875" style="1" bestFit="1" customWidth="1"/>
    <col min="12" max="12" width="11.7109375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113" t="s">
        <v>31</v>
      </c>
      <c r="B1" s="114"/>
      <c r="C1" s="114"/>
      <c r="D1" s="114"/>
      <c r="E1" s="114"/>
      <c r="F1" s="114"/>
      <c r="G1" s="114"/>
      <c r="H1" s="114"/>
      <c r="I1" s="115"/>
      <c r="J1" s="3" t="s">
        <v>2</v>
      </c>
    </row>
    <row r="2" spans="1:11" s="5" customFormat="1" ht="16.5" customHeight="1" x14ac:dyDescent="0.25">
      <c r="A2" s="116"/>
      <c r="B2" s="117"/>
      <c r="C2" s="117"/>
      <c r="D2" s="117"/>
      <c r="E2" s="117"/>
      <c r="F2" s="117"/>
      <c r="G2" s="117"/>
      <c r="H2" s="117"/>
      <c r="I2" s="118"/>
      <c r="J2" s="45" t="s">
        <v>108</v>
      </c>
    </row>
    <row r="3" spans="1:11" s="5" customFormat="1" ht="18.75" customHeight="1" x14ac:dyDescent="0.25">
      <c r="A3" s="77" t="s">
        <v>32</v>
      </c>
      <c r="B3" s="79"/>
      <c r="C3" s="77" t="s">
        <v>33</v>
      </c>
      <c r="D3" s="78"/>
      <c r="E3" s="78"/>
      <c r="F3" s="79"/>
      <c r="G3" s="77" t="s">
        <v>34</v>
      </c>
      <c r="H3" s="79"/>
      <c r="I3" s="46" t="s">
        <v>35</v>
      </c>
      <c r="J3" s="46" t="s">
        <v>45</v>
      </c>
    </row>
    <row r="4" spans="1:11" s="5" customFormat="1" ht="21.75" customHeight="1" x14ac:dyDescent="0.25">
      <c r="A4" s="109" t="s">
        <v>44</v>
      </c>
      <c r="B4" s="110"/>
      <c r="C4" s="111" t="s">
        <v>44</v>
      </c>
      <c r="D4" s="119"/>
      <c r="E4" s="119"/>
      <c r="F4" s="112"/>
      <c r="G4" s="111"/>
      <c r="H4" s="112"/>
      <c r="I4" s="47">
        <v>45464</v>
      </c>
      <c r="J4" s="47" t="s">
        <v>69</v>
      </c>
    </row>
    <row r="5" spans="1:11" s="5" customFormat="1" ht="18.75" customHeight="1" x14ac:dyDescent="0.25">
      <c r="A5" s="77" t="s">
        <v>36</v>
      </c>
      <c r="B5" s="79"/>
      <c r="C5" s="77" t="s">
        <v>37</v>
      </c>
      <c r="D5" s="79"/>
      <c r="E5" s="77" t="s">
        <v>38</v>
      </c>
      <c r="F5" s="79"/>
      <c r="G5" s="46" t="s">
        <v>39</v>
      </c>
      <c r="H5" s="46" t="s">
        <v>40</v>
      </c>
      <c r="I5" s="77" t="s">
        <v>41</v>
      </c>
      <c r="J5" s="79"/>
    </row>
    <row r="6" spans="1:11" s="5" customFormat="1" ht="24" customHeight="1" x14ac:dyDescent="0.25">
      <c r="A6" s="89" t="s">
        <v>46</v>
      </c>
      <c r="B6" s="90"/>
      <c r="C6" s="91"/>
      <c r="D6" s="92"/>
      <c r="E6" s="93"/>
      <c r="F6" s="94"/>
      <c r="G6" s="47">
        <v>45463</v>
      </c>
      <c r="H6" s="47" t="s">
        <v>83</v>
      </c>
      <c r="I6" s="87">
        <v>45779</v>
      </c>
      <c r="J6" s="88"/>
    </row>
    <row r="7" spans="1:11" s="5" customFormat="1" ht="18.75" customHeight="1" x14ac:dyDescent="0.25">
      <c r="A7" s="75" t="s">
        <v>4</v>
      </c>
      <c r="B7" s="76"/>
      <c r="C7" s="77" t="s">
        <v>42</v>
      </c>
      <c r="D7" s="78"/>
      <c r="E7" s="79"/>
      <c r="F7" s="26" t="s">
        <v>43</v>
      </c>
      <c r="G7" s="77" t="s">
        <v>5</v>
      </c>
      <c r="H7" s="79"/>
      <c r="I7" s="77" t="s">
        <v>72</v>
      </c>
      <c r="J7" s="79"/>
    </row>
    <row r="8" spans="1:11" s="5" customFormat="1" ht="48" customHeight="1" x14ac:dyDescent="0.25">
      <c r="A8" s="80" t="s">
        <v>71</v>
      </c>
      <c r="B8" s="81"/>
      <c r="C8" s="82" t="s">
        <v>47</v>
      </c>
      <c r="D8" s="83"/>
      <c r="E8" s="84"/>
      <c r="F8" s="48">
        <v>3921050.63</v>
      </c>
      <c r="G8" s="85">
        <f>BM.05!$I$26</f>
        <v>359693.43</v>
      </c>
      <c r="H8" s="86"/>
      <c r="I8" s="87" t="s">
        <v>111</v>
      </c>
      <c r="J8" s="88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102" t="s">
        <v>1</v>
      </c>
      <c r="F10" s="102"/>
      <c r="G10" s="102"/>
      <c r="H10" s="103" t="s">
        <v>7</v>
      </c>
      <c r="I10" s="102"/>
      <c r="J10" s="104"/>
    </row>
    <row r="11" spans="1:11" s="5" customFormat="1" x14ac:dyDescent="0.25">
      <c r="A11" s="105" t="s">
        <v>0</v>
      </c>
      <c r="B11" s="106" t="s">
        <v>8</v>
      </c>
      <c r="C11" s="107" t="s">
        <v>9</v>
      </c>
      <c r="D11" s="108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105"/>
      <c r="B12" s="106"/>
      <c r="C12" s="107"/>
      <c r="D12" s="108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50</v>
      </c>
      <c r="C14" s="35"/>
      <c r="D14" s="36"/>
      <c r="E14" s="36"/>
      <c r="F14" s="36"/>
      <c r="G14" s="37"/>
      <c r="H14" s="38">
        <f>SUM(H15:H18)</f>
        <v>1431588.67</v>
      </c>
      <c r="I14" s="38">
        <f>SUM(I15:I18)</f>
        <v>136965.34</v>
      </c>
      <c r="J14" s="38">
        <f>SUM(J15:J18)</f>
        <v>1431588.63</v>
      </c>
      <c r="K14" s="70">
        <f t="shared" ref="K14:K25" si="0">J14/H14</f>
        <v>1</v>
      </c>
    </row>
    <row r="15" spans="1:11" s="5" customFormat="1" ht="30" customHeight="1" x14ac:dyDescent="0.25">
      <c r="A15" s="23" t="s">
        <v>20</v>
      </c>
      <c r="B15" s="28" t="s">
        <v>74</v>
      </c>
      <c r="C15" s="29" t="s">
        <v>63</v>
      </c>
      <c r="D15" s="30">
        <v>0.32</v>
      </c>
      <c r="E15" s="30">
        <v>62110.25</v>
      </c>
      <c r="F15" s="32">
        <f>'Memória 05'!E6</f>
        <v>0</v>
      </c>
      <c r="G15" s="30">
        <f>F15+BM.04!G15</f>
        <v>62110.12</v>
      </c>
      <c r="H15" s="39">
        <f>ROUND(E15*D15,2)</f>
        <v>19875.28</v>
      </c>
      <c r="I15" s="40">
        <f>ROUND(D15*F15,2)</f>
        <v>0</v>
      </c>
      <c r="J15" s="39">
        <f>ROUND(D15*G15,2)</f>
        <v>19875.240000000002</v>
      </c>
      <c r="K15" s="70">
        <f t="shared" si="0"/>
        <v>1</v>
      </c>
    </row>
    <row r="16" spans="1:11" s="5" customFormat="1" ht="30" customHeight="1" x14ac:dyDescent="0.25">
      <c r="A16" s="23" t="s">
        <v>21</v>
      </c>
      <c r="B16" s="25" t="s">
        <v>75</v>
      </c>
      <c r="C16" s="23" t="s">
        <v>64</v>
      </c>
      <c r="D16" s="24">
        <v>191.35</v>
      </c>
      <c r="E16" s="24">
        <v>6610.28</v>
      </c>
      <c r="F16" s="32">
        <f>'Memória 05'!E7</f>
        <v>646.36</v>
      </c>
      <c r="G16" s="30">
        <f>F16+BM.04!G16</f>
        <v>6610.28</v>
      </c>
      <c r="H16" s="39">
        <f t="shared" ref="H16:H18" si="1">ROUND(E16*D16,2)</f>
        <v>1264877.08</v>
      </c>
      <c r="I16" s="40">
        <f t="shared" ref="I16:I18" si="2">ROUND(D16*F16,2)</f>
        <v>123680.99</v>
      </c>
      <c r="J16" s="39">
        <f t="shared" ref="J16:J18" si="3">ROUND(D16*G16,2)</f>
        <v>1264877.08</v>
      </c>
      <c r="K16" s="70">
        <f t="shared" si="0"/>
        <v>1</v>
      </c>
    </row>
    <row r="17" spans="1:12" s="5" customFormat="1" ht="30" customHeight="1" x14ac:dyDescent="0.25">
      <c r="A17" s="23" t="s">
        <v>22</v>
      </c>
      <c r="B17" s="25" t="s">
        <v>52</v>
      </c>
      <c r="C17" s="23" t="s">
        <v>65</v>
      </c>
      <c r="D17" s="24">
        <v>0.85</v>
      </c>
      <c r="E17" s="24">
        <v>159839.1</v>
      </c>
      <c r="F17" s="32">
        <f>'Memória 05'!E8</f>
        <v>15628.65</v>
      </c>
      <c r="G17" s="30">
        <f>F17+BM.04!G17</f>
        <v>159839.1</v>
      </c>
      <c r="H17" s="39">
        <f t="shared" si="1"/>
        <v>135863.24</v>
      </c>
      <c r="I17" s="40">
        <f t="shared" si="2"/>
        <v>13284.35</v>
      </c>
      <c r="J17" s="39">
        <f t="shared" si="3"/>
        <v>135863.24</v>
      </c>
      <c r="K17" s="70">
        <f t="shared" si="0"/>
        <v>1</v>
      </c>
    </row>
    <row r="18" spans="1:12" s="5" customFormat="1" ht="30" customHeight="1" x14ac:dyDescent="0.25">
      <c r="A18" s="23" t="s">
        <v>23</v>
      </c>
      <c r="B18" s="25" t="s">
        <v>51</v>
      </c>
      <c r="C18" s="23" t="s">
        <v>65</v>
      </c>
      <c r="D18" s="24">
        <v>0.76</v>
      </c>
      <c r="E18" s="24">
        <v>14438.25</v>
      </c>
      <c r="F18" s="32">
        <f>'Memória 05'!E9</f>
        <v>0</v>
      </c>
      <c r="G18" s="30">
        <f>F18+BM.04!G18</f>
        <v>14438.25</v>
      </c>
      <c r="H18" s="39">
        <f t="shared" si="1"/>
        <v>10973.07</v>
      </c>
      <c r="I18" s="40">
        <f t="shared" si="2"/>
        <v>0</v>
      </c>
      <c r="J18" s="39">
        <f t="shared" si="3"/>
        <v>10973.07</v>
      </c>
      <c r="K18" s="70">
        <f t="shared" si="0"/>
        <v>1</v>
      </c>
    </row>
    <row r="19" spans="1:12" s="5" customFormat="1" ht="30" customHeight="1" x14ac:dyDescent="0.25">
      <c r="A19" s="33" t="s">
        <v>24</v>
      </c>
      <c r="B19" s="34" t="s">
        <v>53</v>
      </c>
      <c r="C19" s="35"/>
      <c r="D19" s="36"/>
      <c r="E19" s="36"/>
      <c r="F19" s="36"/>
      <c r="G19" s="36"/>
      <c r="H19" s="38">
        <f>H20</f>
        <v>55343.11</v>
      </c>
      <c r="I19" s="38">
        <f>SUM(I20:I20)</f>
        <v>0</v>
      </c>
      <c r="J19" s="38">
        <f>SUM(J20:J20)</f>
        <v>55314.21</v>
      </c>
      <c r="K19" s="70">
        <f t="shared" si="0"/>
        <v>0.99950000000000006</v>
      </c>
    </row>
    <row r="20" spans="1:12" s="5" customFormat="1" ht="30" customHeight="1" x14ac:dyDescent="0.25">
      <c r="A20" s="23" t="s">
        <v>26</v>
      </c>
      <c r="B20" s="25" t="s">
        <v>54</v>
      </c>
      <c r="C20" s="23" t="s">
        <v>63</v>
      </c>
      <c r="D20" s="24">
        <v>25.35</v>
      </c>
      <c r="E20" s="24">
        <v>2183.16</v>
      </c>
      <c r="F20" s="32">
        <f>'Memória 05'!E11</f>
        <v>0</v>
      </c>
      <c r="G20" s="30">
        <f>F20+BM.04!G20</f>
        <v>2182.02</v>
      </c>
      <c r="H20" s="39">
        <f>ROUND(E20*D20,2)</f>
        <v>55343.11</v>
      </c>
      <c r="I20" s="40">
        <f>ROUND(D20*F20,2)</f>
        <v>0</v>
      </c>
      <c r="J20" s="39">
        <f>ROUND(D20*G20,2)</f>
        <v>55314.21</v>
      </c>
      <c r="K20" s="70">
        <f t="shared" si="0"/>
        <v>0.99950000000000006</v>
      </c>
    </row>
    <row r="21" spans="1:12" s="5" customFormat="1" ht="30" customHeight="1" x14ac:dyDescent="0.25">
      <c r="A21" s="33" t="s">
        <v>28</v>
      </c>
      <c r="B21" s="34" t="s">
        <v>55</v>
      </c>
      <c r="C21" s="35"/>
      <c r="D21" s="36"/>
      <c r="E21" s="36"/>
      <c r="F21" s="36"/>
      <c r="G21" s="36"/>
      <c r="H21" s="38">
        <f>SUM(H22:H23)</f>
        <v>2432616.29</v>
      </c>
      <c r="I21" s="38">
        <f>SUM(I22:I23)</f>
        <v>222728.09</v>
      </c>
      <c r="J21" s="38">
        <f>SUM(J22:J23)</f>
        <v>2432616.29</v>
      </c>
      <c r="K21" s="70">
        <f t="shared" si="0"/>
        <v>1</v>
      </c>
    </row>
    <row r="22" spans="1:12" s="5" customFormat="1" ht="30" customHeight="1" x14ac:dyDescent="0.25">
      <c r="A22" s="23" t="s">
        <v>25</v>
      </c>
      <c r="B22" s="25" t="s">
        <v>77</v>
      </c>
      <c r="C22" s="23" t="s">
        <v>64</v>
      </c>
      <c r="D22" s="24">
        <v>4982.49</v>
      </c>
      <c r="E22" s="24">
        <v>31.05</v>
      </c>
      <c r="F22" s="32">
        <f>'Memória 05'!E13</f>
        <v>0</v>
      </c>
      <c r="G22" s="30">
        <f>F22+BM.04!G22</f>
        <v>31.05</v>
      </c>
      <c r="H22" s="39">
        <f>ROUND(E22*D22,2)</f>
        <v>154706.31</v>
      </c>
      <c r="I22" s="40">
        <f t="shared" ref="I22:I23" si="4">ROUND(D22*F22,2)</f>
        <v>0</v>
      </c>
      <c r="J22" s="39">
        <f t="shared" ref="J22:J23" si="5">ROUND(D22*G22,2)</f>
        <v>154706.31</v>
      </c>
      <c r="K22" s="70">
        <f t="shared" si="0"/>
        <v>1</v>
      </c>
    </row>
    <row r="23" spans="1:12" s="5" customFormat="1" ht="30" customHeight="1" x14ac:dyDescent="0.25">
      <c r="A23" s="23" t="s">
        <v>29</v>
      </c>
      <c r="B23" s="25" t="s">
        <v>56</v>
      </c>
      <c r="C23" s="23" t="s">
        <v>64</v>
      </c>
      <c r="D23" s="24">
        <v>6626.84</v>
      </c>
      <c r="E23" s="24">
        <v>343.74</v>
      </c>
      <c r="F23" s="32">
        <f>'Memória 05'!E14</f>
        <v>33.61</v>
      </c>
      <c r="G23" s="30">
        <f>F23+BM.04!G23</f>
        <v>343.74</v>
      </c>
      <c r="H23" s="39">
        <f>ROUND(E23*D23,2)</f>
        <v>2277909.98</v>
      </c>
      <c r="I23" s="40">
        <f t="shared" si="4"/>
        <v>222728.09</v>
      </c>
      <c r="J23" s="39">
        <f t="shared" si="5"/>
        <v>2277909.98</v>
      </c>
      <c r="K23" s="70">
        <f t="shared" si="0"/>
        <v>1</v>
      </c>
    </row>
    <row r="24" spans="1:12" s="5" customFormat="1" ht="30" customHeight="1" x14ac:dyDescent="0.25">
      <c r="A24" s="33" t="s">
        <v>48</v>
      </c>
      <c r="B24" s="34" t="s">
        <v>57</v>
      </c>
      <c r="C24" s="35"/>
      <c r="D24" s="36"/>
      <c r="E24" s="36"/>
      <c r="F24" s="36"/>
      <c r="G24" s="36"/>
      <c r="H24" s="38">
        <f>H25</f>
        <v>1478.61</v>
      </c>
      <c r="I24" s="38">
        <f>SUM(I25:I25)</f>
        <v>0</v>
      </c>
      <c r="J24" s="38">
        <f>SUM(J25:J25)</f>
        <v>0</v>
      </c>
      <c r="K24" s="70">
        <f t="shared" si="0"/>
        <v>0</v>
      </c>
    </row>
    <row r="25" spans="1:12" s="5" customFormat="1" ht="30" customHeight="1" x14ac:dyDescent="0.25">
      <c r="A25" s="23" t="s">
        <v>49</v>
      </c>
      <c r="B25" s="25" t="s">
        <v>58</v>
      </c>
      <c r="C25" s="23" t="s">
        <v>59</v>
      </c>
      <c r="D25" s="24">
        <v>328.58</v>
      </c>
      <c r="E25" s="24">
        <v>4.5</v>
      </c>
      <c r="F25" s="32">
        <f>'Memória 05'!E16</f>
        <v>0</v>
      </c>
      <c r="G25" s="30">
        <f>F25+BM.04!G25</f>
        <v>0</v>
      </c>
      <c r="H25" s="39">
        <f>ROUND(E25*D25,2)</f>
        <v>1478.61</v>
      </c>
      <c r="I25" s="40">
        <f>ROUND(D25*F25,2)</f>
        <v>0</v>
      </c>
      <c r="J25" s="39">
        <f>ROUND(D25*G25,2)</f>
        <v>0</v>
      </c>
      <c r="K25" s="70">
        <f t="shared" si="0"/>
        <v>0</v>
      </c>
    </row>
    <row r="26" spans="1:12" s="5" customFormat="1" ht="30" customHeight="1" x14ac:dyDescent="0.25">
      <c r="A26" s="95" t="s">
        <v>67</v>
      </c>
      <c r="B26" s="96"/>
      <c r="C26" s="96"/>
      <c r="D26" s="96"/>
      <c r="E26" s="96"/>
      <c r="F26" s="96"/>
      <c r="G26" s="97"/>
      <c r="H26" s="41">
        <f>H14+H19+H21+H24</f>
        <v>3921026.68</v>
      </c>
      <c r="I26" s="41">
        <f>I14+I19+I21+I24</f>
        <v>359693.43</v>
      </c>
      <c r="J26" s="41">
        <f>J14+J19+J21+J24</f>
        <v>3919519.13</v>
      </c>
      <c r="K26" s="70">
        <f>J26/H26</f>
        <v>0.99960000000000004</v>
      </c>
      <c r="L26" s="72">
        <f>I26-BM.04!L26</f>
        <v>-1507.5</v>
      </c>
    </row>
    <row r="27" spans="1:12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2" ht="22.5" customHeight="1" x14ac:dyDescent="0.25">
      <c r="A28" s="98" t="s">
        <v>27</v>
      </c>
      <c r="B28" s="98"/>
      <c r="C28" s="98"/>
      <c r="D28" s="99">
        <f>I26</f>
        <v>359693.43</v>
      </c>
      <c r="E28" s="99"/>
      <c r="F28" s="100"/>
      <c r="G28" s="100"/>
      <c r="H28" s="100"/>
      <c r="I28" s="100"/>
      <c r="J28" s="100"/>
      <c r="K28" s="71"/>
    </row>
    <row r="29" spans="1:12" ht="8.25" customHeight="1" x14ac:dyDescent="0.25">
      <c r="C29" s="18"/>
      <c r="E29" s="19"/>
      <c r="F29" s="19"/>
    </row>
    <row r="30" spans="1:12" ht="17.25" customHeight="1" x14ac:dyDescent="0.25">
      <c r="C30" s="20"/>
      <c r="D30" s="20"/>
      <c r="E30" s="20"/>
      <c r="G30" s="101"/>
      <c r="H30" s="101"/>
      <c r="I30" s="101"/>
      <c r="J30" s="101"/>
    </row>
    <row r="31" spans="1:12" ht="6" customHeight="1" x14ac:dyDescent="0.25"/>
    <row r="34" spans="2:10" ht="15" x14ac:dyDescent="0.25">
      <c r="B34" s="62" t="s">
        <v>101</v>
      </c>
      <c r="D34" t="s">
        <v>102</v>
      </c>
      <c r="E34"/>
      <c r="F34"/>
      <c r="G34"/>
      <c r="H34" s="123" t="s">
        <v>103</v>
      </c>
      <c r="I34" s="123"/>
      <c r="J34" s="123"/>
    </row>
    <row r="35" spans="2:10" ht="15" x14ac:dyDescent="0.25">
      <c r="B35" s="62" t="s">
        <v>104</v>
      </c>
      <c r="C35" s="123" t="s">
        <v>105</v>
      </c>
      <c r="D35" s="123"/>
      <c r="E35" s="123"/>
      <c r="F35" s="123"/>
      <c r="G35" s="123"/>
      <c r="H35" s="123" t="s">
        <v>106</v>
      </c>
      <c r="I35" s="123"/>
      <c r="J35" s="123"/>
    </row>
    <row r="36" spans="2:10" x14ac:dyDescent="0.25">
      <c r="J36" s="44"/>
    </row>
  </sheetData>
  <mergeCells count="37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C35:G35"/>
    <mergeCell ref="H35:J35"/>
    <mergeCell ref="A26:G26"/>
    <mergeCell ref="A28:C28"/>
    <mergeCell ref="D28:E28"/>
    <mergeCell ref="F28:J28"/>
    <mergeCell ref="G30:J30"/>
    <mergeCell ref="H34:J3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222E-AD70-4809-8199-23C8BF715E7B}">
  <dimension ref="A1:G18"/>
  <sheetViews>
    <sheetView view="pageBreakPreview" zoomScale="90" zoomScaleNormal="100" zoomScaleSheetLayoutView="90" workbookViewId="0">
      <selection activeCell="F7" sqref="F7"/>
    </sheetView>
  </sheetViews>
  <sheetFormatPr defaultRowHeight="15" x14ac:dyDescent="0.25"/>
  <cols>
    <col min="2" max="2" width="51.7109375" style="69" customWidth="1"/>
    <col min="3" max="3" width="9.140625" style="62"/>
    <col min="4" max="4" width="105.5703125" customWidth="1"/>
    <col min="5" max="5" width="10.7109375" style="49" customWidth="1"/>
    <col min="6" max="6" width="11.42578125" customWidth="1"/>
    <col min="7" max="7" width="10.7109375" customWidth="1"/>
  </cols>
  <sheetData>
    <row r="1" spans="1:7" ht="26.25" x14ac:dyDescent="0.25">
      <c r="A1" s="120" t="s">
        <v>107</v>
      </c>
      <c r="B1" s="121"/>
      <c r="C1" s="121"/>
      <c r="D1" s="122"/>
    </row>
    <row r="3" spans="1:7" x14ac:dyDescent="0.25">
      <c r="A3" s="50" t="s">
        <v>0</v>
      </c>
      <c r="B3" s="51" t="s">
        <v>60</v>
      </c>
      <c r="C3" s="50" t="s">
        <v>61</v>
      </c>
      <c r="D3" s="50" t="s">
        <v>62</v>
      </c>
    </row>
    <row r="4" spans="1:7" x14ac:dyDescent="0.25">
      <c r="A4" s="52"/>
      <c r="B4" s="53"/>
      <c r="C4" s="54"/>
      <c r="D4" s="52"/>
    </row>
    <row r="5" spans="1:7" x14ac:dyDescent="0.25">
      <c r="A5" s="55" t="s">
        <v>19</v>
      </c>
      <c r="B5" s="56" t="s">
        <v>50</v>
      </c>
      <c r="C5" s="57"/>
      <c r="D5" s="58"/>
    </row>
    <row r="6" spans="1:7" x14ac:dyDescent="0.25">
      <c r="A6" s="59" t="s">
        <v>20</v>
      </c>
      <c r="B6" s="60" t="str">
        <f>BM.01!B15</f>
        <v>PINTURA DE LIGACAO EXCLUSIVE LIGANTE</v>
      </c>
      <c r="C6" s="61" t="s">
        <v>63</v>
      </c>
      <c r="D6" s="53"/>
      <c r="F6" s="49">
        <f>BM.04!G15-BM.01!G15</f>
        <v>41609.519999999997</v>
      </c>
      <c r="G6" s="62"/>
    </row>
    <row r="7" spans="1:7" ht="45" x14ac:dyDescent="0.25">
      <c r="A7" s="59" t="s">
        <v>21</v>
      </c>
      <c r="B7" s="60" t="str">
        <f>BM.01!B16</f>
        <v>CBUQ COM BRITA COMERCIAL EXCL LIGANTE</v>
      </c>
      <c r="C7" s="61" t="s">
        <v>64</v>
      </c>
      <c r="D7" s="63" t="s">
        <v>110</v>
      </c>
      <c r="E7" s="49">
        <f>((6686.65+19625.05+620)*0.01*2.4)</f>
        <v>646.36</v>
      </c>
      <c r="F7" s="49">
        <f>BM.04!F15-620</f>
        <v>14677.82</v>
      </c>
    </row>
    <row r="8" spans="1:7" x14ac:dyDescent="0.25">
      <c r="A8" s="59" t="s">
        <v>22</v>
      </c>
      <c r="B8" s="60" t="str">
        <f>BM.01!B17</f>
        <v>TRANSPORTE DE MATERIAIS ASFALTICO A QUENTE</v>
      </c>
      <c r="C8" s="61" t="s">
        <v>65</v>
      </c>
      <c r="D8" s="53" t="s">
        <v>109</v>
      </c>
      <c r="E8" s="49">
        <f>E14*465</f>
        <v>15628.65</v>
      </c>
      <c r="F8" s="49"/>
      <c r="G8" s="49"/>
    </row>
    <row r="9" spans="1:7" x14ac:dyDescent="0.25">
      <c r="A9" s="59" t="s">
        <v>23</v>
      </c>
      <c r="B9" s="60" t="str">
        <f>BM.01!B18</f>
        <v>TRANSPORTE DE MATERIAIS ASFALTICO A FRIO</v>
      </c>
      <c r="C9" s="61" t="s">
        <v>65</v>
      </c>
      <c r="D9" s="53" t="s">
        <v>81</v>
      </c>
      <c r="E9" s="49">
        <f>E13*465</f>
        <v>0</v>
      </c>
      <c r="F9" s="49"/>
      <c r="G9" s="49"/>
    </row>
    <row r="10" spans="1:7" x14ac:dyDescent="0.25">
      <c r="A10" s="55" t="s">
        <v>24</v>
      </c>
      <c r="B10" s="56" t="s">
        <v>53</v>
      </c>
      <c r="C10" s="65"/>
      <c r="D10" s="65"/>
    </row>
    <row r="11" spans="1:7" ht="30" x14ac:dyDescent="0.25">
      <c r="A11" s="59" t="s">
        <v>26</v>
      </c>
      <c r="B11" s="64" t="str">
        <f>BM.01!B20</f>
        <v>SINALIZACAO HORIZONTAL COM TINTA 2 ANOS DURACAO</v>
      </c>
      <c r="C11" s="66" t="s">
        <v>63</v>
      </c>
      <c r="D11" s="53"/>
    </row>
    <row r="12" spans="1:7" x14ac:dyDescent="0.25">
      <c r="A12" s="55" t="s">
        <v>28</v>
      </c>
      <c r="B12" s="56" t="s">
        <v>66</v>
      </c>
      <c r="C12" s="58"/>
      <c r="D12" s="58"/>
    </row>
    <row r="13" spans="1:7" x14ac:dyDescent="0.25">
      <c r="A13" s="59" t="s">
        <v>25</v>
      </c>
      <c r="B13" s="64" t="str">
        <f>BM.01!B22</f>
        <v>EMULSAO ASFALTICA RR-2C EXCLUSIVE TRANSPORTE</v>
      </c>
      <c r="C13" s="54" t="s">
        <v>64</v>
      </c>
      <c r="D13" s="52" t="s">
        <v>78</v>
      </c>
      <c r="E13" s="49">
        <f>E6*0.0005</f>
        <v>0</v>
      </c>
      <c r="F13" s="67"/>
    </row>
    <row r="14" spans="1:7" x14ac:dyDescent="0.25">
      <c r="A14" s="59" t="s">
        <v>29</v>
      </c>
      <c r="B14" s="64" t="str">
        <f>BM.01!B23</f>
        <v xml:space="preserve">CIMENTO ASFALTICO CAP 50/70 EXCLUSIVE TRANSPORTE </v>
      </c>
      <c r="C14" s="54" t="s">
        <v>64</v>
      </c>
      <c r="D14" s="53" t="s">
        <v>80</v>
      </c>
      <c r="E14" s="49">
        <f>E7*0.052</f>
        <v>33.61</v>
      </c>
    </row>
    <row r="15" spans="1:7" x14ac:dyDescent="0.25">
      <c r="A15" s="68" t="str">
        <f>BM.01!A24</f>
        <v>4.0</v>
      </c>
      <c r="B15" s="56" t="str">
        <f>BM.01!B24</f>
        <v>PLACA DA OBRA</v>
      </c>
      <c r="C15" s="58"/>
      <c r="D15" s="58"/>
      <c r="F15" s="49"/>
    </row>
    <row r="16" spans="1:7" x14ac:dyDescent="0.25">
      <c r="A16" s="59" t="s">
        <v>49</v>
      </c>
      <c r="B16" s="64" t="str">
        <f>BM.01!B25</f>
        <v>PLACA INDICATIVA DE OBRA</v>
      </c>
      <c r="C16" s="66" t="s">
        <v>68</v>
      </c>
      <c r="D16" s="52"/>
    </row>
    <row r="18" spans="1:1" x14ac:dyDescent="0.25">
      <c r="A18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303C-8848-4DB1-97AD-E2C26F1B168A}">
  <sheetPr codeName="Plan24"/>
  <dimension ref="A1:D14"/>
  <sheetViews>
    <sheetView view="pageBreakPreview" zoomScale="90" zoomScaleNormal="100" zoomScaleSheetLayoutView="90" workbookViewId="0">
      <selection activeCell="H9" sqref="H9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6.5703125" style="1" customWidth="1"/>
    <col min="5" max="5" width="11.7109375" style="1" bestFit="1" customWidth="1"/>
    <col min="6" max="246" width="9.140625" style="1"/>
    <col min="247" max="247" width="50.85546875" style="1" customWidth="1"/>
    <col min="248" max="248" width="7.5703125" style="1" customWidth="1"/>
    <col min="249" max="249" width="12.42578125" style="1" customWidth="1"/>
    <col min="250" max="250" width="14.42578125" style="1" customWidth="1"/>
    <col min="251" max="251" width="16.7109375" style="1" customWidth="1"/>
    <col min="252" max="252" width="16.5703125" style="1" customWidth="1"/>
    <col min="253" max="253" width="16.28515625" style="1" customWidth="1"/>
    <col min="254" max="254" width="16.5703125" style="1" customWidth="1"/>
    <col min="255" max="255" width="16.85546875" style="1" customWidth="1"/>
    <col min="256" max="256" width="9.140625" style="1"/>
    <col min="257" max="257" width="15.7109375" style="1" customWidth="1"/>
    <col min="258" max="259" width="9.140625" style="1"/>
    <col min="260" max="260" width="12.85546875" style="1" customWidth="1"/>
    <col min="261" max="502" width="9.140625" style="1"/>
    <col min="503" max="503" width="50.85546875" style="1" customWidth="1"/>
    <col min="504" max="504" width="7.5703125" style="1" customWidth="1"/>
    <col min="505" max="505" width="12.42578125" style="1" customWidth="1"/>
    <col min="506" max="506" width="14.42578125" style="1" customWidth="1"/>
    <col min="507" max="507" width="16.7109375" style="1" customWidth="1"/>
    <col min="508" max="508" width="16.5703125" style="1" customWidth="1"/>
    <col min="509" max="509" width="16.28515625" style="1" customWidth="1"/>
    <col min="510" max="510" width="16.5703125" style="1" customWidth="1"/>
    <col min="511" max="511" width="16.85546875" style="1" customWidth="1"/>
    <col min="512" max="512" width="9.140625" style="1"/>
    <col min="513" max="513" width="15.7109375" style="1" customWidth="1"/>
    <col min="514" max="515" width="9.140625" style="1"/>
    <col min="516" max="516" width="12.85546875" style="1" customWidth="1"/>
    <col min="517" max="758" width="9.140625" style="1"/>
    <col min="759" max="759" width="50.85546875" style="1" customWidth="1"/>
    <col min="760" max="760" width="7.5703125" style="1" customWidth="1"/>
    <col min="761" max="761" width="12.42578125" style="1" customWidth="1"/>
    <col min="762" max="762" width="14.42578125" style="1" customWidth="1"/>
    <col min="763" max="763" width="16.7109375" style="1" customWidth="1"/>
    <col min="764" max="764" width="16.5703125" style="1" customWidth="1"/>
    <col min="765" max="765" width="16.28515625" style="1" customWidth="1"/>
    <col min="766" max="766" width="16.5703125" style="1" customWidth="1"/>
    <col min="767" max="767" width="16.85546875" style="1" customWidth="1"/>
    <col min="768" max="768" width="9.140625" style="1"/>
    <col min="769" max="769" width="15.7109375" style="1" customWidth="1"/>
    <col min="770" max="771" width="9.140625" style="1"/>
    <col min="772" max="772" width="12.85546875" style="1" customWidth="1"/>
    <col min="773" max="1014" width="9.140625" style="1"/>
    <col min="1015" max="1015" width="50.85546875" style="1" customWidth="1"/>
    <col min="1016" max="1016" width="7.5703125" style="1" customWidth="1"/>
    <col min="1017" max="1017" width="12.42578125" style="1" customWidth="1"/>
    <col min="1018" max="1018" width="14.42578125" style="1" customWidth="1"/>
    <col min="1019" max="1019" width="16.7109375" style="1" customWidth="1"/>
    <col min="1020" max="1020" width="16.5703125" style="1" customWidth="1"/>
    <col min="1021" max="1021" width="16.28515625" style="1" customWidth="1"/>
    <col min="1022" max="1022" width="16.5703125" style="1" customWidth="1"/>
    <col min="1023" max="1023" width="16.85546875" style="1" customWidth="1"/>
    <col min="1024" max="1024" width="9.140625" style="1"/>
    <col min="1025" max="1025" width="15.7109375" style="1" customWidth="1"/>
    <col min="1026" max="1027" width="9.140625" style="1"/>
    <col min="1028" max="1028" width="12.85546875" style="1" customWidth="1"/>
    <col min="1029" max="1270" width="9.140625" style="1"/>
    <col min="1271" max="1271" width="50.85546875" style="1" customWidth="1"/>
    <col min="1272" max="1272" width="7.5703125" style="1" customWidth="1"/>
    <col min="1273" max="1273" width="12.42578125" style="1" customWidth="1"/>
    <col min="1274" max="1274" width="14.42578125" style="1" customWidth="1"/>
    <col min="1275" max="1275" width="16.7109375" style="1" customWidth="1"/>
    <col min="1276" max="1276" width="16.5703125" style="1" customWidth="1"/>
    <col min="1277" max="1277" width="16.28515625" style="1" customWidth="1"/>
    <col min="1278" max="1278" width="16.5703125" style="1" customWidth="1"/>
    <col min="1279" max="1279" width="16.85546875" style="1" customWidth="1"/>
    <col min="1280" max="1280" width="9.140625" style="1"/>
    <col min="1281" max="1281" width="15.7109375" style="1" customWidth="1"/>
    <col min="1282" max="1283" width="9.140625" style="1"/>
    <col min="1284" max="1284" width="12.85546875" style="1" customWidth="1"/>
    <col min="1285" max="1526" width="9.140625" style="1"/>
    <col min="1527" max="1527" width="50.85546875" style="1" customWidth="1"/>
    <col min="1528" max="1528" width="7.5703125" style="1" customWidth="1"/>
    <col min="1529" max="1529" width="12.42578125" style="1" customWidth="1"/>
    <col min="1530" max="1530" width="14.42578125" style="1" customWidth="1"/>
    <col min="1531" max="1531" width="16.7109375" style="1" customWidth="1"/>
    <col min="1532" max="1532" width="16.5703125" style="1" customWidth="1"/>
    <col min="1533" max="1533" width="16.28515625" style="1" customWidth="1"/>
    <col min="1534" max="1534" width="16.5703125" style="1" customWidth="1"/>
    <col min="1535" max="1535" width="16.85546875" style="1" customWidth="1"/>
    <col min="1536" max="1536" width="9.140625" style="1"/>
    <col min="1537" max="1537" width="15.7109375" style="1" customWidth="1"/>
    <col min="1538" max="1539" width="9.140625" style="1"/>
    <col min="1540" max="1540" width="12.85546875" style="1" customWidth="1"/>
    <col min="1541" max="1782" width="9.140625" style="1"/>
    <col min="1783" max="1783" width="50.85546875" style="1" customWidth="1"/>
    <col min="1784" max="1784" width="7.5703125" style="1" customWidth="1"/>
    <col min="1785" max="1785" width="12.42578125" style="1" customWidth="1"/>
    <col min="1786" max="1786" width="14.42578125" style="1" customWidth="1"/>
    <col min="1787" max="1787" width="16.7109375" style="1" customWidth="1"/>
    <col min="1788" max="1788" width="16.5703125" style="1" customWidth="1"/>
    <col min="1789" max="1789" width="16.28515625" style="1" customWidth="1"/>
    <col min="1790" max="1790" width="16.5703125" style="1" customWidth="1"/>
    <col min="1791" max="1791" width="16.85546875" style="1" customWidth="1"/>
    <col min="1792" max="1792" width="9.140625" style="1"/>
    <col min="1793" max="1793" width="15.7109375" style="1" customWidth="1"/>
    <col min="1794" max="1795" width="9.140625" style="1"/>
    <col min="1796" max="1796" width="12.85546875" style="1" customWidth="1"/>
    <col min="1797" max="2038" width="9.140625" style="1"/>
    <col min="2039" max="2039" width="50.85546875" style="1" customWidth="1"/>
    <col min="2040" max="2040" width="7.5703125" style="1" customWidth="1"/>
    <col min="2041" max="2041" width="12.42578125" style="1" customWidth="1"/>
    <col min="2042" max="2042" width="14.42578125" style="1" customWidth="1"/>
    <col min="2043" max="2043" width="16.7109375" style="1" customWidth="1"/>
    <col min="2044" max="2044" width="16.5703125" style="1" customWidth="1"/>
    <col min="2045" max="2045" width="16.28515625" style="1" customWidth="1"/>
    <col min="2046" max="2046" width="16.5703125" style="1" customWidth="1"/>
    <col min="2047" max="2047" width="16.85546875" style="1" customWidth="1"/>
    <col min="2048" max="2048" width="9.140625" style="1"/>
    <col min="2049" max="2049" width="15.7109375" style="1" customWidth="1"/>
    <col min="2050" max="2051" width="9.140625" style="1"/>
    <col min="2052" max="2052" width="12.85546875" style="1" customWidth="1"/>
    <col min="2053" max="2294" width="9.140625" style="1"/>
    <col min="2295" max="2295" width="50.85546875" style="1" customWidth="1"/>
    <col min="2296" max="2296" width="7.5703125" style="1" customWidth="1"/>
    <col min="2297" max="2297" width="12.42578125" style="1" customWidth="1"/>
    <col min="2298" max="2298" width="14.42578125" style="1" customWidth="1"/>
    <col min="2299" max="2299" width="16.7109375" style="1" customWidth="1"/>
    <col min="2300" max="2300" width="16.5703125" style="1" customWidth="1"/>
    <col min="2301" max="2301" width="16.28515625" style="1" customWidth="1"/>
    <col min="2302" max="2302" width="16.5703125" style="1" customWidth="1"/>
    <col min="2303" max="2303" width="16.85546875" style="1" customWidth="1"/>
    <col min="2304" max="2304" width="9.140625" style="1"/>
    <col min="2305" max="2305" width="15.7109375" style="1" customWidth="1"/>
    <col min="2306" max="2307" width="9.140625" style="1"/>
    <col min="2308" max="2308" width="12.85546875" style="1" customWidth="1"/>
    <col min="2309" max="2550" width="9.140625" style="1"/>
    <col min="2551" max="2551" width="50.85546875" style="1" customWidth="1"/>
    <col min="2552" max="2552" width="7.5703125" style="1" customWidth="1"/>
    <col min="2553" max="2553" width="12.42578125" style="1" customWidth="1"/>
    <col min="2554" max="2554" width="14.42578125" style="1" customWidth="1"/>
    <col min="2555" max="2555" width="16.7109375" style="1" customWidth="1"/>
    <col min="2556" max="2556" width="16.5703125" style="1" customWidth="1"/>
    <col min="2557" max="2557" width="16.28515625" style="1" customWidth="1"/>
    <col min="2558" max="2558" width="16.5703125" style="1" customWidth="1"/>
    <col min="2559" max="2559" width="16.85546875" style="1" customWidth="1"/>
    <col min="2560" max="2560" width="9.140625" style="1"/>
    <col min="2561" max="2561" width="15.7109375" style="1" customWidth="1"/>
    <col min="2562" max="2563" width="9.140625" style="1"/>
    <col min="2564" max="2564" width="12.85546875" style="1" customWidth="1"/>
    <col min="2565" max="2806" width="9.140625" style="1"/>
    <col min="2807" max="2807" width="50.85546875" style="1" customWidth="1"/>
    <col min="2808" max="2808" width="7.5703125" style="1" customWidth="1"/>
    <col min="2809" max="2809" width="12.42578125" style="1" customWidth="1"/>
    <col min="2810" max="2810" width="14.42578125" style="1" customWidth="1"/>
    <col min="2811" max="2811" width="16.7109375" style="1" customWidth="1"/>
    <col min="2812" max="2812" width="16.5703125" style="1" customWidth="1"/>
    <col min="2813" max="2813" width="16.28515625" style="1" customWidth="1"/>
    <col min="2814" max="2814" width="16.5703125" style="1" customWidth="1"/>
    <col min="2815" max="2815" width="16.85546875" style="1" customWidth="1"/>
    <col min="2816" max="2816" width="9.140625" style="1"/>
    <col min="2817" max="2817" width="15.7109375" style="1" customWidth="1"/>
    <col min="2818" max="2819" width="9.140625" style="1"/>
    <col min="2820" max="2820" width="12.85546875" style="1" customWidth="1"/>
    <col min="2821" max="3062" width="9.140625" style="1"/>
    <col min="3063" max="3063" width="50.85546875" style="1" customWidth="1"/>
    <col min="3064" max="3064" width="7.5703125" style="1" customWidth="1"/>
    <col min="3065" max="3065" width="12.42578125" style="1" customWidth="1"/>
    <col min="3066" max="3066" width="14.42578125" style="1" customWidth="1"/>
    <col min="3067" max="3067" width="16.7109375" style="1" customWidth="1"/>
    <col min="3068" max="3068" width="16.5703125" style="1" customWidth="1"/>
    <col min="3069" max="3069" width="16.28515625" style="1" customWidth="1"/>
    <col min="3070" max="3070" width="16.5703125" style="1" customWidth="1"/>
    <col min="3071" max="3071" width="16.85546875" style="1" customWidth="1"/>
    <col min="3072" max="3072" width="9.140625" style="1"/>
    <col min="3073" max="3073" width="15.7109375" style="1" customWidth="1"/>
    <col min="3074" max="3075" width="9.140625" style="1"/>
    <col min="3076" max="3076" width="12.85546875" style="1" customWidth="1"/>
    <col min="3077" max="3318" width="9.140625" style="1"/>
    <col min="3319" max="3319" width="50.85546875" style="1" customWidth="1"/>
    <col min="3320" max="3320" width="7.5703125" style="1" customWidth="1"/>
    <col min="3321" max="3321" width="12.42578125" style="1" customWidth="1"/>
    <col min="3322" max="3322" width="14.42578125" style="1" customWidth="1"/>
    <col min="3323" max="3323" width="16.7109375" style="1" customWidth="1"/>
    <col min="3324" max="3324" width="16.5703125" style="1" customWidth="1"/>
    <col min="3325" max="3325" width="16.28515625" style="1" customWidth="1"/>
    <col min="3326" max="3326" width="16.5703125" style="1" customWidth="1"/>
    <col min="3327" max="3327" width="16.85546875" style="1" customWidth="1"/>
    <col min="3328" max="3328" width="9.140625" style="1"/>
    <col min="3329" max="3329" width="15.7109375" style="1" customWidth="1"/>
    <col min="3330" max="3331" width="9.140625" style="1"/>
    <col min="3332" max="3332" width="12.85546875" style="1" customWidth="1"/>
    <col min="3333" max="3574" width="9.140625" style="1"/>
    <col min="3575" max="3575" width="50.85546875" style="1" customWidth="1"/>
    <col min="3576" max="3576" width="7.5703125" style="1" customWidth="1"/>
    <col min="3577" max="3577" width="12.42578125" style="1" customWidth="1"/>
    <col min="3578" max="3578" width="14.42578125" style="1" customWidth="1"/>
    <col min="3579" max="3579" width="16.7109375" style="1" customWidth="1"/>
    <col min="3580" max="3580" width="16.5703125" style="1" customWidth="1"/>
    <col min="3581" max="3581" width="16.28515625" style="1" customWidth="1"/>
    <col min="3582" max="3582" width="16.5703125" style="1" customWidth="1"/>
    <col min="3583" max="3583" width="16.85546875" style="1" customWidth="1"/>
    <col min="3584" max="3584" width="9.140625" style="1"/>
    <col min="3585" max="3585" width="15.7109375" style="1" customWidth="1"/>
    <col min="3586" max="3587" width="9.140625" style="1"/>
    <col min="3588" max="3588" width="12.85546875" style="1" customWidth="1"/>
    <col min="3589" max="3830" width="9.140625" style="1"/>
    <col min="3831" max="3831" width="50.85546875" style="1" customWidth="1"/>
    <col min="3832" max="3832" width="7.5703125" style="1" customWidth="1"/>
    <col min="3833" max="3833" width="12.42578125" style="1" customWidth="1"/>
    <col min="3834" max="3834" width="14.42578125" style="1" customWidth="1"/>
    <col min="3835" max="3835" width="16.7109375" style="1" customWidth="1"/>
    <col min="3836" max="3836" width="16.5703125" style="1" customWidth="1"/>
    <col min="3837" max="3837" width="16.28515625" style="1" customWidth="1"/>
    <col min="3838" max="3838" width="16.5703125" style="1" customWidth="1"/>
    <col min="3839" max="3839" width="16.85546875" style="1" customWidth="1"/>
    <col min="3840" max="3840" width="9.140625" style="1"/>
    <col min="3841" max="3841" width="15.7109375" style="1" customWidth="1"/>
    <col min="3842" max="3843" width="9.140625" style="1"/>
    <col min="3844" max="3844" width="12.85546875" style="1" customWidth="1"/>
    <col min="3845" max="4086" width="9.140625" style="1"/>
    <col min="4087" max="4087" width="50.85546875" style="1" customWidth="1"/>
    <col min="4088" max="4088" width="7.5703125" style="1" customWidth="1"/>
    <col min="4089" max="4089" width="12.42578125" style="1" customWidth="1"/>
    <col min="4090" max="4090" width="14.42578125" style="1" customWidth="1"/>
    <col min="4091" max="4091" width="16.7109375" style="1" customWidth="1"/>
    <col min="4092" max="4092" width="16.5703125" style="1" customWidth="1"/>
    <col min="4093" max="4093" width="16.28515625" style="1" customWidth="1"/>
    <col min="4094" max="4094" width="16.5703125" style="1" customWidth="1"/>
    <col min="4095" max="4095" width="16.85546875" style="1" customWidth="1"/>
    <col min="4096" max="4096" width="9.140625" style="1"/>
    <col min="4097" max="4097" width="15.7109375" style="1" customWidth="1"/>
    <col min="4098" max="4099" width="9.140625" style="1"/>
    <col min="4100" max="4100" width="12.85546875" style="1" customWidth="1"/>
    <col min="4101" max="4342" width="9.140625" style="1"/>
    <col min="4343" max="4343" width="50.85546875" style="1" customWidth="1"/>
    <col min="4344" max="4344" width="7.5703125" style="1" customWidth="1"/>
    <col min="4345" max="4345" width="12.42578125" style="1" customWidth="1"/>
    <col min="4346" max="4346" width="14.42578125" style="1" customWidth="1"/>
    <col min="4347" max="4347" width="16.7109375" style="1" customWidth="1"/>
    <col min="4348" max="4348" width="16.5703125" style="1" customWidth="1"/>
    <col min="4349" max="4349" width="16.28515625" style="1" customWidth="1"/>
    <col min="4350" max="4350" width="16.5703125" style="1" customWidth="1"/>
    <col min="4351" max="4351" width="16.85546875" style="1" customWidth="1"/>
    <col min="4352" max="4352" width="9.140625" style="1"/>
    <col min="4353" max="4353" width="15.7109375" style="1" customWidth="1"/>
    <col min="4354" max="4355" width="9.140625" style="1"/>
    <col min="4356" max="4356" width="12.85546875" style="1" customWidth="1"/>
    <col min="4357" max="4598" width="9.140625" style="1"/>
    <col min="4599" max="4599" width="50.85546875" style="1" customWidth="1"/>
    <col min="4600" max="4600" width="7.5703125" style="1" customWidth="1"/>
    <col min="4601" max="4601" width="12.42578125" style="1" customWidth="1"/>
    <col min="4602" max="4602" width="14.42578125" style="1" customWidth="1"/>
    <col min="4603" max="4603" width="16.7109375" style="1" customWidth="1"/>
    <col min="4604" max="4604" width="16.5703125" style="1" customWidth="1"/>
    <col min="4605" max="4605" width="16.28515625" style="1" customWidth="1"/>
    <col min="4606" max="4606" width="16.5703125" style="1" customWidth="1"/>
    <col min="4607" max="4607" width="16.85546875" style="1" customWidth="1"/>
    <col min="4608" max="4608" width="9.140625" style="1"/>
    <col min="4609" max="4609" width="15.7109375" style="1" customWidth="1"/>
    <col min="4610" max="4611" width="9.140625" style="1"/>
    <col min="4612" max="4612" width="12.85546875" style="1" customWidth="1"/>
    <col min="4613" max="4854" width="9.140625" style="1"/>
    <col min="4855" max="4855" width="50.85546875" style="1" customWidth="1"/>
    <col min="4856" max="4856" width="7.5703125" style="1" customWidth="1"/>
    <col min="4857" max="4857" width="12.42578125" style="1" customWidth="1"/>
    <col min="4858" max="4858" width="14.42578125" style="1" customWidth="1"/>
    <col min="4859" max="4859" width="16.7109375" style="1" customWidth="1"/>
    <col min="4860" max="4860" width="16.5703125" style="1" customWidth="1"/>
    <col min="4861" max="4861" width="16.28515625" style="1" customWidth="1"/>
    <col min="4862" max="4862" width="16.5703125" style="1" customWidth="1"/>
    <col min="4863" max="4863" width="16.85546875" style="1" customWidth="1"/>
    <col min="4864" max="4864" width="9.140625" style="1"/>
    <col min="4865" max="4865" width="15.7109375" style="1" customWidth="1"/>
    <col min="4866" max="4867" width="9.140625" style="1"/>
    <col min="4868" max="4868" width="12.85546875" style="1" customWidth="1"/>
    <col min="4869" max="5110" width="9.140625" style="1"/>
    <col min="5111" max="5111" width="50.85546875" style="1" customWidth="1"/>
    <col min="5112" max="5112" width="7.5703125" style="1" customWidth="1"/>
    <col min="5113" max="5113" width="12.42578125" style="1" customWidth="1"/>
    <col min="5114" max="5114" width="14.42578125" style="1" customWidth="1"/>
    <col min="5115" max="5115" width="16.7109375" style="1" customWidth="1"/>
    <col min="5116" max="5116" width="16.5703125" style="1" customWidth="1"/>
    <col min="5117" max="5117" width="16.28515625" style="1" customWidth="1"/>
    <col min="5118" max="5118" width="16.5703125" style="1" customWidth="1"/>
    <col min="5119" max="5119" width="16.85546875" style="1" customWidth="1"/>
    <col min="5120" max="5120" width="9.140625" style="1"/>
    <col min="5121" max="5121" width="15.7109375" style="1" customWidth="1"/>
    <col min="5122" max="5123" width="9.140625" style="1"/>
    <col min="5124" max="5124" width="12.85546875" style="1" customWidth="1"/>
    <col min="5125" max="5366" width="9.140625" style="1"/>
    <col min="5367" max="5367" width="50.85546875" style="1" customWidth="1"/>
    <col min="5368" max="5368" width="7.5703125" style="1" customWidth="1"/>
    <col min="5369" max="5369" width="12.42578125" style="1" customWidth="1"/>
    <col min="5370" max="5370" width="14.42578125" style="1" customWidth="1"/>
    <col min="5371" max="5371" width="16.7109375" style="1" customWidth="1"/>
    <col min="5372" max="5372" width="16.5703125" style="1" customWidth="1"/>
    <col min="5373" max="5373" width="16.28515625" style="1" customWidth="1"/>
    <col min="5374" max="5374" width="16.5703125" style="1" customWidth="1"/>
    <col min="5375" max="5375" width="16.85546875" style="1" customWidth="1"/>
    <col min="5376" max="5376" width="9.140625" style="1"/>
    <col min="5377" max="5377" width="15.7109375" style="1" customWidth="1"/>
    <col min="5378" max="5379" width="9.140625" style="1"/>
    <col min="5380" max="5380" width="12.85546875" style="1" customWidth="1"/>
    <col min="5381" max="5622" width="9.140625" style="1"/>
    <col min="5623" max="5623" width="50.85546875" style="1" customWidth="1"/>
    <col min="5624" max="5624" width="7.5703125" style="1" customWidth="1"/>
    <col min="5625" max="5625" width="12.42578125" style="1" customWidth="1"/>
    <col min="5626" max="5626" width="14.42578125" style="1" customWidth="1"/>
    <col min="5627" max="5627" width="16.7109375" style="1" customWidth="1"/>
    <col min="5628" max="5628" width="16.5703125" style="1" customWidth="1"/>
    <col min="5629" max="5629" width="16.28515625" style="1" customWidth="1"/>
    <col min="5630" max="5630" width="16.5703125" style="1" customWidth="1"/>
    <col min="5631" max="5631" width="16.85546875" style="1" customWidth="1"/>
    <col min="5632" max="5632" width="9.140625" style="1"/>
    <col min="5633" max="5633" width="15.7109375" style="1" customWidth="1"/>
    <col min="5634" max="5635" width="9.140625" style="1"/>
    <col min="5636" max="5636" width="12.85546875" style="1" customWidth="1"/>
    <col min="5637" max="5878" width="9.140625" style="1"/>
    <col min="5879" max="5879" width="50.85546875" style="1" customWidth="1"/>
    <col min="5880" max="5880" width="7.5703125" style="1" customWidth="1"/>
    <col min="5881" max="5881" width="12.42578125" style="1" customWidth="1"/>
    <col min="5882" max="5882" width="14.42578125" style="1" customWidth="1"/>
    <col min="5883" max="5883" width="16.7109375" style="1" customWidth="1"/>
    <col min="5884" max="5884" width="16.5703125" style="1" customWidth="1"/>
    <col min="5885" max="5885" width="16.28515625" style="1" customWidth="1"/>
    <col min="5886" max="5886" width="16.5703125" style="1" customWidth="1"/>
    <col min="5887" max="5887" width="16.85546875" style="1" customWidth="1"/>
    <col min="5888" max="5888" width="9.140625" style="1"/>
    <col min="5889" max="5889" width="15.7109375" style="1" customWidth="1"/>
    <col min="5890" max="5891" width="9.140625" style="1"/>
    <col min="5892" max="5892" width="12.85546875" style="1" customWidth="1"/>
    <col min="5893" max="6134" width="9.140625" style="1"/>
    <col min="6135" max="6135" width="50.85546875" style="1" customWidth="1"/>
    <col min="6136" max="6136" width="7.5703125" style="1" customWidth="1"/>
    <col min="6137" max="6137" width="12.42578125" style="1" customWidth="1"/>
    <col min="6138" max="6138" width="14.42578125" style="1" customWidth="1"/>
    <col min="6139" max="6139" width="16.7109375" style="1" customWidth="1"/>
    <col min="6140" max="6140" width="16.5703125" style="1" customWidth="1"/>
    <col min="6141" max="6141" width="16.28515625" style="1" customWidth="1"/>
    <col min="6142" max="6142" width="16.5703125" style="1" customWidth="1"/>
    <col min="6143" max="6143" width="16.85546875" style="1" customWidth="1"/>
    <col min="6144" max="6144" width="9.140625" style="1"/>
    <col min="6145" max="6145" width="15.7109375" style="1" customWidth="1"/>
    <col min="6146" max="6147" width="9.140625" style="1"/>
    <col min="6148" max="6148" width="12.85546875" style="1" customWidth="1"/>
    <col min="6149" max="6390" width="9.140625" style="1"/>
    <col min="6391" max="6391" width="50.85546875" style="1" customWidth="1"/>
    <col min="6392" max="6392" width="7.5703125" style="1" customWidth="1"/>
    <col min="6393" max="6393" width="12.42578125" style="1" customWidth="1"/>
    <col min="6394" max="6394" width="14.42578125" style="1" customWidth="1"/>
    <col min="6395" max="6395" width="16.7109375" style="1" customWidth="1"/>
    <col min="6396" max="6396" width="16.5703125" style="1" customWidth="1"/>
    <col min="6397" max="6397" width="16.28515625" style="1" customWidth="1"/>
    <col min="6398" max="6398" width="16.5703125" style="1" customWidth="1"/>
    <col min="6399" max="6399" width="16.85546875" style="1" customWidth="1"/>
    <col min="6400" max="6400" width="9.140625" style="1"/>
    <col min="6401" max="6401" width="15.7109375" style="1" customWidth="1"/>
    <col min="6402" max="6403" width="9.140625" style="1"/>
    <col min="6404" max="6404" width="12.85546875" style="1" customWidth="1"/>
    <col min="6405" max="6646" width="9.140625" style="1"/>
    <col min="6647" max="6647" width="50.85546875" style="1" customWidth="1"/>
    <col min="6648" max="6648" width="7.5703125" style="1" customWidth="1"/>
    <col min="6649" max="6649" width="12.42578125" style="1" customWidth="1"/>
    <col min="6650" max="6650" width="14.42578125" style="1" customWidth="1"/>
    <col min="6651" max="6651" width="16.7109375" style="1" customWidth="1"/>
    <col min="6652" max="6652" width="16.5703125" style="1" customWidth="1"/>
    <col min="6653" max="6653" width="16.28515625" style="1" customWidth="1"/>
    <col min="6654" max="6654" width="16.5703125" style="1" customWidth="1"/>
    <col min="6655" max="6655" width="16.85546875" style="1" customWidth="1"/>
    <col min="6656" max="6656" width="9.140625" style="1"/>
    <col min="6657" max="6657" width="15.7109375" style="1" customWidth="1"/>
    <col min="6658" max="6659" width="9.140625" style="1"/>
    <col min="6660" max="6660" width="12.85546875" style="1" customWidth="1"/>
    <col min="6661" max="6902" width="9.140625" style="1"/>
    <col min="6903" max="6903" width="50.85546875" style="1" customWidth="1"/>
    <col min="6904" max="6904" width="7.5703125" style="1" customWidth="1"/>
    <col min="6905" max="6905" width="12.42578125" style="1" customWidth="1"/>
    <col min="6906" max="6906" width="14.42578125" style="1" customWidth="1"/>
    <col min="6907" max="6907" width="16.7109375" style="1" customWidth="1"/>
    <col min="6908" max="6908" width="16.5703125" style="1" customWidth="1"/>
    <col min="6909" max="6909" width="16.28515625" style="1" customWidth="1"/>
    <col min="6910" max="6910" width="16.5703125" style="1" customWidth="1"/>
    <col min="6911" max="6911" width="16.85546875" style="1" customWidth="1"/>
    <col min="6912" max="6912" width="9.140625" style="1"/>
    <col min="6913" max="6913" width="15.7109375" style="1" customWidth="1"/>
    <col min="6914" max="6915" width="9.140625" style="1"/>
    <col min="6916" max="6916" width="12.85546875" style="1" customWidth="1"/>
    <col min="6917" max="7158" width="9.140625" style="1"/>
    <col min="7159" max="7159" width="50.85546875" style="1" customWidth="1"/>
    <col min="7160" max="7160" width="7.5703125" style="1" customWidth="1"/>
    <col min="7161" max="7161" width="12.42578125" style="1" customWidth="1"/>
    <col min="7162" max="7162" width="14.42578125" style="1" customWidth="1"/>
    <col min="7163" max="7163" width="16.7109375" style="1" customWidth="1"/>
    <col min="7164" max="7164" width="16.5703125" style="1" customWidth="1"/>
    <col min="7165" max="7165" width="16.28515625" style="1" customWidth="1"/>
    <col min="7166" max="7166" width="16.5703125" style="1" customWidth="1"/>
    <col min="7167" max="7167" width="16.85546875" style="1" customWidth="1"/>
    <col min="7168" max="7168" width="9.140625" style="1"/>
    <col min="7169" max="7169" width="15.7109375" style="1" customWidth="1"/>
    <col min="7170" max="7171" width="9.140625" style="1"/>
    <col min="7172" max="7172" width="12.85546875" style="1" customWidth="1"/>
    <col min="7173" max="7414" width="9.140625" style="1"/>
    <col min="7415" max="7415" width="50.85546875" style="1" customWidth="1"/>
    <col min="7416" max="7416" width="7.5703125" style="1" customWidth="1"/>
    <col min="7417" max="7417" width="12.42578125" style="1" customWidth="1"/>
    <col min="7418" max="7418" width="14.42578125" style="1" customWidth="1"/>
    <col min="7419" max="7419" width="16.7109375" style="1" customWidth="1"/>
    <col min="7420" max="7420" width="16.5703125" style="1" customWidth="1"/>
    <col min="7421" max="7421" width="16.28515625" style="1" customWidth="1"/>
    <col min="7422" max="7422" width="16.5703125" style="1" customWidth="1"/>
    <col min="7423" max="7423" width="16.85546875" style="1" customWidth="1"/>
    <col min="7424" max="7424" width="9.140625" style="1"/>
    <col min="7425" max="7425" width="15.7109375" style="1" customWidth="1"/>
    <col min="7426" max="7427" width="9.140625" style="1"/>
    <col min="7428" max="7428" width="12.85546875" style="1" customWidth="1"/>
    <col min="7429" max="7670" width="9.140625" style="1"/>
    <col min="7671" max="7671" width="50.85546875" style="1" customWidth="1"/>
    <col min="7672" max="7672" width="7.5703125" style="1" customWidth="1"/>
    <col min="7673" max="7673" width="12.42578125" style="1" customWidth="1"/>
    <col min="7674" max="7674" width="14.42578125" style="1" customWidth="1"/>
    <col min="7675" max="7675" width="16.7109375" style="1" customWidth="1"/>
    <col min="7676" max="7676" width="16.5703125" style="1" customWidth="1"/>
    <col min="7677" max="7677" width="16.28515625" style="1" customWidth="1"/>
    <col min="7678" max="7678" width="16.5703125" style="1" customWidth="1"/>
    <col min="7679" max="7679" width="16.85546875" style="1" customWidth="1"/>
    <col min="7680" max="7680" width="9.140625" style="1"/>
    <col min="7681" max="7681" width="15.7109375" style="1" customWidth="1"/>
    <col min="7682" max="7683" width="9.140625" style="1"/>
    <col min="7684" max="7684" width="12.85546875" style="1" customWidth="1"/>
    <col min="7685" max="7926" width="9.140625" style="1"/>
    <col min="7927" max="7927" width="50.85546875" style="1" customWidth="1"/>
    <col min="7928" max="7928" width="7.5703125" style="1" customWidth="1"/>
    <col min="7929" max="7929" width="12.42578125" style="1" customWidth="1"/>
    <col min="7930" max="7930" width="14.42578125" style="1" customWidth="1"/>
    <col min="7931" max="7931" width="16.7109375" style="1" customWidth="1"/>
    <col min="7932" max="7932" width="16.5703125" style="1" customWidth="1"/>
    <col min="7933" max="7933" width="16.28515625" style="1" customWidth="1"/>
    <col min="7934" max="7934" width="16.5703125" style="1" customWidth="1"/>
    <col min="7935" max="7935" width="16.85546875" style="1" customWidth="1"/>
    <col min="7936" max="7936" width="9.140625" style="1"/>
    <col min="7937" max="7937" width="15.7109375" style="1" customWidth="1"/>
    <col min="7938" max="7939" width="9.140625" style="1"/>
    <col min="7940" max="7940" width="12.85546875" style="1" customWidth="1"/>
    <col min="7941" max="8182" width="9.140625" style="1"/>
    <col min="8183" max="8183" width="50.85546875" style="1" customWidth="1"/>
    <col min="8184" max="8184" width="7.5703125" style="1" customWidth="1"/>
    <col min="8185" max="8185" width="12.42578125" style="1" customWidth="1"/>
    <col min="8186" max="8186" width="14.42578125" style="1" customWidth="1"/>
    <col min="8187" max="8187" width="16.7109375" style="1" customWidth="1"/>
    <col min="8188" max="8188" width="16.5703125" style="1" customWidth="1"/>
    <col min="8189" max="8189" width="16.28515625" style="1" customWidth="1"/>
    <col min="8190" max="8190" width="16.5703125" style="1" customWidth="1"/>
    <col min="8191" max="8191" width="16.85546875" style="1" customWidth="1"/>
    <col min="8192" max="8192" width="9.140625" style="1"/>
    <col min="8193" max="8193" width="15.7109375" style="1" customWidth="1"/>
    <col min="8194" max="8195" width="9.140625" style="1"/>
    <col min="8196" max="8196" width="12.85546875" style="1" customWidth="1"/>
    <col min="8197" max="8438" width="9.140625" style="1"/>
    <col min="8439" max="8439" width="50.85546875" style="1" customWidth="1"/>
    <col min="8440" max="8440" width="7.5703125" style="1" customWidth="1"/>
    <col min="8441" max="8441" width="12.42578125" style="1" customWidth="1"/>
    <col min="8442" max="8442" width="14.42578125" style="1" customWidth="1"/>
    <col min="8443" max="8443" width="16.7109375" style="1" customWidth="1"/>
    <col min="8444" max="8444" width="16.5703125" style="1" customWidth="1"/>
    <col min="8445" max="8445" width="16.28515625" style="1" customWidth="1"/>
    <col min="8446" max="8446" width="16.5703125" style="1" customWidth="1"/>
    <col min="8447" max="8447" width="16.85546875" style="1" customWidth="1"/>
    <col min="8448" max="8448" width="9.140625" style="1"/>
    <col min="8449" max="8449" width="15.7109375" style="1" customWidth="1"/>
    <col min="8450" max="8451" width="9.140625" style="1"/>
    <col min="8452" max="8452" width="12.85546875" style="1" customWidth="1"/>
    <col min="8453" max="8694" width="9.140625" style="1"/>
    <col min="8695" max="8695" width="50.85546875" style="1" customWidth="1"/>
    <col min="8696" max="8696" width="7.5703125" style="1" customWidth="1"/>
    <col min="8697" max="8697" width="12.42578125" style="1" customWidth="1"/>
    <col min="8698" max="8698" width="14.42578125" style="1" customWidth="1"/>
    <col min="8699" max="8699" width="16.7109375" style="1" customWidth="1"/>
    <col min="8700" max="8700" width="16.5703125" style="1" customWidth="1"/>
    <col min="8701" max="8701" width="16.28515625" style="1" customWidth="1"/>
    <col min="8702" max="8702" width="16.5703125" style="1" customWidth="1"/>
    <col min="8703" max="8703" width="16.85546875" style="1" customWidth="1"/>
    <col min="8704" max="8704" width="9.140625" style="1"/>
    <col min="8705" max="8705" width="15.7109375" style="1" customWidth="1"/>
    <col min="8706" max="8707" width="9.140625" style="1"/>
    <col min="8708" max="8708" width="12.85546875" style="1" customWidth="1"/>
    <col min="8709" max="8950" width="9.140625" style="1"/>
    <col min="8951" max="8951" width="50.85546875" style="1" customWidth="1"/>
    <col min="8952" max="8952" width="7.5703125" style="1" customWidth="1"/>
    <col min="8953" max="8953" width="12.42578125" style="1" customWidth="1"/>
    <col min="8954" max="8954" width="14.42578125" style="1" customWidth="1"/>
    <col min="8955" max="8955" width="16.7109375" style="1" customWidth="1"/>
    <col min="8956" max="8956" width="16.5703125" style="1" customWidth="1"/>
    <col min="8957" max="8957" width="16.28515625" style="1" customWidth="1"/>
    <col min="8958" max="8958" width="16.5703125" style="1" customWidth="1"/>
    <col min="8959" max="8959" width="16.85546875" style="1" customWidth="1"/>
    <col min="8960" max="8960" width="9.140625" style="1"/>
    <col min="8961" max="8961" width="15.7109375" style="1" customWidth="1"/>
    <col min="8962" max="8963" width="9.140625" style="1"/>
    <col min="8964" max="8964" width="12.85546875" style="1" customWidth="1"/>
    <col min="8965" max="9206" width="9.140625" style="1"/>
    <col min="9207" max="9207" width="50.85546875" style="1" customWidth="1"/>
    <col min="9208" max="9208" width="7.5703125" style="1" customWidth="1"/>
    <col min="9209" max="9209" width="12.42578125" style="1" customWidth="1"/>
    <col min="9210" max="9210" width="14.42578125" style="1" customWidth="1"/>
    <col min="9211" max="9211" width="16.7109375" style="1" customWidth="1"/>
    <col min="9212" max="9212" width="16.5703125" style="1" customWidth="1"/>
    <col min="9213" max="9213" width="16.28515625" style="1" customWidth="1"/>
    <col min="9214" max="9214" width="16.5703125" style="1" customWidth="1"/>
    <col min="9215" max="9215" width="16.85546875" style="1" customWidth="1"/>
    <col min="9216" max="9216" width="9.140625" style="1"/>
    <col min="9217" max="9217" width="15.7109375" style="1" customWidth="1"/>
    <col min="9218" max="9219" width="9.140625" style="1"/>
    <col min="9220" max="9220" width="12.85546875" style="1" customWidth="1"/>
    <col min="9221" max="9462" width="9.140625" style="1"/>
    <col min="9463" max="9463" width="50.85546875" style="1" customWidth="1"/>
    <col min="9464" max="9464" width="7.5703125" style="1" customWidth="1"/>
    <col min="9465" max="9465" width="12.42578125" style="1" customWidth="1"/>
    <col min="9466" max="9466" width="14.42578125" style="1" customWidth="1"/>
    <col min="9467" max="9467" width="16.7109375" style="1" customWidth="1"/>
    <col min="9468" max="9468" width="16.5703125" style="1" customWidth="1"/>
    <col min="9469" max="9469" width="16.28515625" style="1" customWidth="1"/>
    <col min="9470" max="9470" width="16.5703125" style="1" customWidth="1"/>
    <col min="9471" max="9471" width="16.85546875" style="1" customWidth="1"/>
    <col min="9472" max="9472" width="9.140625" style="1"/>
    <col min="9473" max="9473" width="15.7109375" style="1" customWidth="1"/>
    <col min="9474" max="9475" width="9.140625" style="1"/>
    <col min="9476" max="9476" width="12.85546875" style="1" customWidth="1"/>
    <col min="9477" max="9718" width="9.140625" style="1"/>
    <col min="9719" max="9719" width="50.85546875" style="1" customWidth="1"/>
    <col min="9720" max="9720" width="7.5703125" style="1" customWidth="1"/>
    <col min="9721" max="9721" width="12.42578125" style="1" customWidth="1"/>
    <col min="9722" max="9722" width="14.42578125" style="1" customWidth="1"/>
    <col min="9723" max="9723" width="16.7109375" style="1" customWidth="1"/>
    <col min="9724" max="9724" width="16.5703125" style="1" customWidth="1"/>
    <col min="9725" max="9725" width="16.28515625" style="1" customWidth="1"/>
    <col min="9726" max="9726" width="16.5703125" style="1" customWidth="1"/>
    <col min="9727" max="9727" width="16.85546875" style="1" customWidth="1"/>
    <col min="9728" max="9728" width="9.140625" style="1"/>
    <col min="9729" max="9729" width="15.7109375" style="1" customWidth="1"/>
    <col min="9730" max="9731" width="9.140625" style="1"/>
    <col min="9732" max="9732" width="12.85546875" style="1" customWidth="1"/>
    <col min="9733" max="9974" width="9.140625" style="1"/>
    <col min="9975" max="9975" width="50.85546875" style="1" customWidth="1"/>
    <col min="9976" max="9976" width="7.5703125" style="1" customWidth="1"/>
    <col min="9977" max="9977" width="12.42578125" style="1" customWidth="1"/>
    <col min="9978" max="9978" width="14.42578125" style="1" customWidth="1"/>
    <col min="9979" max="9979" width="16.7109375" style="1" customWidth="1"/>
    <col min="9980" max="9980" width="16.5703125" style="1" customWidth="1"/>
    <col min="9981" max="9981" width="16.28515625" style="1" customWidth="1"/>
    <col min="9982" max="9982" width="16.5703125" style="1" customWidth="1"/>
    <col min="9983" max="9983" width="16.85546875" style="1" customWidth="1"/>
    <col min="9984" max="9984" width="9.140625" style="1"/>
    <col min="9985" max="9985" width="15.7109375" style="1" customWidth="1"/>
    <col min="9986" max="9987" width="9.140625" style="1"/>
    <col min="9988" max="9988" width="12.85546875" style="1" customWidth="1"/>
    <col min="9989" max="10230" width="9.140625" style="1"/>
    <col min="10231" max="10231" width="50.85546875" style="1" customWidth="1"/>
    <col min="10232" max="10232" width="7.5703125" style="1" customWidth="1"/>
    <col min="10233" max="10233" width="12.42578125" style="1" customWidth="1"/>
    <col min="10234" max="10234" width="14.42578125" style="1" customWidth="1"/>
    <col min="10235" max="10235" width="16.7109375" style="1" customWidth="1"/>
    <col min="10236" max="10236" width="16.5703125" style="1" customWidth="1"/>
    <col min="10237" max="10237" width="16.28515625" style="1" customWidth="1"/>
    <col min="10238" max="10238" width="16.5703125" style="1" customWidth="1"/>
    <col min="10239" max="10239" width="16.85546875" style="1" customWidth="1"/>
    <col min="10240" max="10240" width="9.140625" style="1"/>
    <col min="10241" max="10241" width="15.7109375" style="1" customWidth="1"/>
    <col min="10242" max="10243" width="9.140625" style="1"/>
    <col min="10244" max="10244" width="12.85546875" style="1" customWidth="1"/>
    <col min="10245" max="10486" width="9.140625" style="1"/>
    <col min="10487" max="10487" width="50.85546875" style="1" customWidth="1"/>
    <col min="10488" max="10488" width="7.5703125" style="1" customWidth="1"/>
    <col min="10489" max="10489" width="12.42578125" style="1" customWidth="1"/>
    <col min="10490" max="10490" width="14.42578125" style="1" customWidth="1"/>
    <col min="10491" max="10491" width="16.7109375" style="1" customWidth="1"/>
    <col min="10492" max="10492" width="16.5703125" style="1" customWidth="1"/>
    <col min="10493" max="10493" width="16.28515625" style="1" customWidth="1"/>
    <col min="10494" max="10494" width="16.5703125" style="1" customWidth="1"/>
    <col min="10495" max="10495" width="16.85546875" style="1" customWidth="1"/>
    <col min="10496" max="10496" width="9.140625" style="1"/>
    <col min="10497" max="10497" width="15.7109375" style="1" customWidth="1"/>
    <col min="10498" max="10499" width="9.140625" style="1"/>
    <col min="10500" max="10500" width="12.85546875" style="1" customWidth="1"/>
    <col min="10501" max="10742" width="9.140625" style="1"/>
    <col min="10743" max="10743" width="50.85546875" style="1" customWidth="1"/>
    <col min="10744" max="10744" width="7.5703125" style="1" customWidth="1"/>
    <col min="10745" max="10745" width="12.42578125" style="1" customWidth="1"/>
    <col min="10746" max="10746" width="14.42578125" style="1" customWidth="1"/>
    <col min="10747" max="10747" width="16.7109375" style="1" customWidth="1"/>
    <col min="10748" max="10748" width="16.5703125" style="1" customWidth="1"/>
    <col min="10749" max="10749" width="16.28515625" style="1" customWidth="1"/>
    <col min="10750" max="10750" width="16.5703125" style="1" customWidth="1"/>
    <col min="10751" max="10751" width="16.85546875" style="1" customWidth="1"/>
    <col min="10752" max="10752" width="9.140625" style="1"/>
    <col min="10753" max="10753" width="15.7109375" style="1" customWidth="1"/>
    <col min="10754" max="10755" width="9.140625" style="1"/>
    <col min="10756" max="10756" width="12.85546875" style="1" customWidth="1"/>
    <col min="10757" max="10998" width="9.140625" style="1"/>
    <col min="10999" max="10999" width="50.85546875" style="1" customWidth="1"/>
    <col min="11000" max="11000" width="7.5703125" style="1" customWidth="1"/>
    <col min="11001" max="11001" width="12.42578125" style="1" customWidth="1"/>
    <col min="11002" max="11002" width="14.42578125" style="1" customWidth="1"/>
    <col min="11003" max="11003" width="16.7109375" style="1" customWidth="1"/>
    <col min="11004" max="11004" width="16.5703125" style="1" customWidth="1"/>
    <col min="11005" max="11005" width="16.28515625" style="1" customWidth="1"/>
    <col min="11006" max="11006" width="16.5703125" style="1" customWidth="1"/>
    <col min="11007" max="11007" width="16.85546875" style="1" customWidth="1"/>
    <col min="11008" max="11008" width="9.140625" style="1"/>
    <col min="11009" max="11009" width="15.7109375" style="1" customWidth="1"/>
    <col min="11010" max="11011" width="9.140625" style="1"/>
    <col min="11012" max="11012" width="12.85546875" style="1" customWidth="1"/>
    <col min="11013" max="11254" width="9.140625" style="1"/>
    <col min="11255" max="11255" width="50.85546875" style="1" customWidth="1"/>
    <col min="11256" max="11256" width="7.5703125" style="1" customWidth="1"/>
    <col min="11257" max="11257" width="12.42578125" style="1" customWidth="1"/>
    <col min="11258" max="11258" width="14.42578125" style="1" customWidth="1"/>
    <col min="11259" max="11259" width="16.7109375" style="1" customWidth="1"/>
    <col min="11260" max="11260" width="16.5703125" style="1" customWidth="1"/>
    <col min="11261" max="11261" width="16.28515625" style="1" customWidth="1"/>
    <col min="11262" max="11262" width="16.5703125" style="1" customWidth="1"/>
    <col min="11263" max="11263" width="16.85546875" style="1" customWidth="1"/>
    <col min="11264" max="11264" width="9.140625" style="1"/>
    <col min="11265" max="11265" width="15.7109375" style="1" customWidth="1"/>
    <col min="11266" max="11267" width="9.140625" style="1"/>
    <col min="11268" max="11268" width="12.85546875" style="1" customWidth="1"/>
    <col min="11269" max="11510" width="9.140625" style="1"/>
    <col min="11511" max="11511" width="50.85546875" style="1" customWidth="1"/>
    <col min="11512" max="11512" width="7.5703125" style="1" customWidth="1"/>
    <col min="11513" max="11513" width="12.42578125" style="1" customWidth="1"/>
    <col min="11514" max="11514" width="14.42578125" style="1" customWidth="1"/>
    <col min="11515" max="11515" width="16.7109375" style="1" customWidth="1"/>
    <col min="11516" max="11516" width="16.5703125" style="1" customWidth="1"/>
    <col min="11517" max="11517" width="16.28515625" style="1" customWidth="1"/>
    <col min="11518" max="11518" width="16.5703125" style="1" customWidth="1"/>
    <col min="11519" max="11519" width="16.85546875" style="1" customWidth="1"/>
    <col min="11520" max="11520" width="9.140625" style="1"/>
    <col min="11521" max="11521" width="15.7109375" style="1" customWidth="1"/>
    <col min="11522" max="11523" width="9.140625" style="1"/>
    <col min="11524" max="11524" width="12.85546875" style="1" customWidth="1"/>
    <col min="11525" max="11766" width="9.140625" style="1"/>
    <col min="11767" max="11767" width="50.85546875" style="1" customWidth="1"/>
    <col min="11768" max="11768" width="7.5703125" style="1" customWidth="1"/>
    <col min="11769" max="11769" width="12.42578125" style="1" customWidth="1"/>
    <col min="11770" max="11770" width="14.42578125" style="1" customWidth="1"/>
    <col min="11771" max="11771" width="16.7109375" style="1" customWidth="1"/>
    <col min="11772" max="11772" width="16.5703125" style="1" customWidth="1"/>
    <col min="11773" max="11773" width="16.28515625" style="1" customWidth="1"/>
    <col min="11774" max="11774" width="16.5703125" style="1" customWidth="1"/>
    <col min="11775" max="11775" width="16.85546875" style="1" customWidth="1"/>
    <col min="11776" max="11776" width="9.140625" style="1"/>
    <col min="11777" max="11777" width="15.7109375" style="1" customWidth="1"/>
    <col min="11778" max="11779" width="9.140625" style="1"/>
    <col min="11780" max="11780" width="12.85546875" style="1" customWidth="1"/>
    <col min="11781" max="12022" width="9.140625" style="1"/>
    <col min="12023" max="12023" width="50.85546875" style="1" customWidth="1"/>
    <col min="12024" max="12024" width="7.5703125" style="1" customWidth="1"/>
    <col min="12025" max="12025" width="12.42578125" style="1" customWidth="1"/>
    <col min="12026" max="12026" width="14.42578125" style="1" customWidth="1"/>
    <col min="12027" max="12027" width="16.7109375" style="1" customWidth="1"/>
    <col min="12028" max="12028" width="16.5703125" style="1" customWidth="1"/>
    <col min="12029" max="12029" width="16.28515625" style="1" customWidth="1"/>
    <col min="12030" max="12030" width="16.5703125" style="1" customWidth="1"/>
    <col min="12031" max="12031" width="16.85546875" style="1" customWidth="1"/>
    <col min="12032" max="12032" width="9.140625" style="1"/>
    <col min="12033" max="12033" width="15.7109375" style="1" customWidth="1"/>
    <col min="12034" max="12035" width="9.140625" style="1"/>
    <col min="12036" max="12036" width="12.85546875" style="1" customWidth="1"/>
    <col min="12037" max="12278" width="9.140625" style="1"/>
    <col min="12279" max="12279" width="50.85546875" style="1" customWidth="1"/>
    <col min="12280" max="12280" width="7.5703125" style="1" customWidth="1"/>
    <col min="12281" max="12281" width="12.42578125" style="1" customWidth="1"/>
    <col min="12282" max="12282" width="14.42578125" style="1" customWidth="1"/>
    <col min="12283" max="12283" width="16.7109375" style="1" customWidth="1"/>
    <col min="12284" max="12284" width="16.5703125" style="1" customWidth="1"/>
    <col min="12285" max="12285" width="16.28515625" style="1" customWidth="1"/>
    <col min="12286" max="12286" width="16.5703125" style="1" customWidth="1"/>
    <col min="12287" max="12287" width="16.85546875" style="1" customWidth="1"/>
    <col min="12288" max="12288" width="9.140625" style="1"/>
    <col min="12289" max="12289" width="15.7109375" style="1" customWidth="1"/>
    <col min="12290" max="12291" width="9.140625" style="1"/>
    <col min="12292" max="12292" width="12.85546875" style="1" customWidth="1"/>
    <col min="12293" max="12534" width="9.140625" style="1"/>
    <col min="12535" max="12535" width="50.85546875" style="1" customWidth="1"/>
    <col min="12536" max="12536" width="7.5703125" style="1" customWidth="1"/>
    <col min="12537" max="12537" width="12.42578125" style="1" customWidth="1"/>
    <col min="12538" max="12538" width="14.42578125" style="1" customWidth="1"/>
    <col min="12539" max="12539" width="16.7109375" style="1" customWidth="1"/>
    <col min="12540" max="12540" width="16.5703125" style="1" customWidth="1"/>
    <col min="12541" max="12541" width="16.28515625" style="1" customWidth="1"/>
    <col min="12542" max="12542" width="16.5703125" style="1" customWidth="1"/>
    <col min="12543" max="12543" width="16.85546875" style="1" customWidth="1"/>
    <col min="12544" max="12544" width="9.140625" style="1"/>
    <col min="12545" max="12545" width="15.7109375" style="1" customWidth="1"/>
    <col min="12546" max="12547" width="9.140625" style="1"/>
    <col min="12548" max="12548" width="12.85546875" style="1" customWidth="1"/>
    <col min="12549" max="12790" width="9.140625" style="1"/>
    <col min="12791" max="12791" width="50.85546875" style="1" customWidth="1"/>
    <col min="12792" max="12792" width="7.5703125" style="1" customWidth="1"/>
    <col min="12793" max="12793" width="12.42578125" style="1" customWidth="1"/>
    <col min="12794" max="12794" width="14.42578125" style="1" customWidth="1"/>
    <col min="12795" max="12795" width="16.7109375" style="1" customWidth="1"/>
    <col min="12796" max="12796" width="16.5703125" style="1" customWidth="1"/>
    <col min="12797" max="12797" width="16.28515625" style="1" customWidth="1"/>
    <col min="12798" max="12798" width="16.5703125" style="1" customWidth="1"/>
    <col min="12799" max="12799" width="16.85546875" style="1" customWidth="1"/>
    <col min="12800" max="12800" width="9.140625" style="1"/>
    <col min="12801" max="12801" width="15.7109375" style="1" customWidth="1"/>
    <col min="12802" max="12803" width="9.140625" style="1"/>
    <col min="12804" max="12804" width="12.85546875" style="1" customWidth="1"/>
    <col min="12805" max="13046" width="9.140625" style="1"/>
    <col min="13047" max="13047" width="50.85546875" style="1" customWidth="1"/>
    <col min="13048" max="13048" width="7.5703125" style="1" customWidth="1"/>
    <col min="13049" max="13049" width="12.42578125" style="1" customWidth="1"/>
    <col min="13050" max="13050" width="14.42578125" style="1" customWidth="1"/>
    <col min="13051" max="13051" width="16.7109375" style="1" customWidth="1"/>
    <col min="13052" max="13052" width="16.5703125" style="1" customWidth="1"/>
    <col min="13053" max="13053" width="16.28515625" style="1" customWidth="1"/>
    <col min="13054" max="13054" width="16.5703125" style="1" customWidth="1"/>
    <col min="13055" max="13055" width="16.85546875" style="1" customWidth="1"/>
    <col min="13056" max="13056" width="9.140625" style="1"/>
    <col min="13057" max="13057" width="15.7109375" style="1" customWidth="1"/>
    <col min="13058" max="13059" width="9.140625" style="1"/>
    <col min="13060" max="13060" width="12.85546875" style="1" customWidth="1"/>
    <col min="13061" max="13302" width="9.140625" style="1"/>
    <col min="13303" max="13303" width="50.85546875" style="1" customWidth="1"/>
    <col min="13304" max="13304" width="7.5703125" style="1" customWidth="1"/>
    <col min="13305" max="13305" width="12.42578125" style="1" customWidth="1"/>
    <col min="13306" max="13306" width="14.42578125" style="1" customWidth="1"/>
    <col min="13307" max="13307" width="16.7109375" style="1" customWidth="1"/>
    <col min="13308" max="13308" width="16.5703125" style="1" customWidth="1"/>
    <col min="13309" max="13309" width="16.28515625" style="1" customWidth="1"/>
    <col min="13310" max="13310" width="16.5703125" style="1" customWidth="1"/>
    <col min="13311" max="13311" width="16.85546875" style="1" customWidth="1"/>
    <col min="13312" max="13312" width="9.140625" style="1"/>
    <col min="13313" max="13313" width="15.7109375" style="1" customWidth="1"/>
    <col min="13314" max="13315" width="9.140625" style="1"/>
    <col min="13316" max="13316" width="12.85546875" style="1" customWidth="1"/>
    <col min="13317" max="13558" width="9.140625" style="1"/>
    <col min="13559" max="13559" width="50.85546875" style="1" customWidth="1"/>
    <col min="13560" max="13560" width="7.5703125" style="1" customWidth="1"/>
    <col min="13561" max="13561" width="12.42578125" style="1" customWidth="1"/>
    <col min="13562" max="13562" width="14.42578125" style="1" customWidth="1"/>
    <col min="13563" max="13563" width="16.7109375" style="1" customWidth="1"/>
    <col min="13564" max="13564" width="16.5703125" style="1" customWidth="1"/>
    <col min="13565" max="13565" width="16.28515625" style="1" customWidth="1"/>
    <col min="13566" max="13566" width="16.5703125" style="1" customWidth="1"/>
    <col min="13567" max="13567" width="16.85546875" style="1" customWidth="1"/>
    <col min="13568" max="13568" width="9.140625" style="1"/>
    <col min="13569" max="13569" width="15.7109375" style="1" customWidth="1"/>
    <col min="13570" max="13571" width="9.140625" style="1"/>
    <col min="13572" max="13572" width="12.85546875" style="1" customWidth="1"/>
    <col min="13573" max="13814" width="9.140625" style="1"/>
    <col min="13815" max="13815" width="50.85546875" style="1" customWidth="1"/>
    <col min="13816" max="13816" width="7.5703125" style="1" customWidth="1"/>
    <col min="13817" max="13817" width="12.42578125" style="1" customWidth="1"/>
    <col min="13818" max="13818" width="14.42578125" style="1" customWidth="1"/>
    <col min="13819" max="13819" width="16.7109375" style="1" customWidth="1"/>
    <col min="13820" max="13820" width="16.5703125" style="1" customWidth="1"/>
    <col min="13821" max="13821" width="16.28515625" style="1" customWidth="1"/>
    <col min="13822" max="13822" width="16.5703125" style="1" customWidth="1"/>
    <col min="13823" max="13823" width="16.85546875" style="1" customWidth="1"/>
    <col min="13824" max="13824" width="9.140625" style="1"/>
    <col min="13825" max="13825" width="15.7109375" style="1" customWidth="1"/>
    <col min="13826" max="13827" width="9.140625" style="1"/>
    <col min="13828" max="13828" width="12.85546875" style="1" customWidth="1"/>
    <col min="13829" max="14070" width="9.140625" style="1"/>
    <col min="14071" max="14071" width="50.85546875" style="1" customWidth="1"/>
    <col min="14072" max="14072" width="7.5703125" style="1" customWidth="1"/>
    <col min="14073" max="14073" width="12.42578125" style="1" customWidth="1"/>
    <col min="14074" max="14074" width="14.42578125" style="1" customWidth="1"/>
    <col min="14075" max="14075" width="16.7109375" style="1" customWidth="1"/>
    <col min="14076" max="14076" width="16.5703125" style="1" customWidth="1"/>
    <col min="14077" max="14077" width="16.28515625" style="1" customWidth="1"/>
    <col min="14078" max="14078" width="16.5703125" style="1" customWidth="1"/>
    <col min="14079" max="14079" width="16.85546875" style="1" customWidth="1"/>
    <col min="14080" max="14080" width="9.140625" style="1"/>
    <col min="14081" max="14081" width="15.7109375" style="1" customWidth="1"/>
    <col min="14082" max="14083" width="9.140625" style="1"/>
    <col min="14084" max="14084" width="12.85546875" style="1" customWidth="1"/>
    <col min="14085" max="14326" width="9.140625" style="1"/>
    <col min="14327" max="14327" width="50.85546875" style="1" customWidth="1"/>
    <col min="14328" max="14328" width="7.5703125" style="1" customWidth="1"/>
    <col min="14329" max="14329" width="12.42578125" style="1" customWidth="1"/>
    <col min="14330" max="14330" width="14.42578125" style="1" customWidth="1"/>
    <col min="14331" max="14331" width="16.7109375" style="1" customWidth="1"/>
    <col min="14332" max="14332" width="16.5703125" style="1" customWidth="1"/>
    <col min="14333" max="14333" width="16.28515625" style="1" customWidth="1"/>
    <col min="14334" max="14334" width="16.5703125" style="1" customWidth="1"/>
    <col min="14335" max="14335" width="16.85546875" style="1" customWidth="1"/>
    <col min="14336" max="14336" width="9.140625" style="1"/>
    <col min="14337" max="14337" width="15.7109375" style="1" customWidth="1"/>
    <col min="14338" max="14339" width="9.140625" style="1"/>
    <col min="14340" max="14340" width="12.85546875" style="1" customWidth="1"/>
    <col min="14341" max="14582" width="9.140625" style="1"/>
    <col min="14583" max="14583" width="50.85546875" style="1" customWidth="1"/>
    <col min="14584" max="14584" width="7.5703125" style="1" customWidth="1"/>
    <col min="14585" max="14585" width="12.42578125" style="1" customWidth="1"/>
    <col min="14586" max="14586" width="14.42578125" style="1" customWidth="1"/>
    <col min="14587" max="14587" width="16.7109375" style="1" customWidth="1"/>
    <col min="14588" max="14588" width="16.5703125" style="1" customWidth="1"/>
    <col min="14589" max="14589" width="16.28515625" style="1" customWidth="1"/>
    <col min="14590" max="14590" width="16.5703125" style="1" customWidth="1"/>
    <col min="14591" max="14591" width="16.85546875" style="1" customWidth="1"/>
    <col min="14592" max="14592" width="9.140625" style="1"/>
    <col min="14593" max="14593" width="15.7109375" style="1" customWidth="1"/>
    <col min="14594" max="14595" width="9.140625" style="1"/>
    <col min="14596" max="14596" width="12.85546875" style="1" customWidth="1"/>
    <col min="14597" max="14838" width="9.140625" style="1"/>
    <col min="14839" max="14839" width="50.85546875" style="1" customWidth="1"/>
    <col min="14840" max="14840" width="7.5703125" style="1" customWidth="1"/>
    <col min="14841" max="14841" width="12.42578125" style="1" customWidth="1"/>
    <col min="14842" max="14842" width="14.42578125" style="1" customWidth="1"/>
    <col min="14843" max="14843" width="16.7109375" style="1" customWidth="1"/>
    <col min="14844" max="14844" width="16.5703125" style="1" customWidth="1"/>
    <col min="14845" max="14845" width="16.28515625" style="1" customWidth="1"/>
    <col min="14846" max="14846" width="16.5703125" style="1" customWidth="1"/>
    <col min="14847" max="14847" width="16.85546875" style="1" customWidth="1"/>
    <col min="14848" max="14848" width="9.140625" style="1"/>
    <col min="14849" max="14849" width="15.7109375" style="1" customWidth="1"/>
    <col min="14850" max="14851" width="9.140625" style="1"/>
    <col min="14852" max="14852" width="12.85546875" style="1" customWidth="1"/>
    <col min="14853" max="15094" width="9.140625" style="1"/>
    <col min="15095" max="15095" width="50.85546875" style="1" customWidth="1"/>
    <col min="15096" max="15096" width="7.5703125" style="1" customWidth="1"/>
    <col min="15097" max="15097" width="12.42578125" style="1" customWidth="1"/>
    <col min="15098" max="15098" width="14.42578125" style="1" customWidth="1"/>
    <col min="15099" max="15099" width="16.7109375" style="1" customWidth="1"/>
    <col min="15100" max="15100" width="16.5703125" style="1" customWidth="1"/>
    <col min="15101" max="15101" width="16.28515625" style="1" customWidth="1"/>
    <col min="15102" max="15102" width="16.5703125" style="1" customWidth="1"/>
    <col min="15103" max="15103" width="16.85546875" style="1" customWidth="1"/>
    <col min="15104" max="15104" width="9.140625" style="1"/>
    <col min="15105" max="15105" width="15.7109375" style="1" customWidth="1"/>
    <col min="15106" max="15107" width="9.140625" style="1"/>
    <col min="15108" max="15108" width="12.85546875" style="1" customWidth="1"/>
    <col min="15109" max="15350" width="9.140625" style="1"/>
    <col min="15351" max="15351" width="50.85546875" style="1" customWidth="1"/>
    <col min="15352" max="15352" width="7.5703125" style="1" customWidth="1"/>
    <col min="15353" max="15353" width="12.42578125" style="1" customWidth="1"/>
    <col min="15354" max="15354" width="14.42578125" style="1" customWidth="1"/>
    <col min="15355" max="15355" width="16.7109375" style="1" customWidth="1"/>
    <col min="15356" max="15356" width="16.5703125" style="1" customWidth="1"/>
    <col min="15357" max="15357" width="16.28515625" style="1" customWidth="1"/>
    <col min="15358" max="15358" width="16.5703125" style="1" customWidth="1"/>
    <col min="15359" max="15359" width="16.85546875" style="1" customWidth="1"/>
    <col min="15360" max="15360" width="9.140625" style="1"/>
    <col min="15361" max="15361" width="15.7109375" style="1" customWidth="1"/>
    <col min="15362" max="15363" width="9.140625" style="1"/>
    <col min="15364" max="15364" width="12.85546875" style="1" customWidth="1"/>
    <col min="15365" max="15606" width="9.140625" style="1"/>
    <col min="15607" max="15607" width="50.85546875" style="1" customWidth="1"/>
    <col min="15608" max="15608" width="7.5703125" style="1" customWidth="1"/>
    <col min="15609" max="15609" width="12.42578125" style="1" customWidth="1"/>
    <col min="15610" max="15610" width="14.42578125" style="1" customWidth="1"/>
    <col min="15611" max="15611" width="16.7109375" style="1" customWidth="1"/>
    <col min="15612" max="15612" width="16.5703125" style="1" customWidth="1"/>
    <col min="15613" max="15613" width="16.28515625" style="1" customWidth="1"/>
    <col min="15614" max="15614" width="16.5703125" style="1" customWidth="1"/>
    <col min="15615" max="15615" width="16.85546875" style="1" customWidth="1"/>
    <col min="15616" max="15616" width="9.140625" style="1"/>
    <col min="15617" max="15617" width="15.7109375" style="1" customWidth="1"/>
    <col min="15618" max="15619" width="9.140625" style="1"/>
    <col min="15620" max="15620" width="12.85546875" style="1" customWidth="1"/>
    <col min="15621" max="15862" width="9.140625" style="1"/>
    <col min="15863" max="15863" width="50.85546875" style="1" customWidth="1"/>
    <col min="15864" max="15864" width="7.5703125" style="1" customWidth="1"/>
    <col min="15865" max="15865" width="12.42578125" style="1" customWidth="1"/>
    <col min="15866" max="15866" width="14.42578125" style="1" customWidth="1"/>
    <col min="15867" max="15867" width="16.7109375" style="1" customWidth="1"/>
    <col min="15868" max="15868" width="16.5703125" style="1" customWidth="1"/>
    <col min="15869" max="15869" width="16.28515625" style="1" customWidth="1"/>
    <col min="15870" max="15870" width="16.5703125" style="1" customWidth="1"/>
    <col min="15871" max="15871" width="16.85546875" style="1" customWidth="1"/>
    <col min="15872" max="15872" width="9.140625" style="1"/>
    <col min="15873" max="15873" width="15.7109375" style="1" customWidth="1"/>
    <col min="15874" max="15875" width="9.140625" style="1"/>
    <col min="15876" max="15876" width="12.85546875" style="1" customWidth="1"/>
    <col min="15877" max="16118" width="9.140625" style="1"/>
    <col min="16119" max="16119" width="50.85546875" style="1" customWidth="1"/>
    <col min="16120" max="16120" width="7.5703125" style="1" customWidth="1"/>
    <col min="16121" max="16121" width="12.42578125" style="1" customWidth="1"/>
    <col min="16122" max="16122" width="14.42578125" style="1" customWidth="1"/>
    <col min="16123" max="16123" width="16.7109375" style="1" customWidth="1"/>
    <col min="16124" max="16124" width="16.5703125" style="1" customWidth="1"/>
    <col min="16125" max="16125" width="16.28515625" style="1" customWidth="1"/>
    <col min="16126" max="16126" width="16.5703125" style="1" customWidth="1"/>
    <col min="16127" max="16127" width="16.85546875" style="1" customWidth="1"/>
    <col min="16128" max="16128" width="9.140625" style="1"/>
    <col min="16129" max="16129" width="15.7109375" style="1" customWidth="1"/>
    <col min="16130" max="16131" width="9.140625" style="1"/>
    <col min="16132" max="16132" width="12.85546875" style="1" customWidth="1"/>
    <col min="16133" max="16384" width="9.140625" style="1"/>
  </cols>
  <sheetData>
    <row r="1" spans="1:4" s="5" customFormat="1" ht="11.25" x14ac:dyDescent="0.25">
      <c r="A1" s="105" t="s">
        <v>0</v>
      </c>
      <c r="B1" s="106" t="s">
        <v>8</v>
      </c>
      <c r="C1" s="107" t="s">
        <v>9</v>
      </c>
      <c r="D1" s="107" t="s">
        <v>1</v>
      </c>
    </row>
    <row r="2" spans="1:4" s="5" customFormat="1" ht="11.25" x14ac:dyDescent="0.25">
      <c r="A2" s="105"/>
      <c r="B2" s="106"/>
      <c r="C2" s="107"/>
      <c r="D2" s="107"/>
    </row>
    <row r="3" spans="1:4" s="5" customFormat="1" ht="30" customHeight="1" x14ac:dyDescent="0.25">
      <c r="A3" s="33" t="s">
        <v>19</v>
      </c>
      <c r="B3" s="34" t="s">
        <v>50</v>
      </c>
      <c r="C3" s="35"/>
      <c r="D3" s="37"/>
    </row>
    <row r="4" spans="1:4" s="5" customFormat="1" ht="30" customHeight="1" x14ac:dyDescent="0.25">
      <c r="A4" s="23" t="s">
        <v>20</v>
      </c>
      <c r="B4" s="28" t="s">
        <v>74</v>
      </c>
      <c r="C4" s="29" t="s">
        <v>63</v>
      </c>
      <c r="D4" s="30">
        <v>62110.12</v>
      </c>
    </row>
    <row r="5" spans="1:4" s="5" customFormat="1" ht="30" customHeight="1" x14ac:dyDescent="0.25">
      <c r="A5" s="23" t="s">
        <v>21</v>
      </c>
      <c r="B5" s="25" t="s">
        <v>75</v>
      </c>
      <c r="C5" s="23" t="s">
        <v>64</v>
      </c>
      <c r="D5" s="30">
        <v>6610.28</v>
      </c>
    </row>
    <row r="6" spans="1:4" s="5" customFormat="1" ht="30" customHeight="1" x14ac:dyDescent="0.25">
      <c r="A6" s="23" t="s">
        <v>22</v>
      </c>
      <c r="B6" s="25" t="s">
        <v>52</v>
      </c>
      <c r="C6" s="23" t="s">
        <v>65</v>
      </c>
      <c r="D6" s="30">
        <v>159839.1</v>
      </c>
    </row>
    <row r="7" spans="1:4" s="5" customFormat="1" ht="30" customHeight="1" x14ac:dyDescent="0.25">
      <c r="A7" s="23" t="s">
        <v>23</v>
      </c>
      <c r="B7" s="25" t="s">
        <v>51</v>
      </c>
      <c r="C7" s="23" t="s">
        <v>65</v>
      </c>
      <c r="D7" s="30">
        <v>14438.25</v>
      </c>
    </row>
    <row r="8" spans="1:4" s="5" customFormat="1" ht="30" customHeight="1" x14ac:dyDescent="0.25">
      <c r="A8" s="33" t="s">
        <v>24</v>
      </c>
      <c r="B8" s="34" t="s">
        <v>53</v>
      </c>
      <c r="C8" s="35"/>
      <c r="D8" s="36"/>
    </row>
    <row r="9" spans="1:4" s="5" customFormat="1" ht="30" customHeight="1" x14ac:dyDescent="0.25">
      <c r="A9" s="23" t="s">
        <v>26</v>
      </c>
      <c r="B9" s="25" t="s">
        <v>54</v>
      </c>
      <c r="C9" s="23" t="s">
        <v>63</v>
      </c>
      <c r="D9" s="30">
        <v>2182.02</v>
      </c>
    </row>
    <row r="10" spans="1:4" s="5" customFormat="1" ht="30" customHeight="1" x14ac:dyDescent="0.25">
      <c r="A10" s="33" t="s">
        <v>28</v>
      </c>
      <c r="B10" s="34" t="s">
        <v>55</v>
      </c>
      <c r="C10" s="35"/>
      <c r="D10" s="36"/>
    </row>
    <row r="11" spans="1:4" s="5" customFormat="1" ht="30" customHeight="1" x14ac:dyDescent="0.25">
      <c r="A11" s="23" t="s">
        <v>25</v>
      </c>
      <c r="B11" s="25" t="s">
        <v>77</v>
      </c>
      <c r="C11" s="23" t="s">
        <v>64</v>
      </c>
      <c r="D11" s="30">
        <v>31.05</v>
      </c>
    </row>
    <row r="12" spans="1:4" s="5" customFormat="1" ht="30" customHeight="1" x14ac:dyDescent="0.25">
      <c r="A12" s="23" t="s">
        <v>29</v>
      </c>
      <c r="B12" s="25" t="s">
        <v>56</v>
      </c>
      <c r="C12" s="23" t="s">
        <v>64</v>
      </c>
      <c r="D12" s="30">
        <v>343.74</v>
      </c>
    </row>
    <row r="13" spans="1:4" s="5" customFormat="1" ht="30" customHeight="1" x14ac:dyDescent="0.25">
      <c r="A13" s="33" t="s">
        <v>48</v>
      </c>
      <c r="B13" s="34" t="s">
        <v>57</v>
      </c>
      <c r="C13" s="35"/>
      <c r="D13" s="36"/>
    </row>
    <row r="14" spans="1:4" s="5" customFormat="1" ht="30" customHeight="1" x14ac:dyDescent="0.25">
      <c r="A14" s="23" t="s">
        <v>49</v>
      </c>
      <c r="B14" s="25" t="s">
        <v>58</v>
      </c>
      <c r="C14" s="23" t="s">
        <v>59</v>
      </c>
      <c r="D14" s="30">
        <v>0</v>
      </c>
    </row>
  </sheetData>
  <mergeCells count="4">
    <mergeCell ref="A1:A2"/>
    <mergeCell ref="B1:B2"/>
    <mergeCell ref="C1:C2"/>
    <mergeCell ref="D1:D2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0"/>
  <sheetViews>
    <sheetView view="pageBreakPreview" topLeftCell="B6" zoomScaleNormal="100" zoomScaleSheetLayoutView="100" workbookViewId="0">
      <selection activeCell="E8" sqref="E8"/>
    </sheetView>
  </sheetViews>
  <sheetFormatPr defaultRowHeight="15" x14ac:dyDescent="0.25"/>
  <cols>
    <col min="2" max="2" width="51.7109375" style="69" customWidth="1"/>
    <col min="3" max="3" width="9.140625" style="62"/>
    <col min="4" max="4" width="105.5703125" customWidth="1"/>
    <col min="5" max="5" width="9.42578125" style="49" customWidth="1"/>
  </cols>
  <sheetData>
    <row r="1" spans="1:8" ht="26.25" x14ac:dyDescent="0.25">
      <c r="A1" s="120" t="s">
        <v>70</v>
      </c>
      <c r="B1" s="121"/>
      <c r="C1" s="121"/>
      <c r="D1" s="122"/>
    </row>
    <row r="3" spans="1:8" x14ac:dyDescent="0.25">
      <c r="A3" s="50" t="s">
        <v>0</v>
      </c>
      <c r="B3" s="51" t="s">
        <v>60</v>
      </c>
      <c r="C3" s="50" t="s">
        <v>61</v>
      </c>
      <c r="D3" s="50" t="s">
        <v>62</v>
      </c>
    </row>
    <row r="4" spans="1:8" x14ac:dyDescent="0.25">
      <c r="A4" s="52"/>
      <c r="B4" s="53"/>
      <c r="C4" s="54"/>
      <c r="D4" s="52"/>
    </row>
    <row r="5" spans="1:8" x14ac:dyDescent="0.25">
      <c r="A5" s="55" t="s">
        <v>19</v>
      </c>
      <c r="B5" s="56" t="s">
        <v>50</v>
      </c>
      <c r="C5" s="57"/>
      <c r="D5" s="58"/>
    </row>
    <row r="6" spans="1:8" ht="210" x14ac:dyDescent="0.25">
      <c r="A6" s="59" t="s">
        <v>20</v>
      </c>
      <c r="B6" s="60" t="str">
        <f>BM.01!B15</f>
        <v>PINTURA DE LIGACAO EXCLUSIVE LIGANTE</v>
      </c>
      <c r="C6" s="61" t="s">
        <v>63</v>
      </c>
      <c r="D6" s="53" t="s">
        <v>79</v>
      </c>
      <c r="E6" s="49">
        <f>1860.22+2009.66+1642+960.22+1165.24+375+384+2238.5+1505.24+327+639.63+1344.68+982.5+314.07+1455.66+2120.82+672.44+503.72</f>
        <v>20500.599999999999</v>
      </c>
      <c r="G6" s="62"/>
      <c r="H6">
        <f>(6.15+5.1+4.6+6.8)/4</f>
        <v>5.6624999999999996</v>
      </c>
    </row>
    <row r="7" spans="1:8" x14ac:dyDescent="0.25">
      <c r="A7" s="59" t="s">
        <v>21</v>
      </c>
      <c r="B7" s="60" t="str">
        <f>BM.01!B16</f>
        <v>CBUQ COM BRITA COMERCIAL EXCL LIGANTE</v>
      </c>
      <c r="C7" s="61" t="s">
        <v>64</v>
      </c>
      <c r="D7" s="63" t="s">
        <v>76</v>
      </c>
      <c r="E7" s="49">
        <f>(E6)*0.04*2.4</f>
        <v>1968.06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59" t="s">
        <v>22</v>
      </c>
      <c r="B8" s="60" t="str">
        <f>BM.01!B17</f>
        <v>TRANSPORTE DE MATERIAIS ASFALTICO A QUENTE</v>
      </c>
      <c r="C8" s="61" t="s">
        <v>65</v>
      </c>
      <c r="D8" s="52" t="s">
        <v>81</v>
      </c>
      <c r="E8" s="49">
        <f>E15*465</f>
        <v>4766.25</v>
      </c>
    </row>
    <row r="9" spans="1:8" x14ac:dyDescent="0.25">
      <c r="A9" s="59" t="s">
        <v>23</v>
      </c>
      <c r="B9" s="60" t="str">
        <f>BM.01!B18</f>
        <v>TRANSPORTE DE MATERIAIS ASFALTICO A FRIO</v>
      </c>
      <c r="C9" s="61" t="s">
        <v>65</v>
      </c>
      <c r="D9" s="53" t="s">
        <v>82</v>
      </c>
      <c r="E9" s="49">
        <f>E16*465</f>
        <v>47588.1</v>
      </c>
    </row>
    <row r="10" spans="1:8" x14ac:dyDescent="0.25">
      <c r="A10" s="59"/>
      <c r="B10" s="64"/>
      <c r="C10" s="54"/>
      <c r="D10" s="52"/>
    </row>
    <row r="11" spans="1:8" x14ac:dyDescent="0.25">
      <c r="A11" s="55" t="s">
        <v>24</v>
      </c>
      <c r="B11" s="56" t="s">
        <v>53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63</v>
      </c>
      <c r="D12" s="53"/>
    </row>
    <row r="13" spans="1:8" x14ac:dyDescent="0.25">
      <c r="A13" s="59"/>
      <c r="B13" s="64"/>
      <c r="C13" s="54"/>
      <c r="D13" s="52"/>
    </row>
    <row r="14" spans="1:8" x14ac:dyDescent="0.25">
      <c r="A14" s="55" t="s">
        <v>28</v>
      </c>
      <c r="B14" s="56" t="s">
        <v>66</v>
      </c>
      <c r="C14" s="58"/>
      <c r="D14" s="58"/>
    </row>
    <row r="15" spans="1:8" x14ac:dyDescent="0.25">
      <c r="A15" s="59" t="s">
        <v>25</v>
      </c>
      <c r="B15" s="64" t="str">
        <f>BM.01!B22</f>
        <v>EMULSAO ASFALTICA RR-2C EXCLUSIVE TRANSPORTE</v>
      </c>
      <c r="C15" s="54" t="s">
        <v>64</v>
      </c>
      <c r="D15" s="52" t="s">
        <v>78</v>
      </c>
      <c r="E15" s="49">
        <f>E6*0.0005</f>
        <v>10.25</v>
      </c>
      <c r="F15" s="67"/>
    </row>
    <row r="16" spans="1:8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64</v>
      </c>
      <c r="D16" s="53" t="s">
        <v>80</v>
      </c>
      <c r="E16" s="49">
        <f>E7*0.052</f>
        <v>102.34</v>
      </c>
      <c r="F16">
        <f>E7*0.06</f>
        <v>118.0836</v>
      </c>
    </row>
    <row r="17" spans="1:6" x14ac:dyDescent="0.25">
      <c r="A17" s="68" t="str">
        <f>BM.01!A24</f>
        <v>4.0</v>
      </c>
      <c r="B17" s="56" t="str">
        <f>BM.01!B24</f>
        <v>PLACA DA OBRA</v>
      </c>
      <c r="C17" s="58"/>
      <c r="D17" s="58"/>
      <c r="F17" s="49">
        <f>F16-E16</f>
        <v>15.74</v>
      </c>
    </row>
    <row r="18" spans="1:6" x14ac:dyDescent="0.25">
      <c r="A18" s="59" t="s">
        <v>49</v>
      </c>
      <c r="B18" s="64" t="str">
        <f>BM.01!B25</f>
        <v>PLACA INDICATIVA DE OBRA</v>
      </c>
      <c r="C18" s="66" t="s">
        <v>68</v>
      </c>
      <c r="D18" s="52"/>
      <c r="F18">
        <f>F17*BM.01!D23</f>
        <v>104306.4616</v>
      </c>
    </row>
    <row r="20" spans="1:6" x14ac:dyDescent="0.25">
      <c r="A20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FB91-337B-4F91-BAC0-2C71722EA6FE}">
  <sheetPr codeName="Plan18"/>
  <dimension ref="A1:K36"/>
  <sheetViews>
    <sheetView view="pageBreakPreview" topLeftCell="A8" zoomScale="90" zoomScaleNormal="100" zoomScaleSheetLayoutView="90" workbookViewId="0">
      <selection activeCell="G18" sqref="G1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113" t="s">
        <v>31</v>
      </c>
      <c r="B1" s="114"/>
      <c r="C1" s="114"/>
      <c r="D1" s="114"/>
      <c r="E1" s="114"/>
      <c r="F1" s="114"/>
      <c r="G1" s="114"/>
      <c r="H1" s="114"/>
      <c r="I1" s="115"/>
      <c r="J1" s="3" t="s">
        <v>2</v>
      </c>
    </row>
    <row r="2" spans="1:10" s="5" customFormat="1" ht="16.5" customHeight="1" x14ac:dyDescent="0.25">
      <c r="A2" s="116"/>
      <c r="B2" s="117"/>
      <c r="C2" s="117"/>
      <c r="D2" s="117"/>
      <c r="E2" s="117"/>
      <c r="F2" s="117"/>
      <c r="G2" s="117"/>
      <c r="H2" s="117"/>
      <c r="I2" s="118"/>
      <c r="J2" s="45" t="s">
        <v>84</v>
      </c>
    </row>
    <row r="3" spans="1:10" s="5" customFormat="1" ht="18.75" customHeight="1" x14ac:dyDescent="0.25">
      <c r="A3" s="77" t="s">
        <v>32</v>
      </c>
      <c r="B3" s="79"/>
      <c r="C3" s="77" t="s">
        <v>33</v>
      </c>
      <c r="D3" s="78"/>
      <c r="E3" s="78"/>
      <c r="F3" s="79"/>
      <c r="G3" s="77" t="s">
        <v>34</v>
      </c>
      <c r="H3" s="79"/>
      <c r="I3" s="46" t="s">
        <v>35</v>
      </c>
      <c r="J3" s="46" t="s">
        <v>45</v>
      </c>
    </row>
    <row r="4" spans="1:10" s="5" customFormat="1" ht="21.75" customHeight="1" x14ac:dyDescent="0.25">
      <c r="A4" s="109" t="s">
        <v>44</v>
      </c>
      <c r="B4" s="110"/>
      <c r="C4" s="111" t="s">
        <v>44</v>
      </c>
      <c r="D4" s="119"/>
      <c r="E4" s="119"/>
      <c r="F4" s="112"/>
      <c r="G4" s="111"/>
      <c r="H4" s="112"/>
      <c r="I4" s="47">
        <v>45464</v>
      </c>
      <c r="J4" s="47" t="s">
        <v>69</v>
      </c>
    </row>
    <row r="5" spans="1:10" s="5" customFormat="1" ht="18.75" customHeight="1" x14ac:dyDescent="0.25">
      <c r="A5" s="77" t="s">
        <v>36</v>
      </c>
      <c r="B5" s="79"/>
      <c r="C5" s="77" t="s">
        <v>37</v>
      </c>
      <c r="D5" s="79"/>
      <c r="E5" s="77" t="s">
        <v>38</v>
      </c>
      <c r="F5" s="79"/>
      <c r="G5" s="46" t="s">
        <v>39</v>
      </c>
      <c r="H5" s="46" t="s">
        <v>40</v>
      </c>
      <c r="I5" s="77" t="s">
        <v>41</v>
      </c>
      <c r="J5" s="79"/>
    </row>
    <row r="6" spans="1:10" s="5" customFormat="1" ht="24" customHeight="1" x14ac:dyDescent="0.25">
      <c r="A6" s="89" t="s">
        <v>46</v>
      </c>
      <c r="B6" s="90"/>
      <c r="C6" s="91"/>
      <c r="D6" s="92"/>
      <c r="E6" s="93"/>
      <c r="F6" s="94"/>
      <c r="G6" s="47">
        <v>45463</v>
      </c>
      <c r="H6" s="47" t="s">
        <v>83</v>
      </c>
      <c r="I6" s="87">
        <v>45539</v>
      </c>
      <c r="J6" s="88"/>
    </row>
    <row r="7" spans="1:10" s="5" customFormat="1" ht="18.75" customHeight="1" x14ac:dyDescent="0.25">
      <c r="A7" s="75" t="s">
        <v>4</v>
      </c>
      <c r="B7" s="76"/>
      <c r="C7" s="77" t="s">
        <v>42</v>
      </c>
      <c r="D7" s="78"/>
      <c r="E7" s="79"/>
      <c r="F7" s="26" t="s">
        <v>43</v>
      </c>
      <c r="G7" s="77" t="s">
        <v>5</v>
      </c>
      <c r="H7" s="79"/>
      <c r="I7" s="77" t="s">
        <v>72</v>
      </c>
      <c r="J7" s="79"/>
    </row>
    <row r="8" spans="1:10" s="5" customFormat="1" ht="48" customHeight="1" x14ac:dyDescent="0.25">
      <c r="A8" s="80" t="s">
        <v>71</v>
      </c>
      <c r="B8" s="81"/>
      <c r="C8" s="82" t="s">
        <v>47</v>
      </c>
      <c r="D8" s="83"/>
      <c r="E8" s="84"/>
      <c r="F8" s="48">
        <v>3921050.63</v>
      </c>
      <c r="G8" s="85">
        <f>BM.02!$I$26</f>
        <v>375933.19</v>
      </c>
      <c r="H8" s="86"/>
      <c r="I8" s="87" t="s">
        <v>85</v>
      </c>
      <c r="J8" s="88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102" t="s">
        <v>1</v>
      </c>
      <c r="F10" s="102"/>
      <c r="G10" s="102"/>
      <c r="H10" s="103" t="s">
        <v>7</v>
      </c>
      <c r="I10" s="102"/>
      <c r="J10" s="104"/>
    </row>
    <row r="11" spans="1:10" s="5" customFormat="1" x14ac:dyDescent="0.25">
      <c r="A11" s="105" t="s">
        <v>0</v>
      </c>
      <c r="B11" s="106" t="s">
        <v>8</v>
      </c>
      <c r="C11" s="107" t="s">
        <v>9</v>
      </c>
      <c r="D11" s="108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105"/>
      <c r="B12" s="106"/>
      <c r="C12" s="107"/>
      <c r="D12" s="108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50</v>
      </c>
      <c r="C14" s="35"/>
      <c r="D14" s="36"/>
      <c r="E14" s="36"/>
      <c r="F14" s="36"/>
      <c r="G14" s="37"/>
      <c r="H14" s="38">
        <f>SUM(H15:H18)</f>
        <v>1327560.76</v>
      </c>
      <c r="I14" s="38">
        <f>SUM(I15:I18)</f>
        <v>138087.75</v>
      </c>
      <c r="J14" s="38">
        <f>SUM(J15:J18)</f>
        <v>561454.49</v>
      </c>
    </row>
    <row r="15" spans="1:10" s="5" customFormat="1" ht="30" customHeight="1" x14ac:dyDescent="0.25">
      <c r="A15" s="23" t="s">
        <v>20</v>
      </c>
      <c r="B15" s="28" t="s">
        <v>74</v>
      </c>
      <c r="C15" s="29" t="s">
        <v>63</v>
      </c>
      <c r="D15" s="30">
        <v>0.32</v>
      </c>
      <c r="E15" s="30">
        <v>62246.1</v>
      </c>
      <c r="F15" s="32">
        <f>'Memória 02'!E6</f>
        <v>6686.65</v>
      </c>
      <c r="G15" s="30">
        <f>F15+BM.01!G15</f>
        <v>27187.25</v>
      </c>
      <c r="H15" s="39">
        <f>ROUND(E15*D15,2)</f>
        <v>19918.75</v>
      </c>
      <c r="I15" s="40">
        <f>ROUND(D15*F15,2)</f>
        <v>2139.73</v>
      </c>
      <c r="J15" s="39">
        <f>ROUND(D15*G15,2)</f>
        <v>8699.92</v>
      </c>
    </row>
    <row r="16" spans="1:10" s="5" customFormat="1" ht="30" customHeight="1" x14ac:dyDescent="0.25">
      <c r="A16" s="23" t="s">
        <v>21</v>
      </c>
      <c r="B16" s="25" t="s">
        <v>75</v>
      </c>
      <c r="C16" s="23" t="s">
        <v>64</v>
      </c>
      <c r="D16" s="24">
        <v>191.35</v>
      </c>
      <c r="E16" s="24">
        <v>5975.63</v>
      </c>
      <c r="F16" s="32">
        <f>'Memória 02'!E7</f>
        <v>641.91999999999996</v>
      </c>
      <c r="G16" s="30">
        <f>F16+BM.01!G16</f>
        <v>2609.98</v>
      </c>
      <c r="H16" s="39">
        <f t="shared" ref="H16:H18" si="0">ROUND(E16*D16,2)</f>
        <v>1143436.8</v>
      </c>
      <c r="I16" s="40">
        <f t="shared" ref="I16:I18" si="1">ROUND(D16*F16,2)</f>
        <v>122831.39</v>
      </c>
      <c r="J16" s="39">
        <f t="shared" ref="J16:J18" si="2">ROUND(D16*G16,2)</f>
        <v>499419.67</v>
      </c>
    </row>
    <row r="17" spans="1:11" s="5" customFormat="1" ht="30" customHeight="1" x14ac:dyDescent="0.25">
      <c r="A17" s="23" t="s">
        <v>22</v>
      </c>
      <c r="B17" s="25" t="s">
        <v>52</v>
      </c>
      <c r="C17" s="23" t="s">
        <v>65</v>
      </c>
      <c r="D17" s="24">
        <v>0.85</v>
      </c>
      <c r="E17" s="24">
        <v>179268.77</v>
      </c>
      <c r="F17" s="32">
        <f>'Memória 02'!E8</f>
        <v>1553.1</v>
      </c>
      <c r="G17" s="30">
        <f>F17+BM.01!G17</f>
        <v>6319.35</v>
      </c>
      <c r="H17" s="39">
        <f t="shared" si="0"/>
        <v>152378.45000000001</v>
      </c>
      <c r="I17" s="40">
        <f t="shared" si="1"/>
        <v>1320.14</v>
      </c>
      <c r="J17" s="39">
        <f t="shared" si="2"/>
        <v>5371.45</v>
      </c>
    </row>
    <row r="18" spans="1:11" s="5" customFormat="1" ht="30" customHeight="1" x14ac:dyDescent="0.25">
      <c r="A18" s="23" t="s">
        <v>23</v>
      </c>
      <c r="B18" s="25" t="s">
        <v>51</v>
      </c>
      <c r="C18" s="23" t="s">
        <v>65</v>
      </c>
      <c r="D18" s="24">
        <v>0.76</v>
      </c>
      <c r="E18" s="24">
        <v>15561.53</v>
      </c>
      <c r="F18" s="32">
        <f>'Memória 02'!E9</f>
        <v>15521.7</v>
      </c>
      <c r="G18" s="30">
        <f>F18+BM.01!G18</f>
        <v>63109.8</v>
      </c>
      <c r="H18" s="39">
        <f t="shared" si="0"/>
        <v>11826.76</v>
      </c>
      <c r="I18" s="40">
        <f t="shared" si="1"/>
        <v>11796.49</v>
      </c>
      <c r="J18" s="39">
        <f t="shared" si="2"/>
        <v>47963.45</v>
      </c>
    </row>
    <row r="19" spans="1:11" s="5" customFormat="1" ht="30" customHeight="1" x14ac:dyDescent="0.25">
      <c r="A19" s="33" t="s">
        <v>24</v>
      </c>
      <c r="B19" s="34" t="s">
        <v>53</v>
      </c>
      <c r="C19" s="35"/>
      <c r="D19" s="36"/>
      <c r="E19" s="36"/>
      <c r="F19" s="36"/>
      <c r="G19" s="36"/>
      <c r="H19" s="38">
        <f>H20</f>
        <v>60944.95</v>
      </c>
      <c r="I19" s="38">
        <f>SUM(I20:I20)</f>
        <v>0</v>
      </c>
      <c r="J19" s="38">
        <f>SUM(J20:J20)</f>
        <v>0</v>
      </c>
    </row>
    <row r="20" spans="1:11" s="5" customFormat="1" ht="30" customHeight="1" x14ac:dyDescent="0.25">
      <c r="A20" s="23" t="s">
        <v>26</v>
      </c>
      <c r="B20" s="25" t="s">
        <v>54</v>
      </c>
      <c r="C20" s="23" t="s">
        <v>63</v>
      </c>
      <c r="D20" s="24">
        <v>25.35</v>
      </c>
      <c r="E20" s="24">
        <v>2404.14</v>
      </c>
      <c r="F20" s="32">
        <f>'Memória 02'!E11</f>
        <v>0</v>
      </c>
      <c r="G20" s="30">
        <f>F20+BM.01!G20</f>
        <v>0</v>
      </c>
      <c r="H20" s="39">
        <f>ROUND(E20*D20,2)</f>
        <v>60944.95</v>
      </c>
      <c r="I20" s="40">
        <f>ROUND(D20*F20,2)</f>
        <v>0</v>
      </c>
      <c r="J20" s="39">
        <f>ROUND(D20*G20,2)</f>
        <v>0</v>
      </c>
    </row>
    <row r="21" spans="1:11" s="5" customFormat="1" ht="30" customHeight="1" x14ac:dyDescent="0.25">
      <c r="A21" s="33" t="s">
        <v>28</v>
      </c>
      <c r="B21" s="34" t="s">
        <v>55</v>
      </c>
      <c r="C21" s="35"/>
      <c r="D21" s="36"/>
      <c r="E21" s="36"/>
      <c r="F21" s="36"/>
      <c r="G21" s="36"/>
      <c r="H21" s="38">
        <f>SUM(H22:H23)</f>
        <v>2531042.2999999998</v>
      </c>
      <c r="I21" s="38">
        <f>SUM(I22:I23)</f>
        <v>237845.44</v>
      </c>
      <c r="J21" s="38">
        <f>SUM(J22:J23)</f>
        <v>967106.76</v>
      </c>
    </row>
    <row r="22" spans="1:11" s="5" customFormat="1" ht="30" customHeight="1" x14ac:dyDescent="0.25">
      <c r="A22" s="23" t="s">
        <v>25</v>
      </c>
      <c r="B22" s="25" t="s">
        <v>77</v>
      </c>
      <c r="C22" s="23" t="s">
        <v>64</v>
      </c>
      <c r="D22" s="24">
        <v>4982.49</v>
      </c>
      <c r="E22" s="24">
        <v>31.12</v>
      </c>
      <c r="F22" s="32">
        <f>'Memória 02'!E13</f>
        <v>3.34</v>
      </c>
      <c r="G22" s="30">
        <f>F22+BM.01!G22</f>
        <v>13.59</v>
      </c>
      <c r="H22" s="39">
        <f>ROUND(E22*D22,2)</f>
        <v>155055.09</v>
      </c>
      <c r="I22" s="40">
        <f t="shared" ref="I22:I23" si="3">ROUND(D22*F22,2)</f>
        <v>16641.52</v>
      </c>
      <c r="J22" s="39">
        <f t="shared" ref="J22:J23" si="4">ROUND(D22*G22,2)</f>
        <v>67712.039999999994</v>
      </c>
    </row>
    <row r="23" spans="1:11" s="5" customFormat="1" ht="30" customHeight="1" x14ac:dyDescent="0.25">
      <c r="A23" s="23" t="s">
        <v>29</v>
      </c>
      <c r="B23" s="25" t="s">
        <v>56</v>
      </c>
      <c r="C23" s="23" t="s">
        <v>64</v>
      </c>
      <c r="D23" s="24">
        <v>6626.84</v>
      </c>
      <c r="E23" s="24">
        <v>358.54</v>
      </c>
      <c r="F23" s="32">
        <f>'Memória 02'!E14</f>
        <v>33.380000000000003</v>
      </c>
      <c r="G23" s="30">
        <f>F23+BM.01!G23</f>
        <v>135.72</v>
      </c>
      <c r="H23" s="39">
        <f>ROUND(E23*D23,2)</f>
        <v>2375987.21</v>
      </c>
      <c r="I23" s="40">
        <f t="shared" si="3"/>
        <v>221203.92</v>
      </c>
      <c r="J23" s="39">
        <f t="shared" si="4"/>
        <v>899394.72</v>
      </c>
    </row>
    <row r="24" spans="1:11" s="5" customFormat="1" ht="30" customHeight="1" x14ac:dyDescent="0.25">
      <c r="A24" s="33" t="s">
        <v>48</v>
      </c>
      <c r="B24" s="34" t="s">
        <v>57</v>
      </c>
      <c r="C24" s="35"/>
      <c r="D24" s="36"/>
      <c r="E24" s="36"/>
      <c r="F24" s="36"/>
      <c r="G24" s="36"/>
      <c r="H24" s="38">
        <f>H25</f>
        <v>1478.61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49</v>
      </c>
      <c r="B25" s="25" t="s">
        <v>58</v>
      </c>
      <c r="C25" s="23" t="s">
        <v>59</v>
      </c>
      <c r="D25" s="24">
        <v>328.58</v>
      </c>
      <c r="E25" s="24">
        <v>4.5</v>
      </c>
      <c r="F25" s="32">
        <f>'Memória 02'!E16</f>
        <v>0</v>
      </c>
      <c r="G25" s="30">
        <f>F25+BM.01!G25</f>
        <v>0</v>
      </c>
      <c r="H25" s="39">
        <f>ROUND(E25*D25,2)</f>
        <v>1478.61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95" t="s">
        <v>67</v>
      </c>
      <c r="B26" s="96"/>
      <c r="C26" s="96"/>
      <c r="D26" s="96"/>
      <c r="E26" s="96"/>
      <c r="F26" s="96"/>
      <c r="G26" s="97"/>
      <c r="H26" s="41">
        <f>H14+H19+H21+H24</f>
        <v>3921026.62</v>
      </c>
      <c r="I26" s="41">
        <f>I14+I19+I21+I24</f>
        <v>375933.19</v>
      </c>
      <c r="J26" s="41">
        <f>J14+J19+J21+J24</f>
        <v>1528561.25</v>
      </c>
      <c r="K26" s="70">
        <f>J26/H26</f>
        <v>0.38979999999999998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98" t="s">
        <v>27</v>
      </c>
      <c r="B28" s="98"/>
      <c r="C28" s="98"/>
      <c r="D28" s="99">
        <f>I26</f>
        <v>375933.19</v>
      </c>
      <c r="E28" s="99"/>
      <c r="F28" s="100"/>
      <c r="G28" s="100"/>
      <c r="H28" s="100"/>
      <c r="I28" s="100"/>
      <c r="J28" s="100"/>
      <c r="K28" s="71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1"/>
      <c r="H30" s="101"/>
      <c r="I30" s="101"/>
      <c r="J30" s="101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89F8-E40A-4B4E-9AFA-D4E448478D11}">
  <dimension ref="A1:G18"/>
  <sheetViews>
    <sheetView view="pageBreakPreview" topLeftCell="B1" zoomScaleNormal="100" zoomScaleSheetLayoutView="100" workbookViewId="0">
      <selection activeCell="E6" sqref="E6"/>
    </sheetView>
  </sheetViews>
  <sheetFormatPr defaultRowHeight="15" x14ac:dyDescent="0.25"/>
  <cols>
    <col min="2" max="2" width="51.7109375" style="69" customWidth="1"/>
    <col min="3" max="3" width="9.140625" style="62"/>
    <col min="4" max="4" width="105.5703125" customWidth="1"/>
    <col min="5" max="5" width="9.42578125" style="49" customWidth="1"/>
  </cols>
  <sheetData>
    <row r="1" spans="1:7" ht="26.25" x14ac:dyDescent="0.25">
      <c r="A1" s="120" t="s">
        <v>86</v>
      </c>
      <c r="B1" s="121"/>
      <c r="C1" s="121"/>
      <c r="D1" s="122"/>
    </row>
    <row r="3" spans="1:7" x14ac:dyDescent="0.25">
      <c r="A3" s="50" t="s">
        <v>0</v>
      </c>
      <c r="B3" s="51" t="s">
        <v>60</v>
      </c>
      <c r="C3" s="50" t="s">
        <v>61</v>
      </c>
      <c r="D3" s="50" t="s">
        <v>62</v>
      </c>
    </row>
    <row r="4" spans="1:7" x14ac:dyDescent="0.25">
      <c r="A4" s="52"/>
      <c r="B4" s="53"/>
      <c r="C4" s="54"/>
      <c r="D4" s="52"/>
    </row>
    <row r="5" spans="1:7" x14ac:dyDescent="0.25">
      <c r="A5" s="55" t="s">
        <v>19</v>
      </c>
      <c r="B5" s="56" t="s">
        <v>50</v>
      </c>
      <c r="C5" s="57"/>
      <c r="D5" s="58"/>
    </row>
    <row r="6" spans="1:7" ht="60" x14ac:dyDescent="0.25">
      <c r="A6" s="59" t="s">
        <v>20</v>
      </c>
      <c r="B6" s="60" t="str">
        <f>BM.01!B15</f>
        <v>PINTURA DE LIGACAO EXCLUSIVE LIGANTE</v>
      </c>
      <c r="C6" s="61" t="s">
        <v>63</v>
      </c>
      <c r="D6" s="53" t="s">
        <v>87</v>
      </c>
      <c r="E6" s="49">
        <f>2284.23+1662.31+1205.82+1534.29</f>
        <v>6686.65</v>
      </c>
      <c r="G6" s="62"/>
    </row>
    <row r="7" spans="1:7" x14ac:dyDescent="0.25">
      <c r="A7" s="59" t="s">
        <v>21</v>
      </c>
      <c r="B7" s="60" t="str">
        <f>BM.01!B16</f>
        <v>CBUQ COM BRITA COMERCIAL EXCL LIGANTE</v>
      </c>
      <c r="C7" s="61" t="s">
        <v>64</v>
      </c>
      <c r="D7" s="63" t="s">
        <v>76</v>
      </c>
      <c r="E7" s="49">
        <f>(E6)*0.04*2.4</f>
        <v>641.91999999999996</v>
      </c>
    </row>
    <row r="8" spans="1:7" x14ac:dyDescent="0.25">
      <c r="A8" s="59" t="s">
        <v>22</v>
      </c>
      <c r="B8" s="60" t="str">
        <f>BM.01!B17</f>
        <v>TRANSPORTE DE MATERIAIS ASFALTICO A QUENTE</v>
      </c>
      <c r="C8" s="61" t="s">
        <v>65</v>
      </c>
      <c r="D8" s="52" t="s">
        <v>81</v>
      </c>
      <c r="E8" s="49">
        <f>E13*465</f>
        <v>1553.1</v>
      </c>
    </row>
    <row r="9" spans="1:7" x14ac:dyDescent="0.25">
      <c r="A9" s="59" t="s">
        <v>23</v>
      </c>
      <c r="B9" s="60" t="str">
        <f>BM.01!B18</f>
        <v>TRANSPORTE DE MATERIAIS ASFALTICO A FRIO</v>
      </c>
      <c r="C9" s="61" t="s">
        <v>65</v>
      </c>
      <c r="D9" s="53" t="s">
        <v>82</v>
      </c>
      <c r="E9" s="49">
        <f>E14*465</f>
        <v>15521.7</v>
      </c>
    </row>
    <row r="10" spans="1:7" x14ac:dyDescent="0.25">
      <c r="A10" s="55" t="s">
        <v>24</v>
      </c>
      <c r="B10" s="56" t="s">
        <v>53</v>
      </c>
      <c r="C10" s="65"/>
      <c r="D10" s="65"/>
    </row>
    <row r="11" spans="1:7" ht="30" x14ac:dyDescent="0.25">
      <c r="A11" s="59" t="s">
        <v>26</v>
      </c>
      <c r="B11" s="64" t="str">
        <f>BM.01!B20</f>
        <v>SINALIZACAO HORIZONTAL COM TINTA 2 ANOS DURACAO</v>
      </c>
      <c r="C11" s="66" t="s">
        <v>63</v>
      </c>
      <c r="D11" s="53"/>
    </row>
    <row r="12" spans="1:7" x14ac:dyDescent="0.25">
      <c r="A12" s="55" t="s">
        <v>28</v>
      </c>
      <c r="B12" s="56" t="s">
        <v>66</v>
      </c>
      <c r="C12" s="58"/>
      <c r="D12" s="58"/>
    </row>
    <row r="13" spans="1:7" x14ac:dyDescent="0.25">
      <c r="A13" s="59" t="s">
        <v>25</v>
      </c>
      <c r="B13" s="64" t="str">
        <f>BM.01!B22</f>
        <v>EMULSAO ASFALTICA RR-2C EXCLUSIVE TRANSPORTE</v>
      </c>
      <c r="C13" s="54" t="s">
        <v>64</v>
      </c>
      <c r="D13" s="52" t="s">
        <v>78</v>
      </c>
      <c r="E13" s="49">
        <f>E6*0.0005</f>
        <v>3.34</v>
      </c>
      <c r="F13" s="67"/>
    </row>
    <row r="14" spans="1:7" x14ac:dyDescent="0.25">
      <c r="A14" s="59" t="s">
        <v>29</v>
      </c>
      <c r="B14" s="64" t="str">
        <f>BM.01!B23</f>
        <v xml:space="preserve">CIMENTO ASFALTICO CAP 50/70 EXCLUSIVE TRANSPORTE </v>
      </c>
      <c r="C14" s="54" t="s">
        <v>64</v>
      </c>
      <c r="D14" s="53" t="s">
        <v>80</v>
      </c>
      <c r="E14" s="49">
        <f>E7*0.052</f>
        <v>33.380000000000003</v>
      </c>
      <c r="F14">
        <f>E7*0.06</f>
        <v>38.5152</v>
      </c>
    </row>
    <row r="15" spans="1:7" x14ac:dyDescent="0.25">
      <c r="A15" s="68" t="str">
        <f>BM.01!A24</f>
        <v>4.0</v>
      </c>
      <c r="B15" s="56" t="str">
        <f>BM.01!B24</f>
        <v>PLACA DA OBRA</v>
      </c>
      <c r="C15" s="58"/>
      <c r="D15" s="58"/>
      <c r="F15" s="49">
        <f>F14-E14</f>
        <v>5.14</v>
      </c>
    </row>
    <row r="16" spans="1:7" x14ac:dyDescent="0.25">
      <c r="A16" s="59" t="s">
        <v>49</v>
      </c>
      <c r="B16" s="64" t="str">
        <f>BM.01!B25</f>
        <v>PLACA INDICATIVA DE OBRA</v>
      </c>
      <c r="C16" s="66" t="s">
        <v>68</v>
      </c>
      <c r="D16" s="52"/>
      <c r="F16">
        <f>F15*BM.01!D23</f>
        <v>34061.957600000002</v>
      </c>
    </row>
    <row r="18" spans="1:1" x14ac:dyDescent="0.25">
      <c r="A18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F97B-44DF-4E19-AB37-A260DD4C5314}">
  <sheetPr codeName="Plan19"/>
  <dimension ref="A1:K36"/>
  <sheetViews>
    <sheetView view="pageBreakPreview" topLeftCell="A14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113" t="s">
        <v>31</v>
      </c>
      <c r="B1" s="114"/>
      <c r="C1" s="114"/>
      <c r="D1" s="114"/>
      <c r="E1" s="114"/>
      <c r="F1" s="114"/>
      <c r="G1" s="114"/>
      <c r="H1" s="114"/>
      <c r="I1" s="115"/>
      <c r="J1" s="3" t="s">
        <v>2</v>
      </c>
    </row>
    <row r="2" spans="1:10" s="5" customFormat="1" ht="16.5" customHeight="1" x14ac:dyDescent="0.25">
      <c r="A2" s="116"/>
      <c r="B2" s="117"/>
      <c r="C2" s="117"/>
      <c r="D2" s="117"/>
      <c r="E2" s="117"/>
      <c r="F2" s="117"/>
      <c r="G2" s="117"/>
      <c r="H2" s="117"/>
      <c r="I2" s="118"/>
      <c r="J2" s="45" t="s">
        <v>89</v>
      </c>
    </row>
    <row r="3" spans="1:10" s="5" customFormat="1" ht="18.75" customHeight="1" x14ac:dyDescent="0.25">
      <c r="A3" s="77" t="s">
        <v>32</v>
      </c>
      <c r="B3" s="79"/>
      <c r="C3" s="77" t="s">
        <v>33</v>
      </c>
      <c r="D3" s="78"/>
      <c r="E3" s="78"/>
      <c r="F3" s="79"/>
      <c r="G3" s="77" t="s">
        <v>34</v>
      </c>
      <c r="H3" s="79"/>
      <c r="I3" s="46" t="s">
        <v>35</v>
      </c>
      <c r="J3" s="46" t="s">
        <v>45</v>
      </c>
    </row>
    <row r="4" spans="1:10" s="5" customFormat="1" ht="21.75" customHeight="1" x14ac:dyDescent="0.25">
      <c r="A4" s="109" t="s">
        <v>44</v>
      </c>
      <c r="B4" s="110"/>
      <c r="C4" s="111" t="s">
        <v>44</v>
      </c>
      <c r="D4" s="119"/>
      <c r="E4" s="119"/>
      <c r="F4" s="112"/>
      <c r="G4" s="111"/>
      <c r="H4" s="112"/>
      <c r="I4" s="47">
        <v>45464</v>
      </c>
      <c r="J4" s="47" t="s">
        <v>69</v>
      </c>
    </row>
    <row r="5" spans="1:10" s="5" customFormat="1" ht="18.75" customHeight="1" x14ac:dyDescent="0.25">
      <c r="A5" s="77" t="s">
        <v>36</v>
      </c>
      <c r="B5" s="79"/>
      <c r="C5" s="77" t="s">
        <v>37</v>
      </c>
      <c r="D5" s="79"/>
      <c r="E5" s="77" t="s">
        <v>38</v>
      </c>
      <c r="F5" s="79"/>
      <c r="G5" s="46" t="s">
        <v>39</v>
      </c>
      <c r="H5" s="46" t="s">
        <v>40</v>
      </c>
      <c r="I5" s="77" t="s">
        <v>41</v>
      </c>
      <c r="J5" s="79"/>
    </row>
    <row r="6" spans="1:10" s="5" customFormat="1" ht="24" customHeight="1" x14ac:dyDescent="0.25">
      <c r="A6" s="89" t="s">
        <v>46</v>
      </c>
      <c r="B6" s="90"/>
      <c r="C6" s="91"/>
      <c r="D6" s="92"/>
      <c r="E6" s="93"/>
      <c r="F6" s="94"/>
      <c r="G6" s="47">
        <v>45463</v>
      </c>
      <c r="H6" s="47" t="s">
        <v>83</v>
      </c>
      <c r="I6" s="87">
        <v>45566</v>
      </c>
      <c r="J6" s="88"/>
    </row>
    <row r="7" spans="1:10" s="5" customFormat="1" ht="18.75" customHeight="1" x14ac:dyDescent="0.25">
      <c r="A7" s="75" t="s">
        <v>4</v>
      </c>
      <c r="B7" s="76"/>
      <c r="C7" s="77" t="s">
        <v>42</v>
      </c>
      <c r="D7" s="78"/>
      <c r="E7" s="79"/>
      <c r="F7" s="26" t="s">
        <v>43</v>
      </c>
      <c r="G7" s="77" t="s">
        <v>5</v>
      </c>
      <c r="H7" s="79"/>
      <c r="I7" s="77" t="s">
        <v>72</v>
      </c>
      <c r="J7" s="79"/>
    </row>
    <row r="8" spans="1:10" s="5" customFormat="1" ht="48" customHeight="1" x14ac:dyDescent="0.25">
      <c r="A8" s="80" t="s">
        <v>71</v>
      </c>
      <c r="B8" s="81"/>
      <c r="C8" s="82" t="s">
        <v>47</v>
      </c>
      <c r="D8" s="83"/>
      <c r="E8" s="84"/>
      <c r="F8" s="48">
        <v>3921050.63</v>
      </c>
      <c r="G8" s="85">
        <f>BM.03!$I$26</f>
        <v>1104140.1000000001</v>
      </c>
      <c r="H8" s="86"/>
      <c r="I8" s="87" t="s">
        <v>91</v>
      </c>
      <c r="J8" s="88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102" t="s">
        <v>1</v>
      </c>
      <c r="F10" s="102"/>
      <c r="G10" s="102"/>
      <c r="H10" s="103" t="s">
        <v>7</v>
      </c>
      <c r="I10" s="102"/>
      <c r="J10" s="104"/>
    </row>
    <row r="11" spans="1:10" s="5" customFormat="1" x14ac:dyDescent="0.25">
      <c r="A11" s="105" t="s">
        <v>0</v>
      </c>
      <c r="B11" s="106" t="s">
        <v>8</v>
      </c>
      <c r="C11" s="107" t="s">
        <v>9</v>
      </c>
      <c r="D11" s="108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105"/>
      <c r="B12" s="106"/>
      <c r="C12" s="107"/>
      <c r="D12" s="108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50</v>
      </c>
      <c r="C14" s="35"/>
      <c r="D14" s="36"/>
      <c r="E14" s="36"/>
      <c r="F14" s="36"/>
      <c r="G14" s="37"/>
      <c r="H14" s="38">
        <f>SUM(H15:H18)</f>
        <v>1327560.76</v>
      </c>
      <c r="I14" s="38">
        <f>SUM(I15:I18)</f>
        <v>405566.48</v>
      </c>
      <c r="J14" s="38">
        <f>SUM(J15:J18)</f>
        <v>967020.97</v>
      </c>
    </row>
    <row r="15" spans="1:10" s="5" customFormat="1" ht="30" customHeight="1" x14ac:dyDescent="0.25">
      <c r="A15" s="23" t="s">
        <v>20</v>
      </c>
      <c r="B15" s="28" t="s">
        <v>74</v>
      </c>
      <c r="C15" s="29" t="s">
        <v>63</v>
      </c>
      <c r="D15" s="30">
        <v>0.32</v>
      </c>
      <c r="E15" s="30">
        <v>62246.1</v>
      </c>
      <c r="F15" s="32">
        <f>'Memória 03'!E6</f>
        <v>19625.05</v>
      </c>
      <c r="G15" s="30">
        <f>F15+BM.02!G15</f>
        <v>46812.3</v>
      </c>
      <c r="H15" s="39">
        <f>ROUND(E15*D15,2)</f>
        <v>19918.75</v>
      </c>
      <c r="I15" s="40">
        <f>ROUND(D15*F15,2)</f>
        <v>6280.02</v>
      </c>
      <c r="J15" s="39">
        <f>ROUND(D15*G15,2)</f>
        <v>14979.94</v>
      </c>
    </row>
    <row r="16" spans="1:10" s="5" customFormat="1" ht="30" customHeight="1" x14ac:dyDescent="0.25">
      <c r="A16" s="23" t="s">
        <v>21</v>
      </c>
      <c r="B16" s="25" t="s">
        <v>75</v>
      </c>
      <c r="C16" s="23" t="s">
        <v>64</v>
      </c>
      <c r="D16" s="24">
        <v>191.35</v>
      </c>
      <c r="E16" s="24">
        <v>5975.63</v>
      </c>
      <c r="F16" s="32">
        <f>'Memória 03'!E7</f>
        <v>1885.35</v>
      </c>
      <c r="G16" s="30">
        <f>F16+BM.02!G16</f>
        <v>4495.33</v>
      </c>
      <c r="H16" s="39">
        <f t="shared" ref="H16:H18" si="0">ROUND(E16*D16,2)</f>
        <v>1143436.8</v>
      </c>
      <c r="I16" s="40">
        <f t="shared" ref="I16:I18" si="1">ROUND(D16*F16,2)</f>
        <v>360761.72</v>
      </c>
      <c r="J16" s="39">
        <f t="shared" ref="J16:J18" si="2">ROUND(D16*G16,2)</f>
        <v>860181.4</v>
      </c>
    </row>
    <row r="17" spans="1:11" s="5" customFormat="1" ht="30" customHeight="1" x14ac:dyDescent="0.25">
      <c r="A17" s="23" t="s">
        <v>22</v>
      </c>
      <c r="B17" s="25" t="s">
        <v>52</v>
      </c>
      <c r="C17" s="23" t="s">
        <v>65</v>
      </c>
      <c r="D17" s="24">
        <v>0.85</v>
      </c>
      <c r="E17" s="24">
        <v>179268.77</v>
      </c>
      <c r="F17" s="32">
        <f>'Memória 03'!E8</f>
        <v>4561.6499999999996</v>
      </c>
      <c r="G17" s="30">
        <f>F17+BM.02!G17</f>
        <v>10881</v>
      </c>
      <c r="H17" s="39">
        <f t="shared" si="0"/>
        <v>152378.45000000001</v>
      </c>
      <c r="I17" s="40">
        <f t="shared" si="1"/>
        <v>3877.4</v>
      </c>
      <c r="J17" s="39">
        <f t="shared" si="2"/>
        <v>9248.85</v>
      </c>
    </row>
    <row r="18" spans="1:11" s="5" customFormat="1" ht="30" customHeight="1" x14ac:dyDescent="0.25">
      <c r="A18" s="23" t="s">
        <v>23</v>
      </c>
      <c r="B18" s="25" t="s">
        <v>51</v>
      </c>
      <c r="C18" s="23" t="s">
        <v>65</v>
      </c>
      <c r="D18" s="24">
        <v>0.76</v>
      </c>
      <c r="E18" s="24">
        <v>15561.53</v>
      </c>
      <c r="F18" s="32">
        <f>'Memória 03'!E9</f>
        <v>45588.6</v>
      </c>
      <c r="G18" s="30">
        <f>F18+BM.02!G18</f>
        <v>108698.4</v>
      </c>
      <c r="H18" s="39">
        <f t="shared" si="0"/>
        <v>11826.76</v>
      </c>
      <c r="I18" s="40">
        <f t="shared" si="1"/>
        <v>34647.339999999997</v>
      </c>
      <c r="J18" s="39">
        <f t="shared" si="2"/>
        <v>82610.78</v>
      </c>
    </row>
    <row r="19" spans="1:11" s="5" customFormat="1" ht="30" customHeight="1" x14ac:dyDescent="0.25">
      <c r="A19" s="33" t="s">
        <v>24</v>
      </c>
      <c r="B19" s="34" t="s">
        <v>53</v>
      </c>
      <c r="C19" s="35"/>
      <c r="D19" s="36"/>
      <c r="E19" s="36"/>
      <c r="F19" s="36"/>
      <c r="G19" s="36"/>
      <c r="H19" s="38">
        <f>H20</f>
        <v>60944.95</v>
      </c>
      <c r="I19" s="38">
        <f>SUM(I20:I20)</f>
        <v>0</v>
      </c>
      <c r="J19" s="38">
        <f>SUM(J20:J20)</f>
        <v>0</v>
      </c>
    </row>
    <row r="20" spans="1:11" s="5" customFormat="1" ht="30" customHeight="1" x14ac:dyDescent="0.25">
      <c r="A20" s="23" t="s">
        <v>26</v>
      </c>
      <c r="B20" s="25" t="s">
        <v>54</v>
      </c>
      <c r="C20" s="23" t="s">
        <v>63</v>
      </c>
      <c r="D20" s="24">
        <v>25.35</v>
      </c>
      <c r="E20" s="24">
        <v>2404.14</v>
      </c>
      <c r="F20" s="32">
        <f>'Memória 03'!E11</f>
        <v>0</v>
      </c>
      <c r="G20" s="30">
        <f>F20+BM.02!G20</f>
        <v>0</v>
      </c>
      <c r="H20" s="39">
        <f>ROUND(E20*D20,2)</f>
        <v>60944.95</v>
      </c>
      <c r="I20" s="40">
        <f>ROUND(D20*F20,2)</f>
        <v>0</v>
      </c>
      <c r="J20" s="39">
        <f>ROUND(D20*G20,2)</f>
        <v>0</v>
      </c>
    </row>
    <row r="21" spans="1:11" s="5" customFormat="1" ht="30" customHeight="1" x14ac:dyDescent="0.25">
      <c r="A21" s="33" t="s">
        <v>28</v>
      </c>
      <c r="B21" s="34" t="s">
        <v>55</v>
      </c>
      <c r="C21" s="35"/>
      <c r="D21" s="36"/>
      <c r="E21" s="36"/>
      <c r="F21" s="36"/>
      <c r="G21" s="36"/>
      <c r="H21" s="38">
        <f>SUM(H22:H23)</f>
        <v>2531042.2999999998</v>
      </c>
      <c r="I21" s="38">
        <f>SUM(I22:I23)</f>
        <v>698573.62</v>
      </c>
      <c r="J21" s="38">
        <f>SUM(J22:J23)</f>
        <v>1665680.39</v>
      </c>
    </row>
    <row r="22" spans="1:11" s="5" customFormat="1" ht="30" customHeight="1" x14ac:dyDescent="0.25">
      <c r="A22" s="23" t="s">
        <v>25</v>
      </c>
      <c r="B22" s="25" t="s">
        <v>77</v>
      </c>
      <c r="C22" s="23" t="s">
        <v>64</v>
      </c>
      <c r="D22" s="24">
        <v>4982.49</v>
      </c>
      <c r="E22" s="24">
        <v>31.12</v>
      </c>
      <c r="F22" s="32">
        <f>'Memória 03'!E13</f>
        <v>9.81</v>
      </c>
      <c r="G22" s="30">
        <f>F22+BM.02!G22</f>
        <v>23.4</v>
      </c>
      <c r="H22" s="39">
        <f>ROUND(E22*D22,2)</f>
        <v>155055.09</v>
      </c>
      <c r="I22" s="40">
        <f t="shared" ref="I22:I23" si="3">ROUND(D22*F22,2)</f>
        <v>48878.23</v>
      </c>
      <c r="J22" s="39">
        <f t="shared" ref="J22:J23" si="4">ROUND(D22*G22,2)</f>
        <v>116590.27</v>
      </c>
    </row>
    <row r="23" spans="1:11" s="5" customFormat="1" ht="30" customHeight="1" x14ac:dyDescent="0.25">
      <c r="A23" s="23" t="s">
        <v>29</v>
      </c>
      <c r="B23" s="25" t="s">
        <v>56</v>
      </c>
      <c r="C23" s="23" t="s">
        <v>64</v>
      </c>
      <c r="D23" s="24">
        <v>6626.84</v>
      </c>
      <c r="E23" s="24">
        <v>358.54</v>
      </c>
      <c r="F23" s="32">
        <f>'Memória 03'!E14</f>
        <v>98.04</v>
      </c>
      <c r="G23" s="30">
        <f>F23+BM.02!G23</f>
        <v>233.76</v>
      </c>
      <c r="H23" s="39">
        <f>ROUND(E23*D23,2)</f>
        <v>2375987.21</v>
      </c>
      <c r="I23" s="40">
        <f t="shared" si="3"/>
        <v>649695.39</v>
      </c>
      <c r="J23" s="39">
        <f t="shared" si="4"/>
        <v>1549090.12</v>
      </c>
    </row>
    <row r="24" spans="1:11" s="5" customFormat="1" ht="30" customHeight="1" x14ac:dyDescent="0.25">
      <c r="A24" s="33" t="s">
        <v>48</v>
      </c>
      <c r="B24" s="34" t="s">
        <v>57</v>
      </c>
      <c r="C24" s="35"/>
      <c r="D24" s="36"/>
      <c r="E24" s="36"/>
      <c r="F24" s="36"/>
      <c r="G24" s="36"/>
      <c r="H24" s="38">
        <f>H25</f>
        <v>1478.61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49</v>
      </c>
      <c r="B25" s="25" t="s">
        <v>58</v>
      </c>
      <c r="C25" s="23" t="s">
        <v>59</v>
      </c>
      <c r="D25" s="24">
        <v>328.58</v>
      </c>
      <c r="E25" s="24">
        <v>4.5</v>
      </c>
      <c r="F25" s="32">
        <f>'Memória 03'!E16</f>
        <v>0</v>
      </c>
      <c r="G25" s="30">
        <f>F25+BM.02!G25</f>
        <v>0</v>
      </c>
      <c r="H25" s="39">
        <f>ROUND(E25*D25,2)</f>
        <v>1478.61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95" t="s">
        <v>67</v>
      </c>
      <c r="B26" s="96"/>
      <c r="C26" s="96"/>
      <c r="D26" s="96"/>
      <c r="E26" s="96"/>
      <c r="F26" s="96"/>
      <c r="G26" s="97"/>
      <c r="H26" s="41">
        <f>H14+H19+H21+H24</f>
        <v>3921026.62</v>
      </c>
      <c r="I26" s="41">
        <f>I14+I19+I21+I24</f>
        <v>1104140.1000000001</v>
      </c>
      <c r="J26" s="41">
        <f>J14+J19+J21+J24</f>
        <v>2632701.36</v>
      </c>
      <c r="K26" s="70">
        <f>J26/H26</f>
        <v>0.6714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98" t="s">
        <v>27</v>
      </c>
      <c r="B28" s="98"/>
      <c r="C28" s="98"/>
      <c r="D28" s="99">
        <f>I26</f>
        <v>1104140.1000000001</v>
      </c>
      <c r="E28" s="99"/>
      <c r="F28" s="100"/>
      <c r="G28" s="100"/>
      <c r="H28" s="100"/>
      <c r="I28" s="100"/>
      <c r="J28" s="100"/>
      <c r="K28" s="71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1"/>
      <c r="H30" s="101"/>
      <c r="I30" s="101"/>
      <c r="J30" s="101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288C-2FE6-4DEE-82FA-AE0ED45BD359}">
  <dimension ref="A1:I18"/>
  <sheetViews>
    <sheetView view="pageBreakPreview" topLeftCell="B6" zoomScaleNormal="100" zoomScaleSheetLayoutView="100" workbookViewId="0">
      <selection activeCell="E8" sqref="E8"/>
    </sheetView>
  </sheetViews>
  <sheetFormatPr defaultRowHeight="15" x14ac:dyDescent="0.25"/>
  <cols>
    <col min="2" max="2" width="51.7109375" style="69" customWidth="1"/>
    <col min="3" max="3" width="9.140625" style="62"/>
    <col min="4" max="4" width="105.5703125" customWidth="1"/>
    <col min="5" max="5" width="9.42578125" style="49" customWidth="1"/>
  </cols>
  <sheetData>
    <row r="1" spans="1:9" ht="26.25" x14ac:dyDescent="0.25">
      <c r="A1" s="120" t="s">
        <v>88</v>
      </c>
      <c r="B1" s="121"/>
      <c r="C1" s="121"/>
      <c r="D1" s="122"/>
    </row>
    <row r="3" spans="1:9" x14ac:dyDescent="0.25">
      <c r="A3" s="50" t="s">
        <v>0</v>
      </c>
      <c r="B3" s="51" t="s">
        <v>60</v>
      </c>
      <c r="C3" s="50" t="s">
        <v>61</v>
      </c>
      <c r="D3" s="50" t="s">
        <v>62</v>
      </c>
    </row>
    <row r="4" spans="1:9" x14ac:dyDescent="0.25">
      <c r="A4" s="52"/>
      <c r="B4" s="53"/>
      <c r="C4" s="54"/>
      <c r="D4" s="52"/>
    </row>
    <row r="5" spans="1:9" x14ac:dyDescent="0.25">
      <c r="A5" s="55" t="s">
        <v>19</v>
      </c>
      <c r="B5" s="56" t="s">
        <v>50</v>
      </c>
      <c r="C5" s="57"/>
      <c r="D5" s="58"/>
    </row>
    <row r="6" spans="1:9" ht="210" x14ac:dyDescent="0.25">
      <c r="A6" s="59" t="s">
        <v>20</v>
      </c>
      <c r="B6" s="60" t="str">
        <f>BM.01!B15</f>
        <v>PINTURA DE LIGACAO EXCLUSIVE LIGANTE</v>
      </c>
      <c r="C6" s="61" t="s">
        <v>63</v>
      </c>
      <c r="D6" s="53" t="s">
        <v>90</v>
      </c>
      <c r="E6" s="49">
        <f>1621.18+946.37+533.61+1488.87+886.4+2394.81+217.01+1324.25+1610.17+854.55+1834+2381.3+2356.74+652.19+523.6</f>
        <v>19625.05</v>
      </c>
      <c r="G6" s="62">
        <f>94.4*((5.38+5.36+5.9)/3 )</f>
        <v>523.60533333333296</v>
      </c>
      <c r="H6">
        <f>300+13.7+39.9+21.5+47.8</f>
        <v>422.9</v>
      </c>
      <c r="I6">
        <f>(5.9+7.8)*25.5/2</f>
        <v>174.67500000000001</v>
      </c>
    </row>
    <row r="7" spans="1:9" ht="30" x14ac:dyDescent="0.25">
      <c r="A7" s="59" t="s">
        <v>21</v>
      </c>
      <c r="B7" s="60" t="str">
        <f>BM.01!B16</f>
        <v>CBUQ COM BRITA COMERCIAL EXCL LIGANTE</v>
      </c>
      <c r="C7" s="61" t="s">
        <v>64</v>
      </c>
      <c r="D7" s="63" t="s">
        <v>92</v>
      </c>
      <c r="E7" s="49">
        <f>((E6)*0.04*2.4)+1.35</f>
        <v>1885.35</v>
      </c>
      <c r="G7">
        <f>0.06*9.4</f>
        <v>0.56399999999999995</v>
      </c>
      <c r="H7">
        <f>G7*2.4</f>
        <v>1.3535999999999999</v>
      </c>
    </row>
    <row r="8" spans="1:9" x14ac:dyDescent="0.25">
      <c r="A8" s="59" t="s">
        <v>22</v>
      </c>
      <c r="B8" s="60" t="str">
        <f>BM.01!B17</f>
        <v>TRANSPORTE DE MATERIAIS ASFALTICO A QUENTE</v>
      </c>
      <c r="C8" s="61" t="s">
        <v>65</v>
      </c>
      <c r="D8" s="52" t="s">
        <v>81</v>
      </c>
      <c r="E8" s="49">
        <f>E13*465</f>
        <v>4561.6499999999996</v>
      </c>
    </row>
    <row r="9" spans="1:9" x14ac:dyDescent="0.25">
      <c r="A9" s="59" t="s">
        <v>23</v>
      </c>
      <c r="B9" s="60" t="str">
        <f>BM.01!B18</f>
        <v>TRANSPORTE DE MATERIAIS ASFALTICO A FRIO</v>
      </c>
      <c r="C9" s="61" t="s">
        <v>65</v>
      </c>
      <c r="D9" s="53" t="s">
        <v>82</v>
      </c>
      <c r="E9" s="49">
        <f>E14*465</f>
        <v>45588.6</v>
      </c>
    </row>
    <row r="10" spans="1:9" x14ac:dyDescent="0.25">
      <c r="A10" s="55" t="s">
        <v>24</v>
      </c>
      <c r="B10" s="56" t="s">
        <v>53</v>
      </c>
      <c r="C10" s="65"/>
      <c r="D10" s="65"/>
    </row>
    <row r="11" spans="1:9" ht="30" x14ac:dyDescent="0.25">
      <c r="A11" s="59" t="s">
        <v>26</v>
      </c>
      <c r="B11" s="64" t="str">
        <f>BM.01!B20</f>
        <v>SINALIZACAO HORIZONTAL COM TINTA 2 ANOS DURACAO</v>
      </c>
      <c r="C11" s="66" t="s">
        <v>63</v>
      </c>
      <c r="D11" s="53"/>
    </row>
    <row r="12" spans="1:9" x14ac:dyDescent="0.25">
      <c r="A12" s="55" t="s">
        <v>28</v>
      </c>
      <c r="B12" s="56" t="s">
        <v>66</v>
      </c>
      <c r="C12" s="58"/>
      <c r="D12" s="58"/>
    </row>
    <row r="13" spans="1:9" x14ac:dyDescent="0.25">
      <c r="A13" s="59" t="s">
        <v>25</v>
      </c>
      <c r="B13" s="64" t="str">
        <f>BM.01!B22</f>
        <v>EMULSAO ASFALTICA RR-2C EXCLUSIVE TRANSPORTE</v>
      </c>
      <c r="C13" s="54" t="s">
        <v>64</v>
      </c>
      <c r="D13" s="52" t="s">
        <v>78</v>
      </c>
      <c r="E13" s="49">
        <f>E6*0.0005</f>
        <v>9.81</v>
      </c>
      <c r="F13" s="67"/>
    </row>
    <row r="14" spans="1:9" x14ac:dyDescent="0.25">
      <c r="A14" s="59" t="s">
        <v>29</v>
      </c>
      <c r="B14" s="64" t="str">
        <f>BM.01!B23</f>
        <v xml:space="preserve">CIMENTO ASFALTICO CAP 50/70 EXCLUSIVE TRANSPORTE </v>
      </c>
      <c r="C14" s="54" t="s">
        <v>64</v>
      </c>
      <c r="D14" s="53" t="s">
        <v>80</v>
      </c>
      <c r="E14" s="49">
        <f>E7*0.052</f>
        <v>98.04</v>
      </c>
      <c r="F14">
        <f>E7*0.06</f>
        <v>113.121</v>
      </c>
    </row>
    <row r="15" spans="1:9" x14ac:dyDescent="0.25">
      <c r="A15" s="68" t="str">
        <f>BM.01!A24</f>
        <v>4.0</v>
      </c>
      <c r="B15" s="56" t="str">
        <f>BM.01!B24</f>
        <v>PLACA DA OBRA</v>
      </c>
      <c r="C15" s="58"/>
      <c r="D15" s="58"/>
      <c r="F15" s="49">
        <f>F14-E14</f>
        <v>15.08</v>
      </c>
    </row>
    <row r="16" spans="1:9" x14ac:dyDescent="0.25">
      <c r="A16" s="59" t="s">
        <v>49</v>
      </c>
      <c r="B16" s="64" t="str">
        <f>BM.01!B25</f>
        <v>PLACA INDICATIVA DE OBRA</v>
      </c>
      <c r="C16" s="66" t="s">
        <v>68</v>
      </c>
      <c r="D16" s="52"/>
      <c r="F16">
        <f>F15*BM.01!D23</f>
        <v>99932.747199999998</v>
      </c>
    </row>
    <row r="18" spans="1:1" x14ac:dyDescent="0.25">
      <c r="A18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26FD-D80C-4471-A06E-6ED61F7D2E2B}">
  <sheetPr codeName="Plan20"/>
  <dimension ref="A1:L36"/>
  <sheetViews>
    <sheetView view="pageBreakPreview" topLeftCell="A8" zoomScale="90" zoomScaleNormal="100" zoomScaleSheetLayoutView="90" workbookViewId="0">
      <selection activeCell="L26" sqref="L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85546875" style="1" bestFit="1" customWidth="1"/>
    <col min="12" max="12" width="11.7109375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113" t="s">
        <v>31</v>
      </c>
      <c r="B1" s="114"/>
      <c r="C1" s="114"/>
      <c r="D1" s="114"/>
      <c r="E1" s="114"/>
      <c r="F1" s="114"/>
      <c r="G1" s="114"/>
      <c r="H1" s="114"/>
      <c r="I1" s="115"/>
      <c r="J1" s="3" t="s">
        <v>2</v>
      </c>
    </row>
    <row r="2" spans="1:11" s="5" customFormat="1" ht="16.5" customHeight="1" x14ac:dyDescent="0.25">
      <c r="A2" s="116"/>
      <c r="B2" s="117"/>
      <c r="C2" s="117"/>
      <c r="D2" s="117"/>
      <c r="E2" s="117"/>
      <c r="F2" s="117"/>
      <c r="G2" s="117"/>
      <c r="H2" s="117"/>
      <c r="I2" s="118"/>
      <c r="J2" s="45" t="s">
        <v>94</v>
      </c>
    </row>
    <row r="3" spans="1:11" s="5" customFormat="1" ht="18.75" customHeight="1" x14ac:dyDescent="0.25">
      <c r="A3" s="77" t="s">
        <v>32</v>
      </c>
      <c r="B3" s="79"/>
      <c r="C3" s="77" t="s">
        <v>33</v>
      </c>
      <c r="D3" s="78"/>
      <c r="E3" s="78"/>
      <c r="F3" s="79"/>
      <c r="G3" s="77" t="s">
        <v>34</v>
      </c>
      <c r="H3" s="79"/>
      <c r="I3" s="46" t="s">
        <v>35</v>
      </c>
      <c r="J3" s="46" t="s">
        <v>45</v>
      </c>
    </row>
    <row r="4" spans="1:11" s="5" customFormat="1" ht="21.75" customHeight="1" x14ac:dyDescent="0.25">
      <c r="A4" s="109" t="s">
        <v>44</v>
      </c>
      <c r="B4" s="110"/>
      <c r="C4" s="111" t="s">
        <v>44</v>
      </c>
      <c r="D4" s="119"/>
      <c r="E4" s="119"/>
      <c r="F4" s="112"/>
      <c r="G4" s="111"/>
      <c r="H4" s="112"/>
      <c r="I4" s="47">
        <v>45464</v>
      </c>
      <c r="J4" s="47" t="s">
        <v>69</v>
      </c>
    </row>
    <row r="5" spans="1:11" s="5" customFormat="1" ht="18.75" customHeight="1" x14ac:dyDescent="0.25">
      <c r="A5" s="77" t="s">
        <v>36</v>
      </c>
      <c r="B5" s="79"/>
      <c r="C5" s="77" t="s">
        <v>37</v>
      </c>
      <c r="D5" s="79"/>
      <c r="E5" s="77" t="s">
        <v>38</v>
      </c>
      <c r="F5" s="79"/>
      <c r="G5" s="46" t="s">
        <v>39</v>
      </c>
      <c r="H5" s="46" t="s">
        <v>40</v>
      </c>
      <c r="I5" s="77" t="s">
        <v>41</v>
      </c>
      <c r="J5" s="79"/>
    </row>
    <row r="6" spans="1:11" s="5" customFormat="1" ht="24" customHeight="1" x14ac:dyDescent="0.25">
      <c r="A6" s="89" t="s">
        <v>46</v>
      </c>
      <c r="B6" s="90"/>
      <c r="C6" s="91"/>
      <c r="D6" s="92"/>
      <c r="E6" s="93"/>
      <c r="F6" s="94"/>
      <c r="G6" s="47">
        <v>45463</v>
      </c>
      <c r="H6" s="47" t="s">
        <v>83</v>
      </c>
      <c r="I6" s="87">
        <v>45733</v>
      </c>
      <c r="J6" s="88"/>
    </row>
    <row r="7" spans="1:11" s="5" customFormat="1" ht="18.75" customHeight="1" x14ac:dyDescent="0.25">
      <c r="A7" s="75" t="s">
        <v>4</v>
      </c>
      <c r="B7" s="76"/>
      <c r="C7" s="77" t="s">
        <v>42</v>
      </c>
      <c r="D7" s="78"/>
      <c r="E7" s="79"/>
      <c r="F7" s="26" t="s">
        <v>43</v>
      </c>
      <c r="G7" s="77" t="s">
        <v>5</v>
      </c>
      <c r="H7" s="79"/>
      <c r="I7" s="77" t="s">
        <v>72</v>
      </c>
      <c r="J7" s="79"/>
    </row>
    <row r="8" spans="1:11" s="5" customFormat="1" ht="48" customHeight="1" x14ac:dyDescent="0.25">
      <c r="A8" s="80" t="s">
        <v>71</v>
      </c>
      <c r="B8" s="81"/>
      <c r="C8" s="82" t="s">
        <v>47</v>
      </c>
      <c r="D8" s="83"/>
      <c r="E8" s="84"/>
      <c r="F8" s="48">
        <v>3921050.63</v>
      </c>
      <c r="G8" s="85">
        <f>BM.04!$I$26</f>
        <v>927124.35</v>
      </c>
      <c r="H8" s="86"/>
      <c r="I8" s="87" t="s">
        <v>95</v>
      </c>
      <c r="J8" s="88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102" t="s">
        <v>1</v>
      </c>
      <c r="F10" s="102"/>
      <c r="G10" s="102"/>
      <c r="H10" s="103" t="s">
        <v>7</v>
      </c>
      <c r="I10" s="102"/>
      <c r="J10" s="104"/>
    </row>
    <row r="11" spans="1:11" s="5" customFormat="1" x14ac:dyDescent="0.25">
      <c r="A11" s="105" t="s">
        <v>0</v>
      </c>
      <c r="B11" s="106" t="s">
        <v>8</v>
      </c>
      <c r="C11" s="107" t="s">
        <v>9</v>
      </c>
      <c r="D11" s="108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105"/>
      <c r="B12" s="106"/>
      <c r="C12" s="107"/>
      <c r="D12" s="108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50</v>
      </c>
      <c r="C14" s="35"/>
      <c r="D14" s="36"/>
      <c r="E14" s="36"/>
      <c r="F14" s="36"/>
      <c r="G14" s="37"/>
      <c r="H14" s="38">
        <f>SUM(H15:H18)</f>
        <v>1327560.76</v>
      </c>
      <c r="I14" s="38">
        <f>SUM(I15:I18)</f>
        <v>327602.32</v>
      </c>
      <c r="J14" s="38">
        <f>SUM(J15:J18)</f>
        <v>1294623.28</v>
      </c>
    </row>
    <row r="15" spans="1:11" s="5" customFormat="1" ht="30" customHeight="1" x14ac:dyDescent="0.25">
      <c r="A15" s="23" t="s">
        <v>20</v>
      </c>
      <c r="B15" s="28" t="s">
        <v>74</v>
      </c>
      <c r="C15" s="29" t="s">
        <v>63</v>
      </c>
      <c r="D15" s="30">
        <v>0.32</v>
      </c>
      <c r="E15" s="30">
        <v>62246.1</v>
      </c>
      <c r="F15" s="32">
        <f>'Memória 04'!E6</f>
        <v>15297.82</v>
      </c>
      <c r="G15" s="30">
        <f>F15+BM.03!G15</f>
        <v>62110.12</v>
      </c>
      <c r="H15" s="39">
        <f>ROUND(E15*D15,2)</f>
        <v>19918.75</v>
      </c>
      <c r="I15" s="40">
        <f>ROUND(D15*F15,2)</f>
        <v>4895.3</v>
      </c>
      <c r="J15" s="39">
        <f>ROUND(D15*G15,2)</f>
        <v>19875.240000000002</v>
      </c>
      <c r="K15" s="70">
        <f>J15/H15</f>
        <v>0.99780000000000002</v>
      </c>
    </row>
    <row r="16" spans="1:11" s="5" customFormat="1" ht="30" customHeight="1" x14ac:dyDescent="0.25">
      <c r="A16" s="23" t="s">
        <v>21</v>
      </c>
      <c r="B16" s="25" t="s">
        <v>75</v>
      </c>
      <c r="C16" s="23" t="s">
        <v>64</v>
      </c>
      <c r="D16" s="24">
        <v>191.35</v>
      </c>
      <c r="E16" s="24">
        <v>5975.63</v>
      </c>
      <c r="F16" s="32">
        <f>'Memória 04'!E7</f>
        <v>1468.59</v>
      </c>
      <c r="G16" s="30">
        <f>F16+BM.03!G16</f>
        <v>5963.92</v>
      </c>
      <c r="H16" s="39">
        <f t="shared" ref="H16:H18" si="0">ROUND(E16*D16,2)</f>
        <v>1143436.8</v>
      </c>
      <c r="I16" s="40">
        <f t="shared" ref="I16:I18" si="1">ROUND(D16*F16,2)</f>
        <v>281014.7</v>
      </c>
      <c r="J16" s="39">
        <f t="shared" ref="J16:J18" si="2">ROUND(D16*G16,2)</f>
        <v>1141196.0900000001</v>
      </c>
      <c r="K16" s="70">
        <f t="shared" ref="K16:K25" si="3">J16/H16</f>
        <v>0.998</v>
      </c>
    </row>
    <row r="17" spans="1:12" s="5" customFormat="1" ht="30" customHeight="1" x14ac:dyDescent="0.25">
      <c r="A17" s="23" t="s">
        <v>22</v>
      </c>
      <c r="B17" s="25" t="s">
        <v>52</v>
      </c>
      <c r="C17" s="23" t="s">
        <v>65</v>
      </c>
      <c r="D17" s="24">
        <v>0.85</v>
      </c>
      <c r="E17" s="24">
        <v>179268.77</v>
      </c>
      <c r="F17" s="32">
        <f>'Memória 04'!E8</f>
        <v>133329.45000000001</v>
      </c>
      <c r="G17" s="30">
        <f>F17+BM.03!G17</f>
        <v>144210.45000000001</v>
      </c>
      <c r="H17" s="39">
        <f t="shared" si="0"/>
        <v>152378.45000000001</v>
      </c>
      <c r="I17" s="40">
        <f t="shared" si="1"/>
        <v>113330.03</v>
      </c>
      <c r="J17" s="39">
        <f t="shared" si="2"/>
        <v>122578.88</v>
      </c>
      <c r="K17" s="70">
        <f t="shared" si="3"/>
        <v>0.8044</v>
      </c>
    </row>
    <row r="18" spans="1:12" s="5" customFormat="1" ht="30" customHeight="1" x14ac:dyDescent="0.25">
      <c r="A18" s="23" t="s">
        <v>23</v>
      </c>
      <c r="B18" s="25" t="s">
        <v>51</v>
      </c>
      <c r="C18" s="23" t="s">
        <v>65</v>
      </c>
      <c r="D18" s="24">
        <v>0.76</v>
      </c>
      <c r="E18" s="24">
        <v>15561.53</v>
      </c>
      <c r="F18" s="32">
        <f>'Memória 04'!E9</f>
        <v>-94260.15</v>
      </c>
      <c r="G18" s="30">
        <f>F18+BM.03!G18</f>
        <v>14438.25</v>
      </c>
      <c r="H18" s="39">
        <f t="shared" si="0"/>
        <v>11826.76</v>
      </c>
      <c r="I18" s="40">
        <f t="shared" si="1"/>
        <v>-71637.710000000006</v>
      </c>
      <c r="J18" s="39">
        <f t="shared" si="2"/>
        <v>10973.07</v>
      </c>
      <c r="K18" s="70">
        <f t="shared" si="3"/>
        <v>0.92779999999999996</v>
      </c>
    </row>
    <row r="19" spans="1:12" s="5" customFormat="1" ht="30" customHeight="1" x14ac:dyDescent="0.25">
      <c r="A19" s="33" t="s">
        <v>24</v>
      </c>
      <c r="B19" s="34" t="s">
        <v>53</v>
      </c>
      <c r="C19" s="35"/>
      <c r="D19" s="36"/>
      <c r="E19" s="36"/>
      <c r="F19" s="36"/>
      <c r="G19" s="36"/>
      <c r="H19" s="38">
        <f>H20</f>
        <v>60944.95</v>
      </c>
      <c r="I19" s="38">
        <f>SUM(I20:I20)</f>
        <v>55314.21</v>
      </c>
      <c r="J19" s="38">
        <f>SUM(J20:J20)</f>
        <v>55314.21</v>
      </c>
    </row>
    <row r="20" spans="1:12" s="5" customFormat="1" ht="30" customHeight="1" x14ac:dyDescent="0.25">
      <c r="A20" s="23" t="s">
        <v>26</v>
      </c>
      <c r="B20" s="25" t="s">
        <v>54</v>
      </c>
      <c r="C20" s="23" t="s">
        <v>63</v>
      </c>
      <c r="D20" s="24">
        <v>25.35</v>
      </c>
      <c r="E20" s="24">
        <v>2404.14</v>
      </c>
      <c r="F20" s="32">
        <f>'Memória 04'!E11</f>
        <v>2182.02</v>
      </c>
      <c r="G20" s="30">
        <f>F20+BM.03!G20</f>
        <v>2182.02</v>
      </c>
      <c r="H20" s="39">
        <f>ROUND(E20*D20,2)</f>
        <v>60944.95</v>
      </c>
      <c r="I20" s="40">
        <f>ROUND(D20*F20,2)</f>
        <v>55314.21</v>
      </c>
      <c r="J20" s="39">
        <f>ROUND(D20*G20,2)</f>
        <v>55314.21</v>
      </c>
      <c r="K20" s="70">
        <f t="shared" si="3"/>
        <v>0.90759999999999996</v>
      </c>
    </row>
    <row r="21" spans="1:12" s="5" customFormat="1" ht="30" customHeight="1" x14ac:dyDescent="0.25">
      <c r="A21" s="33" t="s">
        <v>28</v>
      </c>
      <c r="B21" s="34" t="s">
        <v>55</v>
      </c>
      <c r="C21" s="35"/>
      <c r="D21" s="36"/>
      <c r="E21" s="36"/>
      <c r="F21" s="36"/>
      <c r="G21" s="36"/>
      <c r="H21" s="38">
        <f>SUM(H22:H23)</f>
        <v>2531042.2999999998</v>
      </c>
      <c r="I21" s="38">
        <f>SUM(I22:I23)</f>
        <v>544207.81999999995</v>
      </c>
      <c r="J21" s="38">
        <f>SUM(J22:J23)</f>
        <v>2209888.2000000002</v>
      </c>
    </row>
    <row r="22" spans="1:12" s="5" customFormat="1" ht="30" customHeight="1" x14ac:dyDescent="0.25">
      <c r="A22" s="23" t="s">
        <v>25</v>
      </c>
      <c r="B22" s="25" t="s">
        <v>77</v>
      </c>
      <c r="C22" s="23" t="s">
        <v>64</v>
      </c>
      <c r="D22" s="24">
        <v>4982.49</v>
      </c>
      <c r="E22" s="24">
        <v>31.12</v>
      </c>
      <c r="F22" s="32">
        <f>'Memória 04'!E13</f>
        <v>7.65</v>
      </c>
      <c r="G22" s="30">
        <f>F22+BM.03!G22</f>
        <v>31.05</v>
      </c>
      <c r="H22" s="39">
        <f>ROUND(E22*D22,2)</f>
        <v>155055.09</v>
      </c>
      <c r="I22" s="40">
        <f t="shared" ref="I22:I23" si="4">ROUND(D22*F22,2)</f>
        <v>38116.050000000003</v>
      </c>
      <c r="J22" s="39">
        <f t="shared" ref="J22:J23" si="5">ROUND(D22*G22,2)</f>
        <v>154706.31</v>
      </c>
      <c r="K22" s="70">
        <f t="shared" si="3"/>
        <v>0.99780000000000002</v>
      </c>
    </row>
    <row r="23" spans="1:12" s="5" customFormat="1" ht="30" customHeight="1" x14ac:dyDescent="0.25">
      <c r="A23" s="23" t="s">
        <v>29</v>
      </c>
      <c r="B23" s="25" t="s">
        <v>56</v>
      </c>
      <c r="C23" s="23" t="s">
        <v>64</v>
      </c>
      <c r="D23" s="24">
        <v>6626.84</v>
      </c>
      <c r="E23" s="24">
        <v>358.54</v>
      </c>
      <c r="F23" s="32">
        <f>'Memória 04'!E14</f>
        <v>76.37</v>
      </c>
      <c r="G23" s="30">
        <f>F23+BM.03!G23</f>
        <v>310.13</v>
      </c>
      <c r="H23" s="39">
        <f>ROUND(E23*D23,2)</f>
        <v>2375987.21</v>
      </c>
      <c r="I23" s="40">
        <f t="shared" si="4"/>
        <v>506091.77</v>
      </c>
      <c r="J23" s="39">
        <f t="shared" si="5"/>
        <v>2055181.89</v>
      </c>
      <c r="K23" s="70">
        <f t="shared" si="3"/>
        <v>0.86499999999999999</v>
      </c>
    </row>
    <row r="24" spans="1:12" s="5" customFormat="1" ht="30" customHeight="1" x14ac:dyDescent="0.25">
      <c r="A24" s="33" t="s">
        <v>48</v>
      </c>
      <c r="B24" s="34" t="s">
        <v>57</v>
      </c>
      <c r="C24" s="35"/>
      <c r="D24" s="36"/>
      <c r="E24" s="36"/>
      <c r="F24" s="36"/>
      <c r="G24" s="36"/>
      <c r="H24" s="38">
        <f>H25</f>
        <v>1478.61</v>
      </c>
      <c r="I24" s="38">
        <f>SUM(I25:I25)</f>
        <v>0</v>
      </c>
      <c r="J24" s="38">
        <f>SUM(J25:J25)</f>
        <v>0</v>
      </c>
    </row>
    <row r="25" spans="1:12" s="5" customFormat="1" ht="30" customHeight="1" x14ac:dyDescent="0.25">
      <c r="A25" s="23" t="s">
        <v>49</v>
      </c>
      <c r="B25" s="25" t="s">
        <v>58</v>
      </c>
      <c r="C25" s="23" t="s">
        <v>59</v>
      </c>
      <c r="D25" s="24">
        <v>328.58</v>
      </c>
      <c r="E25" s="24">
        <v>4.5</v>
      </c>
      <c r="F25" s="32">
        <f>'Memória 04'!E16</f>
        <v>0</v>
      </c>
      <c r="G25" s="30">
        <f>F25+BM.03!G25</f>
        <v>0</v>
      </c>
      <c r="H25" s="39">
        <f>ROUND(E25*D25,2)</f>
        <v>1478.61</v>
      </c>
      <c r="I25" s="40">
        <f>ROUND(D25*F25,2)</f>
        <v>0</v>
      </c>
      <c r="J25" s="39">
        <f>ROUND(D25*G25,2)</f>
        <v>0</v>
      </c>
      <c r="K25" s="70">
        <f t="shared" si="3"/>
        <v>0</v>
      </c>
    </row>
    <row r="26" spans="1:12" s="5" customFormat="1" ht="30" customHeight="1" x14ac:dyDescent="0.25">
      <c r="A26" s="95" t="s">
        <v>67</v>
      </c>
      <c r="B26" s="96"/>
      <c r="C26" s="96"/>
      <c r="D26" s="96"/>
      <c r="E26" s="96"/>
      <c r="F26" s="96"/>
      <c r="G26" s="97"/>
      <c r="H26" s="41">
        <f>H14+H19+H21+H24</f>
        <v>3921026.62</v>
      </c>
      <c r="I26" s="41">
        <f>I14+I19+I21+I24</f>
        <v>927124.35</v>
      </c>
      <c r="J26" s="41">
        <f>J14+J19+J21+J24</f>
        <v>3559825.69</v>
      </c>
      <c r="K26" s="70">
        <f>J26/H26</f>
        <v>0.90790000000000004</v>
      </c>
      <c r="L26" s="72">
        <f>H26-J26</f>
        <v>361200.93</v>
      </c>
    </row>
    <row r="27" spans="1:12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2" ht="22.5" customHeight="1" x14ac:dyDescent="0.25">
      <c r="A28" s="98" t="s">
        <v>27</v>
      </c>
      <c r="B28" s="98"/>
      <c r="C28" s="98"/>
      <c r="D28" s="99">
        <f>I26</f>
        <v>927124.35</v>
      </c>
      <c r="E28" s="99"/>
      <c r="F28" s="100"/>
      <c r="G28" s="100"/>
      <c r="H28" s="100"/>
      <c r="I28" s="100"/>
      <c r="J28" s="100"/>
      <c r="K28" s="71"/>
    </row>
    <row r="29" spans="1:12" ht="8.25" customHeight="1" x14ac:dyDescent="0.25">
      <c r="C29" s="18"/>
      <c r="E29" s="19"/>
      <c r="F29" s="19"/>
    </row>
    <row r="30" spans="1:12" ht="17.25" customHeight="1" x14ac:dyDescent="0.25">
      <c r="C30" s="20"/>
      <c r="D30" s="20"/>
      <c r="E30" s="20"/>
      <c r="G30" s="101"/>
      <c r="H30" s="101"/>
      <c r="I30" s="101"/>
      <c r="J30" s="101"/>
    </row>
    <row r="31" spans="1:12" ht="6" customHeight="1" x14ac:dyDescent="0.25"/>
    <row r="34" spans="2:10" ht="15" x14ac:dyDescent="0.25">
      <c r="B34" s="62" t="s">
        <v>101</v>
      </c>
      <c r="D34" t="s">
        <v>102</v>
      </c>
      <c r="E34"/>
      <c r="F34"/>
      <c r="G34"/>
      <c r="H34" s="123" t="s">
        <v>103</v>
      </c>
      <c r="I34" s="123"/>
      <c r="J34" s="123"/>
    </row>
    <row r="35" spans="2:10" ht="15" x14ac:dyDescent="0.25">
      <c r="B35" s="62" t="s">
        <v>104</v>
      </c>
      <c r="C35" s="123" t="s">
        <v>105</v>
      </c>
      <c r="D35" s="123"/>
      <c r="E35" s="123"/>
      <c r="F35" s="123"/>
      <c r="G35" s="123"/>
      <c r="H35" s="123" t="s">
        <v>106</v>
      </c>
      <c r="I35" s="123"/>
      <c r="J35" s="123"/>
    </row>
    <row r="36" spans="2:10" x14ac:dyDescent="0.25">
      <c r="J36" s="44"/>
    </row>
  </sheetData>
  <mergeCells count="37">
    <mergeCell ref="H34:J34"/>
    <mergeCell ref="C35:G35"/>
    <mergeCell ref="H35:J35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28:C28"/>
    <mergeCell ref="D28:E28"/>
    <mergeCell ref="F28:J28"/>
    <mergeCell ref="G30:J30"/>
    <mergeCell ref="A11:A12"/>
    <mergeCell ref="B11:B12"/>
    <mergeCell ref="C11:C12"/>
    <mergeCell ref="D11:D12"/>
    <mergeCell ref="A26:G26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8D52-CC39-44CA-8968-1358997DEEFE}">
  <dimension ref="A1:I18"/>
  <sheetViews>
    <sheetView view="pageBreakPreview" topLeftCell="A6" zoomScale="90" zoomScaleNormal="100" zoomScaleSheetLayoutView="90" workbookViewId="0">
      <selection activeCell="D12" sqref="D12"/>
    </sheetView>
  </sheetViews>
  <sheetFormatPr defaultRowHeight="15" x14ac:dyDescent="0.25"/>
  <cols>
    <col min="2" max="2" width="51.7109375" style="69" customWidth="1"/>
    <col min="3" max="3" width="9.140625" style="62"/>
    <col min="4" max="4" width="105.5703125" customWidth="1"/>
    <col min="5" max="5" width="10.7109375" style="49" customWidth="1"/>
    <col min="6" max="6" width="11.42578125" customWidth="1"/>
    <col min="7" max="7" width="10.7109375" customWidth="1"/>
  </cols>
  <sheetData>
    <row r="1" spans="1:9" ht="26.25" x14ac:dyDescent="0.25">
      <c r="A1" s="120" t="s">
        <v>93</v>
      </c>
      <c r="B1" s="121"/>
      <c r="C1" s="121"/>
      <c r="D1" s="122"/>
    </row>
    <row r="3" spans="1:9" x14ac:dyDescent="0.25">
      <c r="A3" s="50" t="s">
        <v>0</v>
      </c>
      <c r="B3" s="51" t="s">
        <v>60</v>
      </c>
      <c r="C3" s="50" t="s">
        <v>61</v>
      </c>
      <c r="D3" s="50" t="s">
        <v>62</v>
      </c>
    </row>
    <row r="4" spans="1:9" x14ac:dyDescent="0.25">
      <c r="A4" s="52"/>
      <c r="B4" s="53"/>
      <c r="C4" s="54"/>
      <c r="D4" s="52"/>
    </row>
    <row r="5" spans="1:9" x14ac:dyDescent="0.25">
      <c r="A5" s="55" t="s">
        <v>19</v>
      </c>
      <c r="B5" s="56" t="s">
        <v>50</v>
      </c>
      <c r="C5" s="57"/>
      <c r="D5" s="58"/>
    </row>
    <row r="6" spans="1:9" ht="270" x14ac:dyDescent="0.25">
      <c r="A6" s="59" t="s">
        <v>20</v>
      </c>
      <c r="B6" s="60" t="str">
        <f>BM.01!B15</f>
        <v>PINTURA DE LIGACAO EXCLUSIVE LIGANTE</v>
      </c>
      <c r="C6" s="61" t="s">
        <v>63</v>
      </c>
      <c r="D6" s="53" t="s">
        <v>96</v>
      </c>
      <c r="E6" s="49">
        <f>610.26+441.48+209+217.69+439.42+235.5+236.9+226.24+231.79+185.75+972.77+835.79+1282.77+536.98+745.79+590.81+703.15+711.08+604.26+353.4+385.98+1575.86+515.28+334.11+756.85+1220.31+138.6</f>
        <v>15297.82</v>
      </c>
      <c r="F6">
        <f>274.6*( (5.1+4.35+4.35+4.6+4.5+4.5+5.3)/7)</f>
        <v>1282.77428571429</v>
      </c>
      <c r="G6" s="62">
        <f>94.4*((5.38+5.36+5.9)/3 )</f>
        <v>523.60533333333296</v>
      </c>
      <c r="H6">
        <f>300+13.7+39.9+21.5+47.8</f>
        <v>422.9</v>
      </c>
      <c r="I6">
        <f>(5.9+7.8)*25.5/2</f>
        <v>174.67500000000001</v>
      </c>
    </row>
    <row r="7" spans="1:9" x14ac:dyDescent="0.25">
      <c r="A7" s="59" t="s">
        <v>21</v>
      </c>
      <c r="B7" s="60" t="str">
        <f>BM.01!B16</f>
        <v>CBUQ COM BRITA COMERCIAL EXCL LIGANTE</v>
      </c>
      <c r="C7" s="61" t="s">
        <v>64</v>
      </c>
      <c r="D7" s="63" t="s">
        <v>97</v>
      </c>
      <c r="E7" s="49">
        <f>((E6)*0.04*2.4)</f>
        <v>1468.59</v>
      </c>
      <c r="G7">
        <f>0.06*9.4</f>
        <v>0.56399999999999995</v>
      </c>
      <c r="H7">
        <f>G7*2.4</f>
        <v>1.3535999999999999</v>
      </c>
    </row>
    <row r="8" spans="1:9" ht="45" x14ac:dyDescent="0.25">
      <c r="A8" s="59" t="s">
        <v>22</v>
      </c>
      <c r="B8" s="60" t="str">
        <f>BM.01!B17</f>
        <v>TRANSPORTE DE MATERIAIS ASFALTICO A QUENTE</v>
      </c>
      <c r="C8" s="61" t="s">
        <v>65</v>
      </c>
      <c r="D8" s="53" t="s">
        <v>98</v>
      </c>
      <c r="E8" s="49">
        <f>144210.45-F8</f>
        <v>133329.45000000001</v>
      </c>
      <c r="F8" s="49">
        <v>10881</v>
      </c>
      <c r="G8" s="49">
        <f>47588.1+15521.7+45588.6+35512.1</f>
        <v>144210.5</v>
      </c>
    </row>
    <row r="9" spans="1:9" ht="45" x14ac:dyDescent="0.25">
      <c r="A9" s="59" t="s">
        <v>23</v>
      </c>
      <c r="B9" s="60" t="str">
        <f>BM.01!B18</f>
        <v>TRANSPORTE DE MATERIAIS ASFALTICO A FRIO</v>
      </c>
      <c r="C9" s="61" t="s">
        <v>65</v>
      </c>
      <c r="D9" s="53" t="s">
        <v>99</v>
      </c>
      <c r="E9" s="49">
        <f>14438.25-F9</f>
        <v>-94260.15</v>
      </c>
      <c r="F9" s="49">
        <v>108698.4</v>
      </c>
      <c r="G9" s="49">
        <f>4766.25+1553.1+4561.65+3557.25</f>
        <v>14438.25</v>
      </c>
    </row>
    <row r="10" spans="1:9" x14ac:dyDescent="0.25">
      <c r="A10" s="55" t="s">
        <v>24</v>
      </c>
      <c r="B10" s="56" t="s">
        <v>53</v>
      </c>
      <c r="C10" s="65"/>
      <c r="D10" s="65"/>
    </row>
    <row r="11" spans="1:9" ht="30" x14ac:dyDescent="0.25">
      <c r="A11" s="59" t="s">
        <v>26</v>
      </c>
      <c r="B11" s="64" t="str">
        <f>BM.01!B20</f>
        <v>SINALIZACAO HORIZONTAL COM TINTA 2 ANOS DURACAO</v>
      </c>
      <c r="C11" s="66" t="s">
        <v>63</v>
      </c>
      <c r="D11" s="53" t="s">
        <v>100</v>
      </c>
      <c r="E11" s="49">
        <v>2182.02</v>
      </c>
    </row>
    <row r="12" spans="1:9" x14ac:dyDescent="0.25">
      <c r="A12" s="55" t="s">
        <v>28</v>
      </c>
      <c r="B12" s="56" t="s">
        <v>66</v>
      </c>
      <c r="C12" s="58"/>
      <c r="D12" s="58"/>
      <c r="F12">
        <f>E13*465</f>
        <v>3557.25</v>
      </c>
    </row>
    <row r="13" spans="1:9" x14ac:dyDescent="0.25">
      <c r="A13" s="59" t="s">
        <v>25</v>
      </c>
      <c r="B13" s="64" t="str">
        <f>BM.01!B22</f>
        <v>EMULSAO ASFALTICA RR-2C EXCLUSIVE TRANSPORTE</v>
      </c>
      <c r="C13" s="54" t="s">
        <v>64</v>
      </c>
      <c r="D13" s="52" t="s">
        <v>78</v>
      </c>
      <c r="E13" s="49">
        <f>E6*0.0005</f>
        <v>7.65</v>
      </c>
      <c r="F13" s="67"/>
    </row>
    <row r="14" spans="1:9" x14ac:dyDescent="0.25">
      <c r="A14" s="59" t="s">
        <v>29</v>
      </c>
      <c r="B14" s="64" t="str">
        <f>BM.01!B23</f>
        <v xml:space="preserve">CIMENTO ASFALTICO CAP 50/70 EXCLUSIVE TRANSPORTE </v>
      </c>
      <c r="C14" s="54" t="s">
        <v>64</v>
      </c>
      <c r="D14" s="53" t="s">
        <v>80</v>
      </c>
      <c r="E14" s="49">
        <f>E7*0.052</f>
        <v>76.37</v>
      </c>
      <c r="F14">
        <f>E7*0.06</f>
        <v>88.115399999999994</v>
      </c>
    </row>
    <row r="15" spans="1:9" x14ac:dyDescent="0.25">
      <c r="A15" s="68" t="str">
        <f>BM.01!A24</f>
        <v>4.0</v>
      </c>
      <c r="B15" s="56" t="str">
        <f>BM.01!B24</f>
        <v>PLACA DA OBRA</v>
      </c>
      <c r="C15" s="58"/>
      <c r="D15" s="58"/>
      <c r="F15" s="49">
        <f>F14-E14</f>
        <v>11.75</v>
      </c>
    </row>
    <row r="16" spans="1:9" x14ac:dyDescent="0.25">
      <c r="A16" s="59" t="s">
        <v>49</v>
      </c>
      <c r="B16" s="64" t="str">
        <f>BM.01!B25</f>
        <v>PLACA INDICATIVA DE OBRA</v>
      </c>
      <c r="C16" s="66" t="s">
        <v>68</v>
      </c>
      <c r="D16" s="52"/>
      <c r="F16">
        <f>F15*BM.01!D23</f>
        <v>77865.37</v>
      </c>
    </row>
    <row r="18" spans="1:1" x14ac:dyDescent="0.25">
      <c r="A18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8E1A-38E9-4C67-91B0-3968A378A0FF}">
  <sheetPr codeName="Plan22"/>
  <dimension ref="A1:M33"/>
  <sheetViews>
    <sheetView view="pageBreakPreview" topLeftCell="A15" zoomScale="90" zoomScaleNormal="100" zoomScaleSheetLayoutView="90" workbookViewId="0">
      <selection activeCell="A26" sqref="A26:J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12" width="14.7109375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113" t="s">
        <v>112</v>
      </c>
      <c r="B1" s="114"/>
      <c r="C1" s="114"/>
      <c r="D1" s="114"/>
      <c r="E1" s="114"/>
      <c r="F1" s="114"/>
      <c r="G1" s="114"/>
      <c r="H1" s="114"/>
      <c r="I1" s="114"/>
      <c r="J1" s="115"/>
    </row>
    <row r="2" spans="1:10" s="5" customFormat="1" ht="16.5" customHeight="1" x14ac:dyDescent="0.25">
      <c r="A2" s="116"/>
      <c r="B2" s="117"/>
      <c r="C2" s="117"/>
      <c r="D2" s="117"/>
      <c r="E2" s="117"/>
      <c r="F2" s="117"/>
      <c r="G2" s="117"/>
      <c r="H2" s="117"/>
      <c r="I2" s="117"/>
      <c r="J2" s="118"/>
    </row>
    <row r="3" spans="1:10" s="5" customFormat="1" ht="18.75" customHeight="1" x14ac:dyDescent="0.25">
      <c r="A3" s="77" t="s">
        <v>32</v>
      </c>
      <c r="B3" s="79"/>
      <c r="C3" s="77" t="s">
        <v>33</v>
      </c>
      <c r="D3" s="78"/>
      <c r="E3" s="78"/>
      <c r="F3" s="79"/>
      <c r="G3" s="77" t="s">
        <v>34</v>
      </c>
      <c r="H3" s="79"/>
      <c r="I3" s="46" t="s">
        <v>35</v>
      </c>
      <c r="J3" s="46" t="s">
        <v>45</v>
      </c>
    </row>
    <row r="4" spans="1:10" s="5" customFormat="1" ht="21.75" customHeight="1" x14ac:dyDescent="0.25">
      <c r="A4" s="109" t="s">
        <v>44</v>
      </c>
      <c r="B4" s="110"/>
      <c r="C4" s="111" t="s">
        <v>44</v>
      </c>
      <c r="D4" s="119"/>
      <c r="E4" s="119"/>
      <c r="F4" s="112"/>
      <c r="G4" s="111"/>
      <c r="H4" s="112"/>
      <c r="I4" s="47">
        <v>45464</v>
      </c>
      <c r="J4" s="47" t="s">
        <v>69</v>
      </c>
    </row>
    <row r="5" spans="1:10" s="5" customFormat="1" ht="18.75" customHeight="1" x14ac:dyDescent="0.25">
      <c r="A5" s="77" t="s">
        <v>36</v>
      </c>
      <c r="B5" s="79"/>
      <c r="C5" s="77" t="s">
        <v>37</v>
      </c>
      <c r="D5" s="79"/>
      <c r="E5" s="131" t="s">
        <v>43</v>
      </c>
      <c r="F5" s="132"/>
      <c r="G5" s="46" t="s">
        <v>39</v>
      </c>
      <c r="H5" s="46" t="s">
        <v>40</v>
      </c>
      <c r="I5" s="77" t="s">
        <v>113</v>
      </c>
      <c r="J5" s="79"/>
    </row>
    <row r="6" spans="1:10" s="5" customFormat="1" ht="24" customHeight="1" x14ac:dyDescent="0.25">
      <c r="A6" s="89" t="s">
        <v>46</v>
      </c>
      <c r="B6" s="90"/>
      <c r="C6" s="91"/>
      <c r="D6" s="92"/>
      <c r="E6" s="133">
        <f>H24</f>
        <v>3921026.62</v>
      </c>
      <c r="F6" s="134"/>
      <c r="G6" s="47">
        <v>45463</v>
      </c>
      <c r="H6" s="47" t="s">
        <v>83</v>
      </c>
      <c r="I6" s="87">
        <v>45779</v>
      </c>
      <c r="J6" s="88"/>
    </row>
    <row r="7" spans="1:10" s="5" customFormat="1" ht="7.5" customHeight="1" x14ac:dyDescent="0.25">
      <c r="A7" s="4"/>
      <c r="E7" s="1"/>
      <c r="J7" s="2"/>
    </row>
    <row r="8" spans="1:10" s="5" customFormat="1" ht="14.25" customHeight="1" x14ac:dyDescent="0.25">
      <c r="A8" s="6"/>
      <c r="B8" s="7"/>
      <c r="C8" s="8"/>
      <c r="D8" s="7"/>
      <c r="E8" s="102" t="s">
        <v>1</v>
      </c>
      <c r="F8" s="102"/>
      <c r="G8" s="102"/>
      <c r="H8" s="103" t="s">
        <v>7</v>
      </c>
      <c r="I8" s="102"/>
      <c r="J8" s="104"/>
    </row>
    <row r="9" spans="1:10" s="5" customFormat="1" ht="15" customHeight="1" x14ac:dyDescent="0.25">
      <c r="A9" s="105" t="s">
        <v>0</v>
      </c>
      <c r="B9" s="106" t="s">
        <v>8</v>
      </c>
      <c r="C9" s="107" t="s">
        <v>9</v>
      </c>
      <c r="D9" s="108" t="s">
        <v>10</v>
      </c>
      <c r="E9" s="124" t="s">
        <v>14</v>
      </c>
      <c r="F9" s="126" t="s">
        <v>114</v>
      </c>
      <c r="G9" s="128" t="s">
        <v>115</v>
      </c>
      <c r="H9" s="124" t="s">
        <v>14</v>
      </c>
      <c r="I9" s="126" t="s">
        <v>114</v>
      </c>
      <c r="J9" s="128" t="s">
        <v>115</v>
      </c>
    </row>
    <row r="10" spans="1:10" s="5" customFormat="1" ht="11.25" x14ac:dyDescent="0.25">
      <c r="A10" s="105"/>
      <c r="B10" s="106"/>
      <c r="C10" s="107"/>
      <c r="D10" s="108"/>
      <c r="E10" s="108"/>
      <c r="F10" s="106"/>
      <c r="G10" s="129"/>
      <c r="H10" s="108"/>
      <c r="I10" s="106"/>
      <c r="J10" s="129"/>
    </row>
    <row r="11" spans="1:10" s="5" customFormat="1" x14ac:dyDescent="0.25">
      <c r="A11" s="12"/>
      <c r="B11" s="11"/>
      <c r="C11" s="43"/>
      <c r="D11" s="27"/>
      <c r="E11" s="125"/>
      <c r="F11" s="127"/>
      <c r="G11" s="130"/>
      <c r="H11" s="125"/>
      <c r="I11" s="127"/>
      <c r="J11" s="130"/>
    </row>
    <row r="12" spans="1:10" s="5" customFormat="1" ht="30" customHeight="1" x14ac:dyDescent="0.25">
      <c r="A12" s="33" t="s">
        <v>19</v>
      </c>
      <c r="B12" s="34" t="s">
        <v>50</v>
      </c>
      <c r="C12" s="35"/>
      <c r="D12" s="36"/>
      <c r="E12" s="36"/>
      <c r="F12" s="36"/>
      <c r="G12" s="37"/>
      <c r="H12" s="38">
        <f>SUM(H13:H16)</f>
        <v>1327560.76</v>
      </c>
      <c r="I12" s="38">
        <f>SUM(I13:I16)</f>
        <v>104027.9</v>
      </c>
      <c r="J12" s="38">
        <f>SUM(J13:J16)</f>
        <v>1431588.67</v>
      </c>
    </row>
    <row r="13" spans="1:10" s="5" customFormat="1" ht="30" customHeight="1" x14ac:dyDescent="0.25">
      <c r="A13" s="23" t="s">
        <v>20</v>
      </c>
      <c r="B13" s="28" t="s">
        <v>74</v>
      </c>
      <c r="C13" s="29" t="s">
        <v>63</v>
      </c>
      <c r="D13" s="30">
        <v>0.32</v>
      </c>
      <c r="E13" s="30">
        <v>62246.1</v>
      </c>
      <c r="F13" s="32">
        <f>G13-E13</f>
        <v>-135.85</v>
      </c>
      <c r="G13" s="30">
        <v>62110.25</v>
      </c>
      <c r="H13" s="39">
        <f>ROUND(E13*D13,2)</f>
        <v>19918.75</v>
      </c>
      <c r="I13" s="40">
        <f>ROUND(D13*F13,2)</f>
        <v>-43.47</v>
      </c>
      <c r="J13" s="39">
        <f>ROUND(D13*G13,2)</f>
        <v>19875.28</v>
      </c>
    </row>
    <row r="14" spans="1:10" s="5" customFormat="1" ht="30" customHeight="1" x14ac:dyDescent="0.25">
      <c r="A14" s="23" t="s">
        <v>21</v>
      </c>
      <c r="B14" s="25" t="s">
        <v>75</v>
      </c>
      <c r="C14" s="23" t="s">
        <v>64</v>
      </c>
      <c r="D14" s="24">
        <v>191.35</v>
      </c>
      <c r="E14" s="24">
        <v>5975.63</v>
      </c>
      <c r="F14" s="32">
        <f t="shared" ref="F14:F23" si="0">G14-E14</f>
        <v>634.65</v>
      </c>
      <c r="G14" s="30">
        <v>6610.28</v>
      </c>
      <c r="H14" s="39">
        <f t="shared" ref="H14:H16" si="1">ROUND(E14*D14,2)</f>
        <v>1143436.8</v>
      </c>
      <c r="I14" s="40">
        <f t="shared" ref="I14:I16" si="2">ROUND(D14*F14,2)</f>
        <v>121440.28</v>
      </c>
      <c r="J14" s="39">
        <f t="shared" ref="J14:J16" si="3">ROUND(D14*G14,2)</f>
        <v>1264877.08</v>
      </c>
    </row>
    <row r="15" spans="1:10" s="5" customFormat="1" ht="30" customHeight="1" x14ac:dyDescent="0.25">
      <c r="A15" s="23" t="s">
        <v>22</v>
      </c>
      <c r="B15" s="25" t="s">
        <v>52</v>
      </c>
      <c r="C15" s="23" t="s">
        <v>65</v>
      </c>
      <c r="D15" s="24">
        <v>0.85</v>
      </c>
      <c r="E15" s="24">
        <v>179268.77</v>
      </c>
      <c r="F15" s="32">
        <f t="shared" si="0"/>
        <v>-19429.669999999998</v>
      </c>
      <c r="G15" s="30">
        <v>159839.1</v>
      </c>
      <c r="H15" s="39">
        <f t="shared" si="1"/>
        <v>152378.45000000001</v>
      </c>
      <c r="I15" s="40">
        <f t="shared" si="2"/>
        <v>-16515.22</v>
      </c>
      <c r="J15" s="39">
        <f t="shared" si="3"/>
        <v>135863.24</v>
      </c>
    </row>
    <row r="16" spans="1:10" s="5" customFormat="1" ht="30" customHeight="1" x14ac:dyDescent="0.25">
      <c r="A16" s="23" t="s">
        <v>23</v>
      </c>
      <c r="B16" s="25" t="s">
        <v>51</v>
      </c>
      <c r="C16" s="23" t="s">
        <v>65</v>
      </c>
      <c r="D16" s="24">
        <v>0.76</v>
      </c>
      <c r="E16" s="24">
        <v>15561.53</v>
      </c>
      <c r="F16" s="32">
        <f t="shared" si="0"/>
        <v>-1123.28</v>
      </c>
      <c r="G16" s="30">
        <v>14438.25</v>
      </c>
      <c r="H16" s="39">
        <f t="shared" si="1"/>
        <v>11826.76</v>
      </c>
      <c r="I16" s="40">
        <f t="shared" si="2"/>
        <v>-853.69</v>
      </c>
      <c r="J16" s="39">
        <f t="shared" si="3"/>
        <v>10973.07</v>
      </c>
    </row>
    <row r="17" spans="1:13" s="5" customFormat="1" ht="30" customHeight="1" x14ac:dyDescent="0.25">
      <c r="A17" s="33" t="s">
        <v>24</v>
      </c>
      <c r="B17" s="34" t="s">
        <v>53</v>
      </c>
      <c r="C17" s="35"/>
      <c r="D17" s="36"/>
      <c r="E17" s="36"/>
      <c r="F17" s="36"/>
      <c r="G17" s="36"/>
      <c r="H17" s="38">
        <f>H18</f>
        <v>60944.95</v>
      </c>
      <c r="I17" s="38">
        <f>SUM(I18:I18)</f>
        <v>-5601.84</v>
      </c>
      <c r="J17" s="38">
        <f>SUM(J18:J18)</f>
        <v>55343.11</v>
      </c>
    </row>
    <row r="18" spans="1:13" s="5" customFormat="1" ht="30" customHeight="1" x14ac:dyDescent="0.25">
      <c r="A18" s="23" t="s">
        <v>26</v>
      </c>
      <c r="B18" s="25" t="s">
        <v>54</v>
      </c>
      <c r="C18" s="23" t="s">
        <v>63</v>
      </c>
      <c r="D18" s="24">
        <v>25.35</v>
      </c>
      <c r="E18" s="24">
        <v>2404.14</v>
      </c>
      <c r="F18" s="32">
        <f t="shared" si="0"/>
        <v>-220.98</v>
      </c>
      <c r="G18" s="30">
        <f>2182.02+1.14</f>
        <v>2183.16</v>
      </c>
      <c r="H18" s="39">
        <f>ROUND(E18*D18,2)</f>
        <v>60944.95</v>
      </c>
      <c r="I18" s="40">
        <f>ROUND(D18*F18,2)</f>
        <v>-5601.84</v>
      </c>
      <c r="J18" s="39">
        <f>ROUND(D18*G18,2)</f>
        <v>55343.11</v>
      </c>
      <c r="K18" s="72">
        <f>K24/D18</f>
        <v>0</v>
      </c>
    </row>
    <row r="19" spans="1:13" s="5" customFormat="1" ht="30" customHeight="1" x14ac:dyDescent="0.25">
      <c r="A19" s="33" t="s">
        <v>28</v>
      </c>
      <c r="B19" s="34" t="s">
        <v>55</v>
      </c>
      <c r="C19" s="35"/>
      <c r="D19" s="36"/>
      <c r="E19" s="36"/>
      <c r="F19" s="36"/>
      <c r="G19" s="36"/>
      <c r="H19" s="38">
        <f>SUM(H20:H21)</f>
        <v>2531042.2999999998</v>
      </c>
      <c r="I19" s="38">
        <f>SUM(I20:I21)</f>
        <v>-98426</v>
      </c>
      <c r="J19" s="38">
        <f>SUM(J20:J21)</f>
        <v>2432616.29</v>
      </c>
    </row>
    <row r="20" spans="1:13" s="5" customFormat="1" ht="30" customHeight="1" x14ac:dyDescent="0.25">
      <c r="A20" s="23" t="s">
        <v>25</v>
      </c>
      <c r="B20" s="25" t="s">
        <v>77</v>
      </c>
      <c r="C20" s="23" t="s">
        <v>64</v>
      </c>
      <c r="D20" s="24">
        <v>4982.49</v>
      </c>
      <c r="E20" s="24">
        <v>31.12</v>
      </c>
      <c r="F20" s="32">
        <f t="shared" si="0"/>
        <v>-7.0000000000000007E-2</v>
      </c>
      <c r="G20" s="30">
        <v>31.05</v>
      </c>
      <c r="H20" s="39">
        <f>ROUND(E20*D20,2)</f>
        <v>155055.09</v>
      </c>
      <c r="I20" s="40">
        <f t="shared" ref="I20:I21" si="4">ROUND(D20*F20,2)</f>
        <v>-348.77</v>
      </c>
      <c r="J20" s="39">
        <f t="shared" ref="J20:J21" si="5">ROUND(D20*G20,2)</f>
        <v>154706.31</v>
      </c>
    </row>
    <row r="21" spans="1:13" s="5" customFormat="1" ht="30" customHeight="1" x14ac:dyDescent="0.25">
      <c r="A21" s="23" t="s">
        <v>29</v>
      </c>
      <c r="B21" s="25" t="s">
        <v>56</v>
      </c>
      <c r="C21" s="23" t="s">
        <v>64</v>
      </c>
      <c r="D21" s="24">
        <v>6626.84</v>
      </c>
      <c r="E21" s="24">
        <v>358.54</v>
      </c>
      <c r="F21" s="32">
        <f t="shared" si="0"/>
        <v>-14.8</v>
      </c>
      <c r="G21" s="30">
        <v>343.74</v>
      </c>
      <c r="H21" s="39">
        <f>ROUND(E21*D21,2)</f>
        <v>2375987.21</v>
      </c>
      <c r="I21" s="40">
        <f t="shared" si="4"/>
        <v>-98077.23</v>
      </c>
      <c r="J21" s="39">
        <f t="shared" si="5"/>
        <v>2277909.98</v>
      </c>
    </row>
    <row r="22" spans="1:13" s="5" customFormat="1" ht="30" customHeight="1" x14ac:dyDescent="0.25">
      <c r="A22" s="33" t="s">
        <v>116</v>
      </c>
      <c r="B22" s="34" t="s">
        <v>57</v>
      </c>
      <c r="C22" s="35"/>
      <c r="D22" s="36"/>
      <c r="E22" s="36"/>
      <c r="F22" s="36"/>
      <c r="G22" s="36"/>
      <c r="H22" s="38">
        <f>H23</f>
        <v>1478.61</v>
      </c>
      <c r="I22" s="38">
        <f>SUM(I23:I23)</f>
        <v>0</v>
      </c>
      <c r="J22" s="38">
        <f>SUM(J23:J23)</f>
        <v>1478.61</v>
      </c>
    </row>
    <row r="23" spans="1:13" s="5" customFormat="1" ht="15" x14ac:dyDescent="0.25">
      <c r="A23" s="23" t="s">
        <v>117</v>
      </c>
      <c r="B23" s="25" t="s">
        <v>58</v>
      </c>
      <c r="C23" s="23" t="s">
        <v>63</v>
      </c>
      <c r="D23" s="24">
        <v>328.58</v>
      </c>
      <c r="E23" s="24">
        <v>4.5</v>
      </c>
      <c r="F23" s="32">
        <f t="shared" si="0"/>
        <v>0</v>
      </c>
      <c r="G23" s="30">
        <v>4.5</v>
      </c>
      <c r="H23" s="39">
        <f>ROUND(E23*D23,2)</f>
        <v>1478.61</v>
      </c>
      <c r="I23" s="40">
        <f>ROUND(D23*F23,2)</f>
        <v>0</v>
      </c>
      <c r="J23" s="39">
        <f>ROUND(D23*G23,2)</f>
        <v>1478.61</v>
      </c>
      <c r="L23" s="70">
        <f>H24/L24</f>
        <v>2.4268999999999998</v>
      </c>
    </row>
    <row r="24" spans="1:13" ht="22.5" customHeight="1" x14ac:dyDescent="0.25">
      <c r="A24" s="95" t="s">
        <v>118</v>
      </c>
      <c r="B24" s="96"/>
      <c r="C24" s="96"/>
      <c r="D24" s="96"/>
      <c r="E24" s="96"/>
      <c r="F24" s="96"/>
      <c r="G24" s="97"/>
      <c r="H24" s="41">
        <f>H12+H17+H19+H22</f>
        <v>3921026.62</v>
      </c>
      <c r="I24" s="41">
        <f t="shared" ref="I24:J24" si="6">I12+I17+I19+I22-0.06</f>
        <v>0</v>
      </c>
      <c r="J24" s="41">
        <f t="shared" si="6"/>
        <v>3921026.62</v>
      </c>
      <c r="K24" s="73">
        <f>H24-J24</f>
        <v>0</v>
      </c>
      <c r="L24" s="74">
        <v>1615636.08</v>
      </c>
      <c r="M24" s="1" t="s">
        <v>119</v>
      </c>
    </row>
    <row r="25" spans="1:13" ht="15.75" x14ac:dyDescent="0.25">
      <c r="A25" s="14"/>
      <c r="B25" s="14"/>
      <c r="C25" s="14"/>
      <c r="D25" s="14"/>
      <c r="E25" s="14"/>
      <c r="F25" s="15"/>
      <c r="G25" s="15"/>
      <c r="H25" s="16"/>
      <c r="I25" s="16"/>
      <c r="J25" s="16"/>
    </row>
    <row r="26" spans="1:13" ht="15.75" customHeight="1" x14ac:dyDescent="0.25">
      <c r="A26" s="107"/>
      <c r="B26" s="107"/>
      <c r="C26" s="107"/>
      <c r="D26" s="107"/>
      <c r="E26" s="107"/>
      <c r="F26" s="107"/>
      <c r="G26" s="107"/>
      <c r="H26" s="107"/>
      <c r="I26" s="107"/>
      <c r="J26" s="107"/>
    </row>
    <row r="27" spans="1:13" x14ac:dyDescent="0.25">
      <c r="C27" s="20"/>
      <c r="D27" s="20"/>
      <c r="E27" s="20"/>
      <c r="G27" s="101"/>
      <c r="H27" s="101"/>
      <c r="I27" s="101"/>
      <c r="J27" s="101"/>
    </row>
    <row r="31" spans="1:13" x14ac:dyDescent="0.25">
      <c r="H31" s="22"/>
    </row>
    <row r="33" spans="10:10" x14ac:dyDescent="0.25">
      <c r="J33" s="44"/>
    </row>
  </sheetData>
  <mergeCells count="30">
    <mergeCell ref="A1:J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24:G24"/>
    <mergeCell ref="A26:J26"/>
    <mergeCell ref="G27:J27"/>
    <mergeCell ref="E8:G8"/>
    <mergeCell ref="H8:J8"/>
    <mergeCell ref="A9:A10"/>
    <mergeCell ref="B9:B10"/>
    <mergeCell ref="C9:C10"/>
    <mergeCell ref="D9:D10"/>
    <mergeCell ref="E9:E11"/>
    <mergeCell ref="F9:F11"/>
    <mergeCell ref="G9:G11"/>
    <mergeCell ref="H9:H11"/>
    <mergeCell ref="I9:I11"/>
    <mergeCell ref="J9:J11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2" orientation="landscape" horizontalDpi="300" verticalDpi="300" r:id="rId1"/>
  <headerFooter>
    <oddFooter>Página &amp;P de &amp;N</oddFooter>
  </headerFooter>
  <rowBreaks count="1" manualBreakCount="1">
    <brk id="25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19</vt:i4>
      </vt:variant>
    </vt:vector>
  </HeadingPairs>
  <TitlesOfParts>
    <vt:vector size="31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Reprogramação</vt:lpstr>
      <vt:lpstr>BM.05</vt:lpstr>
      <vt:lpstr>Memória 05</vt:lpstr>
      <vt:lpstr>ATESTADO</vt:lpstr>
      <vt:lpstr>ATESTADO!Area_de_impressao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Reprogramação!Area_de_impressao</vt:lpstr>
      <vt:lpstr>ATESTADO!Titulos_de_impressao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Reprogramação!Titulos_de_impressao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Valdeir Gonçalves</cp:lastModifiedBy>
  <cp:lastPrinted>2025-05-05T18:30:11Z</cp:lastPrinted>
  <dcterms:created xsi:type="dcterms:W3CDTF">2020-05-27T14:22:35Z</dcterms:created>
  <dcterms:modified xsi:type="dcterms:W3CDTF">2026-08-26T15:33:07Z</dcterms:modified>
</cp:coreProperties>
</file>