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D:\PREFEITURA\HELDER 2025-2028\ASFALTO 9 MILHÕES\"/>
    </mc:Choice>
  </mc:AlternateContent>
  <xr:revisionPtr revIDLastSave="0" documentId="8_{24E4AE19-8D0C-4F41-8E55-61BF3EC70B25}" xr6:coauthVersionLast="47" xr6:coauthVersionMax="47" xr10:uidLastSave="{00000000-0000-0000-0000-000000000000}"/>
  <bookViews>
    <workbookView xWindow="-120" yWindow="-120" windowWidth="20730" windowHeight="11040" tabRatio="908" firstSheet="10" activeTab="18" xr2:uid="{00000000-000D-0000-FFFF-FFFF00000000}"/>
  </bookViews>
  <sheets>
    <sheet name="BM.01" sheetId="24" r:id="rId1"/>
    <sheet name="Memória 01" sheetId="25" r:id="rId2"/>
    <sheet name="BM.02" sheetId="26" r:id="rId3"/>
    <sheet name="Memória 02" sheetId="27" r:id="rId4"/>
    <sheet name="BM.03" sheetId="28" r:id="rId5"/>
    <sheet name="Memória 03" sheetId="29" r:id="rId6"/>
    <sheet name="BM.04" sheetId="30" r:id="rId7"/>
    <sheet name="Memória 04" sheetId="31" r:id="rId8"/>
    <sheet name="BM.05" sheetId="32" r:id="rId9"/>
    <sheet name="Memória 05" sheetId="33" r:id="rId10"/>
    <sheet name="BM.06" sheetId="34" r:id="rId11"/>
    <sheet name="Memória 06" sheetId="35" r:id="rId12"/>
    <sheet name="BM.07" sheetId="36" r:id="rId13"/>
    <sheet name="Memória 07" sheetId="37" r:id="rId14"/>
    <sheet name="BM.08" sheetId="38" r:id="rId15"/>
    <sheet name="Memória 08" sheetId="39" r:id="rId16"/>
    <sheet name="BM.09" sheetId="40" r:id="rId17"/>
    <sheet name="Memória 09" sheetId="41" r:id="rId18"/>
    <sheet name="BM.10" sheetId="43" r:id="rId19"/>
    <sheet name="Memória 10" sheetId="44" r:id="rId20"/>
    <sheet name="BM 01.Aditivo" sheetId="45" r:id="rId21"/>
    <sheet name="Memória 01 Aditivo" sheetId="46" r:id="rId22"/>
    <sheet name="BM 02.Aditivo" sheetId="47" r:id="rId23"/>
    <sheet name="Memória 02 Aditivo" sheetId="48" r:id="rId24"/>
    <sheet name="BM.11" sheetId="49" r:id="rId25"/>
    <sheet name="Memória 11" sheetId="50" r:id="rId26"/>
  </sheets>
  <definedNames>
    <definedName name="_xlnm.Print_Area" localSheetId="20">'BM 01.Aditivo'!$A$1:$J$41</definedName>
    <definedName name="_xlnm.Print_Area" localSheetId="22">'BM 02.Aditivo'!$A$1:$L$41</definedName>
    <definedName name="_xlnm.Print_Area" localSheetId="0">BM.01!$A$1:$J$30</definedName>
    <definedName name="_xlnm.Print_Area" localSheetId="2">BM.02!$A$1:$J$30</definedName>
    <definedName name="_xlnm.Print_Area" localSheetId="4">BM.03!$A$1:$J$30</definedName>
    <definedName name="_xlnm.Print_Area" localSheetId="6">BM.04!$A$1:$J$30</definedName>
    <definedName name="_xlnm.Print_Area" localSheetId="8">BM.05!$A$1:$J$30</definedName>
    <definedName name="_xlnm.Print_Area" localSheetId="10">BM.06!$A$1:$J$30</definedName>
    <definedName name="_xlnm.Print_Area" localSheetId="12">BM.07!$A$1:$J$30</definedName>
    <definedName name="_xlnm.Print_Area" localSheetId="14">BM.08!$A$1:$J$30</definedName>
    <definedName name="_xlnm.Print_Area" localSheetId="16">BM.09!$A$1:$J$38</definedName>
    <definedName name="_xlnm.Print_Area" localSheetId="18">BM.10!$A$1:$J$41</definedName>
    <definedName name="_xlnm.Print_Area" localSheetId="24">BM.11!$A$1:$J$41</definedName>
    <definedName name="_xlnm.Print_Area" localSheetId="1">'Memória 01'!$A$1:$D$19</definedName>
    <definedName name="_xlnm.Print_Area" localSheetId="21">'Memória 01 Aditivo'!$A$1:$D$19</definedName>
    <definedName name="_xlnm.Print_Area" localSheetId="3">'Memória 02'!$A$1:$D$17</definedName>
    <definedName name="_xlnm.Print_Area" localSheetId="23">'Memória 02 Aditivo'!$A$1:$D$19</definedName>
    <definedName name="_xlnm.Print_Area" localSheetId="5">'Memória 03'!$A$1:$D$17</definedName>
    <definedName name="_xlnm.Print_Area" localSheetId="7">'Memória 04'!$A$1:$D$17</definedName>
    <definedName name="_xlnm.Print_Area" localSheetId="9">'Memória 05'!$A$1:$D$17</definedName>
    <definedName name="_xlnm.Print_Area" localSheetId="11">'Memória 06'!$A$1:$D$17</definedName>
    <definedName name="_xlnm.Print_Area" localSheetId="13">'Memória 07'!$A$1:$D$17</definedName>
    <definedName name="_xlnm.Print_Area" localSheetId="15">'Memória 08'!$A$1:$D$17</definedName>
    <definedName name="_xlnm.Print_Area" localSheetId="17">'Memória 09'!$A$1:$D$19</definedName>
    <definedName name="_xlnm.Print_Area" localSheetId="19">'Memória 10'!$A$1:$D$19</definedName>
    <definedName name="_xlnm.Print_Area" localSheetId="25">'Memória 11'!$A$1:$D$19</definedName>
    <definedName name="_xlnm.Print_Titles" localSheetId="20">'BM 01.Aditivo'!$10:$13</definedName>
    <definedName name="_xlnm.Print_Titles" localSheetId="22">'BM 02.Aditivo'!$10:$13</definedName>
    <definedName name="_xlnm.Print_Titles" localSheetId="0">BM.01!$10:$13</definedName>
    <definedName name="_xlnm.Print_Titles" localSheetId="2">BM.02!$10:$13</definedName>
    <definedName name="_xlnm.Print_Titles" localSheetId="4">BM.03!$10:$13</definedName>
    <definedName name="_xlnm.Print_Titles" localSheetId="6">BM.04!$10:$13</definedName>
    <definedName name="_xlnm.Print_Titles" localSheetId="8">BM.05!$10:$13</definedName>
    <definedName name="_xlnm.Print_Titles" localSheetId="10">BM.06!$10:$13</definedName>
    <definedName name="_xlnm.Print_Titles" localSheetId="12">BM.07!$10:$13</definedName>
    <definedName name="_xlnm.Print_Titles" localSheetId="14">BM.08!$10:$13</definedName>
    <definedName name="_xlnm.Print_Titles" localSheetId="16">BM.09!$10:$13</definedName>
    <definedName name="_xlnm.Print_Titles" localSheetId="18">BM.10!$10:$13</definedName>
    <definedName name="_xlnm.Print_Titles" localSheetId="24">BM.11!$10:$13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49" l="1"/>
  <c r="H19" i="49"/>
  <c r="H15" i="49"/>
  <c r="E8" i="50"/>
  <c r="E16" i="50" s="1"/>
  <c r="E10" i="50" s="1"/>
  <c r="F18" i="49" s="1"/>
  <c r="F9" i="50"/>
  <c r="F8" i="50"/>
  <c r="E11" i="50"/>
  <c r="J28" i="43"/>
  <c r="K30" i="43"/>
  <c r="G27" i="49"/>
  <c r="G25" i="49"/>
  <c r="G21" i="49"/>
  <c r="G19" i="49"/>
  <c r="F27" i="49"/>
  <c r="F25" i="49"/>
  <c r="I25" i="49" s="1"/>
  <c r="F21" i="49"/>
  <c r="F19" i="49"/>
  <c r="I19" i="49" s="1"/>
  <c r="F17" i="49"/>
  <c r="G17" i="49" s="1"/>
  <c r="F15" i="49"/>
  <c r="G15" i="49" s="1"/>
  <c r="J15" i="49" s="1"/>
  <c r="B19" i="50"/>
  <c r="B18" i="50"/>
  <c r="E17" i="50"/>
  <c r="E9" i="50" s="1"/>
  <c r="B16" i="50"/>
  <c r="E15" i="50"/>
  <c r="F23" i="49" s="1"/>
  <c r="I23" i="49" s="1"/>
  <c r="B15" i="50"/>
  <c r="B13" i="50"/>
  <c r="B10" i="50"/>
  <c r="B9" i="50"/>
  <c r="B8" i="50"/>
  <c r="B7" i="50"/>
  <c r="H27" i="49"/>
  <c r="I27" i="49"/>
  <c r="I26" i="49" s="1"/>
  <c r="H26" i="49"/>
  <c r="H25" i="49"/>
  <c r="H24" i="49"/>
  <c r="H23" i="49"/>
  <c r="H22" i="49"/>
  <c r="I21" i="49"/>
  <c r="I20" i="49" s="1"/>
  <c r="H21" i="49"/>
  <c r="H20" i="49" s="1"/>
  <c r="H18" i="49"/>
  <c r="H17" i="49"/>
  <c r="H16" i="49"/>
  <c r="M24" i="47"/>
  <c r="M25" i="47"/>
  <c r="M23" i="47"/>
  <c r="M21" i="47"/>
  <c r="G24" i="47"/>
  <c r="G25" i="47"/>
  <c r="H25" i="47" s="1"/>
  <c r="F25" i="47" s="1"/>
  <c r="J25" i="47" s="1"/>
  <c r="G17" i="47"/>
  <c r="H17" i="47" s="1"/>
  <c r="G18" i="47"/>
  <c r="G19" i="47"/>
  <c r="K19" i="47" s="1"/>
  <c r="E9" i="48"/>
  <c r="E8" i="48"/>
  <c r="E7" i="48"/>
  <c r="G27" i="47"/>
  <c r="H27" i="47" s="1"/>
  <c r="F27" i="47" s="1"/>
  <c r="J27" i="47" s="1"/>
  <c r="J26" i="47" s="1"/>
  <c r="G21" i="47"/>
  <c r="H21" i="47" s="1"/>
  <c r="F21" i="47" s="1"/>
  <c r="J21" i="47" s="1"/>
  <c r="J20" i="47" s="1"/>
  <c r="G15" i="47"/>
  <c r="H15" i="47" s="1"/>
  <c r="B19" i="48"/>
  <c r="B18" i="48"/>
  <c r="E17" i="48"/>
  <c r="B16" i="48"/>
  <c r="E15" i="48"/>
  <c r="G23" i="47" s="1"/>
  <c r="B15" i="48"/>
  <c r="B13" i="48"/>
  <c r="B10" i="48"/>
  <c r="B9" i="48"/>
  <c r="E16" i="48"/>
  <c r="E10" i="48" s="1"/>
  <c r="B8" i="48"/>
  <c r="B7" i="48"/>
  <c r="I27" i="47"/>
  <c r="I26" i="47" s="1"/>
  <c r="I25" i="47"/>
  <c r="I24" i="47"/>
  <c r="I23" i="47"/>
  <c r="I21" i="47"/>
  <c r="K21" i="47"/>
  <c r="K20" i="47" s="1"/>
  <c r="I20" i="47"/>
  <c r="I19" i="47"/>
  <c r="I18" i="47"/>
  <c r="I17" i="47"/>
  <c r="I16" i="47"/>
  <c r="I15" i="47"/>
  <c r="M7" i="47"/>
  <c r="F25" i="45"/>
  <c r="G25" i="45" s="1"/>
  <c r="F19" i="45"/>
  <c r="G24" i="45"/>
  <c r="G23" i="45"/>
  <c r="G21" i="45"/>
  <c r="J21" i="45" s="1"/>
  <c r="J20" i="45" s="1"/>
  <c r="G16" i="45"/>
  <c r="G17" i="45"/>
  <c r="G18" i="45"/>
  <c r="G19" i="45"/>
  <c r="G15" i="45"/>
  <c r="J15" i="45" s="1"/>
  <c r="L28" i="43"/>
  <c r="L27" i="43"/>
  <c r="L24" i="43"/>
  <c r="L21" i="43"/>
  <c r="L18" i="43"/>
  <c r="F16" i="45"/>
  <c r="F17" i="45"/>
  <c r="F18" i="45"/>
  <c r="F21" i="45"/>
  <c r="F23" i="45"/>
  <c r="I23" i="45" s="1"/>
  <c r="F24" i="45"/>
  <c r="F27" i="45"/>
  <c r="K27" i="45" s="1"/>
  <c r="F15" i="45"/>
  <c r="E11" i="46"/>
  <c r="E8" i="46" s="1"/>
  <c r="E16" i="46" s="1"/>
  <c r="E10" i="46" s="1"/>
  <c r="E16" i="44"/>
  <c r="F8" i="44"/>
  <c r="F9" i="44"/>
  <c r="E8" i="44"/>
  <c r="E17" i="44"/>
  <c r="B19" i="46"/>
  <c r="B18" i="46"/>
  <c r="B16" i="46"/>
  <c r="E15" i="46"/>
  <c r="B15" i="46"/>
  <c r="B13" i="46"/>
  <c r="B10" i="46"/>
  <c r="B9" i="46"/>
  <c r="B8" i="46"/>
  <c r="B7" i="46"/>
  <c r="E11" i="44"/>
  <c r="F19" i="43" s="1"/>
  <c r="G19" i="43" s="1"/>
  <c r="H27" i="45"/>
  <c r="H26" i="45" s="1"/>
  <c r="H25" i="45"/>
  <c r="H24" i="45"/>
  <c r="H23" i="45"/>
  <c r="I21" i="45"/>
  <c r="I20" i="45" s="1"/>
  <c r="H21" i="45"/>
  <c r="H20" i="45" s="1"/>
  <c r="H19" i="45"/>
  <c r="H18" i="45"/>
  <c r="H17" i="45"/>
  <c r="H16" i="45"/>
  <c r="H15" i="45"/>
  <c r="K7" i="45"/>
  <c r="F21" i="43"/>
  <c r="I21" i="43" s="1"/>
  <c r="I20" i="43" s="1"/>
  <c r="F23" i="43"/>
  <c r="G23" i="43" s="1"/>
  <c r="F27" i="43"/>
  <c r="G27" i="43"/>
  <c r="F15" i="43"/>
  <c r="G15" i="43" s="1"/>
  <c r="B19" i="44"/>
  <c r="B18" i="44"/>
  <c r="B16" i="44"/>
  <c r="E15" i="44"/>
  <c r="B15" i="44"/>
  <c r="B13" i="44"/>
  <c r="B10" i="44"/>
  <c r="B9" i="44"/>
  <c r="B8" i="44"/>
  <c r="B7" i="44"/>
  <c r="I27" i="43"/>
  <c r="I26" i="43" s="1"/>
  <c r="H27" i="43"/>
  <c r="H26" i="43" s="1"/>
  <c r="H25" i="43"/>
  <c r="H24" i="43"/>
  <c r="H23" i="43"/>
  <c r="H21" i="43"/>
  <c r="H20" i="43" s="1"/>
  <c r="H19" i="43"/>
  <c r="H18" i="43"/>
  <c r="H17" i="43"/>
  <c r="H16" i="43"/>
  <c r="H15" i="43"/>
  <c r="K7" i="43"/>
  <c r="H14" i="49" l="1"/>
  <c r="H28" i="49" s="1"/>
  <c r="F16" i="49"/>
  <c r="I15" i="49"/>
  <c r="G23" i="49"/>
  <c r="J23" i="49" s="1"/>
  <c r="G18" i="49"/>
  <c r="K18" i="49" s="1"/>
  <c r="I18" i="49"/>
  <c r="F24" i="49"/>
  <c r="G16" i="49"/>
  <c r="J16" i="49" s="1"/>
  <c r="I16" i="49"/>
  <c r="I17" i="49"/>
  <c r="J17" i="49"/>
  <c r="K23" i="49"/>
  <c r="K16" i="49"/>
  <c r="K21" i="49"/>
  <c r="J21" i="49"/>
  <c r="J20" i="49" s="1"/>
  <c r="K17" i="49"/>
  <c r="K15" i="49"/>
  <c r="L17" i="47"/>
  <c r="F17" i="47"/>
  <c r="J17" i="47" s="1"/>
  <c r="M17" i="47"/>
  <c r="I22" i="47"/>
  <c r="F15" i="47"/>
  <c r="J15" i="47" s="1"/>
  <c r="K15" i="47"/>
  <c r="H19" i="47"/>
  <c r="I14" i="47"/>
  <c r="I28" i="47" s="1"/>
  <c r="L27" i="47"/>
  <c r="L26" i="47" s="1"/>
  <c r="M27" i="47"/>
  <c r="K27" i="47"/>
  <c r="K26" i="47" s="1"/>
  <c r="K25" i="47"/>
  <c r="K17" i="47"/>
  <c r="K18" i="47"/>
  <c r="H18" i="47"/>
  <c r="H16" i="47"/>
  <c r="K16" i="47"/>
  <c r="K23" i="47"/>
  <c r="H23" i="47"/>
  <c r="L19" i="47"/>
  <c r="L15" i="47"/>
  <c r="L25" i="47"/>
  <c r="H22" i="45"/>
  <c r="H14" i="45"/>
  <c r="H28" i="45" s="1"/>
  <c r="I27" i="45"/>
  <c r="I26" i="45" s="1"/>
  <c r="E17" i="46"/>
  <c r="E9" i="46" s="1"/>
  <c r="K19" i="45"/>
  <c r="K15" i="45"/>
  <c r="K21" i="45"/>
  <c r="I15" i="45"/>
  <c r="I19" i="45"/>
  <c r="J27" i="45"/>
  <c r="J26" i="45" s="1"/>
  <c r="I16" i="45"/>
  <c r="H14" i="43"/>
  <c r="H22" i="43"/>
  <c r="G21" i="43"/>
  <c r="J21" i="43" s="1"/>
  <c r="J20" i="43" s="1"/>
  <c r="I19" i="43"/>
  <c r="I23" i="43"/>
  <c r="I15" i="43"/>
  <c r="H28" i="43"/>
  <c r="K15" i="43"/>
  <c r="J15" i="43"/>
  <c r="K27" i="43"/>
  <c r="J27" i="43"/>
  <c r="J26" i="43" s="1"/>
  <c r="K19" i="43"/>
  <c r="J19" i="43"/>
  <c r="K21" i="43"/>
  <c r="J18" i="49" l="1"/>
  <c r="L18" i="49" s="1"/>
  <c r="I14" i="49"/>
  <c r="G24" i="49"/>
  <c r="I24" i="49"/>
  <c r="I22" i="49" s="1"/>
  <c r="L21" i="49"/>
  <c r="J27" i="49"/>
  <c r="K27" i="49"/>
  <c r="J19" i="49"/>
  <c r="K19" i="49"/>
  <c r="J25" i="49"/>
  <c r="K25" i="49"/>
  <c r="M16" i="47"/>
  <c r="F23" i="47"/>
  <c r="J23" i="47" s="1"/>
  <c r="F18" i="47"/>
  <c r="J18" i="47" s="1"/>
  <c r="F19" i="47"/>
  <c r="J19" i="47" s="1"/>
  <c r="M19" i="47"/>
  <c r="M15" i="47"/>
  <c r="L23" i="47"/>
  <c r="L18" i="47"/>
  <c r="K14" i="47"/>
  <c r="L16" i="47"/>
  <c r="L14" i="47" s="1"/>
  <c r="K24" i="47"/>
  <c r="K22" i="47" s="1"/>
  <c r="H24" i="47"/>
  <c r="F24" i="47" s="1"/>
  <c r="J24" i="47" s="1"/>
  <c r="L21" i="47"/>
  <c r="L20" i="47" s="1"/>
  <c r="J19" i="45"/>
  <c r="K16" i="45"/>
  <c r="E9" i="44"/>
  <c r="F25" i="43"/>
  <c r="I25" i="43" s="1"/>
  <c r="K23" i="45"/>
  <c r="J23" i="45"/>
  <c r="F16" i="43"/>
  <c r="J23" i="43"/>
  <c r="K23" i="43"/>
  <c r="J14" i="49" l="1"/>
  <c r="I28" i="49"/>
  <c r="D30" i="49" s="1"/>
  <c r="J24" i="49"/>
  <c r="L24" i="49" s="1"/>
  <c r="K24" i="49"/>
  <c r="J26" i="49"/>
  <c r="L27" i="49"/>
  <c r="M18" i="47"/>
  <c r="J22" i="47"/>
  <c r="K28" i="47"/>
  <c r="D30" i="47" s="1"/>
  <c r="L24" i="47"/>
  <c r="L22" i="47" s="1"/>
  <c r="L28" i="47" s="1"/>
  <c r="M28" i="47" s="1"/>
  <c r="J16" i="45"/>
  <c r="I24" i="45"/>
  <c r="I25" i="45"/>
  <c r="G25" i="43"/>
  <c r="K25" i="43" s="1"/>
  <c r="F17" i="43"/>
  <c r="G16" i="43"/>
  <c r="I16" i="43"/>
  <c r="E10" i="44"/>
  <c r="F24" i="43"/>
  <c r="E11" i="41"/>
  <c r="E8" i="41" s="1"/>
  <c r="E16" i="41" s="1"/>
  <c r="G8" i="49" l="1"/>
  <c r="J22" i="49"/>
  <c r="J28" i="49" s="1"/>
  <c r="H8" i="47"/>
  <c r="J25" i="43"/>
  <c r="I17" i="45"/>
  <c r="I22" i="45"/>
  <c r="F18" i="43"/>
  <c r="I18" i="43" s="1"/>
  <c r="I14" i="43" s="1"/>
  <c r="G17" i="43"/>
  <c r="I17" i="43"/>
  <c r="K25" i="45"/>
  <c r="J25" i="45"/>
  <c r="K24" i="45"/>
  <c r="J24" i="45"/>
  <c r="G24" i="43"/>
  <c r="I24" i="43"/>
  <c r="I22" i="43" s="1"/>
  <c r="J16" i="43"/>
  <c r="K16" i="43"/>
  <c r="G11" i="41"/>
  <c r="K28" i="49" l="1"/>
  <c r="L28" i="49"/>
  <c r="J22" i="45"/>
  <c r="G18" i="43"/>
  <c r="K18" i="43" s="1"/>
  <c r="K17" i="43"/>
  <c r="J17" i="43"/>
  <c r="I18" i="45"/>
  <c r="I14" i="45" s="1"/>
  <c r="I28" i="45" s="1"/>
  <c r="K17" i="45"/>
  <c r="J17" i="45"/>
  <c r="I28" i="43"/>
  <c r="G8" i="43" s="1"/>
  <c r="K24" i="43"/>
  <c r="J24" i="43"/>
  <c r="J22" i="43" s="1"/>
  <c r="E17" i="41"/>
  <c r="E9" i="41" s="1"/>
  <c r="J18" i="43" l="1"/>
  <c r="J14" i="43" s="1"/>
  <c r="D30" i="45"/>
  <c r="G8" i="45"/>
  <c r="D30" i="43"/>
  <c r="K18" i="45"/>
  <c r="J18" i="45"/>
  <c r="J14" i="45" s="1"/>
  <c r="K27" i="40"/>
  <c r="K23" i="40"/>
  <c r="K21" i="40"/>
  <c r="H24" i="40"/>
  <c r="H25" i="40"/>
  <c r="H23" i="40"/>
  <c r="H22" i="40" s="1"/>
  <c r="H21" i="40"/>
  <c r="H20" i="40" s="1"/>
  <c r="H26" i="40"/>
  <c r="H14" i="40"/>
  <c r="H16" i="40"/>
  <c r="H17" i="40"/>
  <c r="H18" i="40"/>
  <c r="H19" i="40"/>
  <c r="H15" i="40"/>
  <c r="K15" i="40"/>
  <c r="F25" i="40"/>
  <c r="G25" i="40" s="1"/>
  <c r="J25" i="40" s="1"/>
  <c r="G19" i="40"/>
  <c r="K19" i="40" s="1"/>
  <c r="I19" i="40"/>
  <c r="F19" i="40"/>
  <c r="F21" i="40"/>
  <c r="G21" i="40" s="1"/>
  <c r="F27" i="40"/>
  <c r="G27" i="40" s="1"/>
  <c r="J27" i="40" s="1"/>
  <c r="J26" i="40" s="1"/>
  <c r="F15" i="40"/>
  <c r="G15" i="40" s="1"/>
  <c r="F16" i="40"/>
  <c r="B19" i="41"/>
  <c r="B18" i="41"/>
  <c r="B16" i="41"/>
  <c r="B15" i="41"/>
  <c r="B13" i="41"/>
  <c r="B10" i="41"/>
  <c r="B9" i="41"/>
  <c r="B8" i="41"/>
  <c r="E15" i="41"/>
  <c r="F17" i="40" s="1"/>
  <c r="I17" i="40" s="1"/>
  <c r="B7" i="41"/>
  <c r="H27" i="40"/>
  <c r="I21" i="40"/>
  <c r="I20" i="40" s="1"/>
  <c r="K7" i="40"/>
  <c r="E8" i="39"/>
  <c r="F16" i="38" s="1"/>
  <c r="H8" i="39"/>
  <c r="G8" i="39"/>
  <c r="E7" i="39"/>
  <c r="F7" i="39"/>
  <c r="F20" i="38"/>
  <c r="G20" i="38" s="1"/>
  <c r="J20" i="38" s="1"/>
  <c r="J19" i="38" s="1"/>
  <c r="F25" i="38"/>
  <c r="I25" i="38" s="1"/>
  <c r="I24" i="38" s="1"/>
  <c r="G25" i="38"/>
  <c r="F15" i="38"/>
  <c r="I15" i="38" s="1"/>
  <c r="B17" i="39"/>
  <c r="B16" i="39"/>
  <c r="A16" i="39"/>
  <c r="B15" i="39"/>
  <c r="B14" i="39"/>
  <c r="B12" i="39"/>
  <c r="B10" i="39"/>
  <c r="B9" i="39"/>
  <c r="B8" i="39"/>
  <c r="B7" i="39"/>
  <c r="H25" i="38"/>
  <c r="H24" i="38" s="1"/>
  <c r="J25" i="38"/>
  <c r="J24" i="38" s="1"/>
  <c r="H23" i="38"/>
  <c r="H21" i="38" s="1"/>
  <c r="H22" i="38"/>
  <c r="I20" i="38"/>
  <c r="I19" i="38" s="1"/>
  <c r="H20" i="38"/>
  <c r="H19" i="38" s="1"/>
  <c r="H18" i="38"/>
  <c r="H17" i="38"/>
  <c r="H16" i="38"/>
  <c r="K15" i="38"/>
  <c r="H15" i="38"/>
  <c r="H14" i="38" s="1"/>
  <c r="H26" i="38" s="1"/>
  <c r="K7" i="38"/>
  <c r="E7" i="37"/>
  <c r="J28" i="45" l="1"/>
  <c r="K28" i="45" s="1"/>
  <c r="J19" i="40"/>
  <c r="I25" i="40"/>
  <c r="K25" i="40"/>
  <c r="G16" i="40"/>
  <c r="I16" i="40"/>
  <c r="F23" i="40"/>
  <c r="G23" i="40" s="1"/>
  <c r="G17" i="40"/>
  <c r="I23" i="40"/>
  <c r="J15" i="40"/>
  <c r="J21" i="40"/>
  <c r="J20" i="40" s="1"/>
  <c r="J23" i="40"/>
  <c r="I15" i="40"/>
  <c r="I27" i="40"/>
  <c r="I26" i="40" s="1"/>
  <c r="E15" i="39"/>
  <c r="G15" i="38"/>
  <c r="J15" i="38" s="1"/>
  <c r="G16" i="38"/>
  <c r="J16" i="38" s="1"/>
  <c r="I16" i="38"/>
  <c r="E14" i="39"/>
  <c r="E8" i="37"/>
  <c r="K28" i="43" l="1"/>
  <c r="J17" i="40"/>
  <c r="K17" i="40"/>
  <c r="J16" i="40"/>
  <c r="K16" i="40"/>
  <c r="H28" i="40"/>
  <c r="E10" i="41"/>
  <c r="F18" i="40" s="1"/>
  <c r="F24" i="40"/>
  <c r="E9" i="39"/>
  <c r="F17" i="38" s="1"/>
  <c r="F22" i="38"/>
  <c r="E10" i="39"/>
  <c r="F18" i="38" s="1"/>
  <c r="F23" i="38"/>
  <c r="G25" i="36"/>
  <c r="G20" i="36"/>
  <c r="F20" i="36"/>
  <c r="F25" i="36"/>
  <c r="F15" i="36"/>
  <c r="G15" i="36" s="1"/>
  <c r="J15" i="36" s="1"/>
  <c r="F16" i="36"/>
  <c r="B17" i="37"/>
  <c r="B16" i="37"/>
  <c r="A16" i="37"/>
  <c r="B15" i="37"/>
  <c r="B14" i="37"/>
  <c r="B12" i="37"/>
  <c r="B10" i="37"/>
  <c r="B9" i="37"/>
  <c r="B8" i="37"/>
  <c r="E14" i="37"/>
  <c r="E9" i="37" s="1"/>
  <c r="F17" i="36" s="1"/>
  <c r="B7" i="37"/>
  <c r="I25" i="36"/>
  <c r="H25" i="36"/>
  <c r="H24" i="36" s="1"/>
  <c r="J25" i="36"/>
  <c r="J24" i="36" s="1"/>
  <c r="I24" i="36"/>
  <c r="H23" i="36"/>
  <c r="H22" i="36"/>
  <c r="H21" i="36" s="1"/>
  <c r="I20" i="36"/>
  <c r="I19" i="36" s="1"/>
  <c r="H20" i="36"/>
  <c r="H19" i="36" s="1"/>
  <c r="J20" i="36"/>
  <c r="J19" i="36" s="1"/>
  <c r="H18" i="36"/>
  <c r="H17" i="36"/>
  <c r="H16" i="36"/>
  <c r="H14" i="36" s="1"/>
  <c r="K15" i="36"/>
  <c r="H15" i="36"/>
  <c r="K7" i="36"/>
  <c r="K30" i="28"/>
  <c r="K28" i="28"/>
  <c r="G18" i="40" l="1"/>
  <c r="I18" i="40"/>
  <c r="I14" i="40" s="1"/>
  <c r="G24" i="40"/>
  <c r="I24" i="40"/>
  <c r="I22" i="40" s="1"/>
  <c r="G17" i="38"/>
  <c r="J17" i="38" s="1"/>
  <c r="I17" i="38"/>
  <c r="I18" i="38"/>
  <c r="G18" i="38"/>
  <c r="J18" i="38" s="1"/>
  <c r="G22" i="38"/>
  <c r="J22" i="38" s="1"/>
  <c r="I22" i="38"/>
  <c r="G23" i="38"/>
  <c r="J23" i="38" s="1"/>
  <c r="I23" i="38"/>
  <c r="I21" i="38" s="1"/>
  <c r="I15" i="36"/>
  <c r="G17" i="36"/>
  <c r="J17" i="36" s="1"/>
  <c r="I17" i="36"/>
  <c r="G16" i="36"/>
  <c r="J16" i="36" s="1"/>
  <c r="I16" i="36"/>
  <c r="F22" i="36"/>
  <c r="E15" i="37"/>
  <c r="H26" i="36"/>
  <c r="E8" i="35"/>
  <c r="F16" i="34" s="1"/>
  <c r="G16" i="34" s="1"/>
  <c r="G8" i="35"/>
  <c r="G7" i="35"/>
  <c r="F7" i="35"/>
  <c r="E7" i="35"/>
  <c r="F3" i="35"/>
  <c r="F20" i="34"/>
  <c r="G20" i="34" s="1"/>
  <c r="J20" i="34" s="1"/>
  <c r="J19" i="34" s="1"/>
  <c r="F25" i="34"/>
  <c r="I25" i="34" s="1"/>
  <c r="I24" i="34" s="1"/>
  <c r="G25" i="34"/>
  <c r="J25" i="34" s="1"/>
  <c r="J24" i="34" s="1"/>
  <c r="F15" i="34"/>
  <c r="I15" i="34" s="1"/>
  <c r="B17" i="35"/>
  <c r="B16" i="35"/>
  <c r="A16" i="35"/>
  <c r="B15" i="35"/>
  <c r="B14" i="35"/>
  <c r="B12" i="35"/>
  <c r="B10" i="35"/>
  <c r="B9" i="35"/>
  <c r="F8" i="35"/>
  <c r="B8" i="35"/>
  <c r="E14" i="35"/>
  <c r="E9" i="35" s="1"/>
  <c r="F17" i="34" s="1"/>
  <c r="B7" i="35"/>
  <c r="H25" i="34"/>
  <c r="H24" i="34" s="1"/>
  <c r="H23" i="34"/>
  <c r="H22" i="34"/>
  <c r="H21" i="34"/>
  <c r="I20" i="34"/>
  <c r="I19" i="34" s="1"/>
  <c r="H20" i="34"/>
  <c r="H19" i="34" s="1"/>
  <c r="H18" i="34"/>
  <c r="H17" i="34"/>
  <c r="H16" i="34"/>
  <c r="K15" i="34"/>
  <c r="H15" i="34"/>
  <c r="H14" i="34" s="1"/>
  <c r="K7" i="34"/>
  <c r="K7" i="32"/>
  <c r="J24" i="40" l="1"/>
  <c r="J22" i="40" s="1"/>
  <c r="K24" i="40"/>
  <c r="J18" i="40"/>
  <c r="J14" i="40" s="1"/>
  <c r="J28" i="40" s="1"/>
  <c r="K28" i="40" s="1"/>
  <c r="K18" i="40"/>
  <c r="I28" i="40"/>
  <c r="I14" i="38"/>
  <c r="I26" i="38" s="1"/>
  <c r="J21" i="38"/>
  <c r="J14" i="38"/>
  <c r="J26" i="38" s="1"/>
  <c r="K26" i="38" s="1"/>
  <c r="E10" i="37"/>
  <c r="F18" i="36" s="1"/>
  <c r="F23" i="36"/>
  <c r="G22" i="36"/>
  <c r="J22" i="36" s="1"/>
  <c r="I22" i="36"/>
  <c r="G17" i="34"/>
  <c r="J17" i="34" s="1"/>
  <c r="I17" i="34"/>
  <c r="I16" i="34"/>
  <c r="G15" i="34"/>
  <c r="J15" i="34" s="1"/>
  <c r="F22" i="34"/>
  <c r="G22" i="34" s="1"/>
  <c r="J22" i="34" s="1"/>
  <c r="E15" i="35"/>
  <c r="H26" i="34"/>
  <c r="I22" i="34"/>
  <c r="J16" i="34"/>
  <c r="E8" i="33"/>
  <c r="F8" i="33"/>
  <c r="E7" i="33"/>
  <c r="F15" i="32" s="1"/>
  <c r="G15" i="32" s="1"/>
  <c r="J15" i="32" s="1"/>
  <c r="G7" i="33"/>
  <c r="E14" i="33"/>
  <c r="E9" i="33" s="1"/>
  <c r="F17" i="32" s="1"/>
  <c r="F20" i="32"/>
  <c r="G20" i="32"/>
  <c r="F25" i="32"/>
  <c r="G25" i="32"/>
  <c r="J25" i="32" s="1"/>
  <c r="J24" i="32" s="1"/>
  <c r="B17" i="33"/>
  <c r="B16" i="33"/>
  <c r="A16" i="33"/>
  <c r="B15" i="33"/>
  <c r="B14" i="33"/>
  <c r="B12" i="33"/>
  <c r="B10" i="33"/>
  <c r="B9" i="33"/>
  <c r="B8" i="33"/>
  <c r="B7" i="33"/>
  <c r="I25" i="32"/>
  <c r="I24" i="32" s="1"/>
  <c r="H25" i="32"/>
  <c r="H24" i="32" s="1"/>
  <c r="H23" i="32"/>
  <c r="H21" i="32" s="1"/>
  <c r="H22" i="32"/>
  <c r="I20" i="32"/>
  <c r="I19" i="32" s="1"/>
  <c r="H20" i="32"/>
  <c r="H19" i="32" s="1"/>
  <c r="J20" i="32"/>
  <c r="J19" i="32" s="1"/>
  <c r="H18" i="32"/>
  <c r="H17" i="32"/>
  <c r="H16" i="32"/>
  <c r="K15" i="32"/>
  <c r="H15" i="32"/>
  <c r="H14" i="32" s="1"/>
  <c r="H26" i="32" s="1"/>
  <c r="E7" i="31"/>
  <c r="F15" i="30" s="1"/>
  <c r="G15" i="30" s="1"/>
  <c r="F20" i="30"/>
  <c r="G20" i="30" s="1"/>
  <c r="J20" i="30" s="1"/>
  <c r="J19" i="30" s="1"/>
  <c r="F25" i="30"/>
  <c r="G25" i="30"/>
  <c r="J25" i="30" s="1"/>
  <c r="J24" i="30" s="1"/>
  <c r="B17" i="31"/>
  <c r="B16" i="31"/>
  <c r="A16" i="31"/>
  <c r="B15" i="31"/>
  <c r="B14" i="31"/>
  <c r="B12" i="31"/>
  <c r="B10" i="31"/>
  <c r="B9" i="31"/>
  <c r="G8" i="31"/>
  <c r="B8" i="31"/>
  <c r="G7" i="31"/>
  <c r="F7" i="31"/>
  <c r="B7" i="31"/>
  <c r="H25" i="30"/>
  <c r="H24" i="30" s="1"/>
  <c r="I25" i="30"/>
  <c r="I24" i="30" s="1"/>
  <c r="H23" i="30"/>
  <c r="H21" i="30" s="1"/>
  <c r="H22" i="30"/>
  <c r="H20" i="30"/>
  <c r="H19" i="30" s="1"/>
  <c r="H18" i="30"/>
  <c r="H17" i="30"/>
  <c r="H16" i="30"/>
  <c r="K15" i="30"/>
  <c r="H15" i="30"/>
  <c r="H14" i="30" s="1"/>
  <c r="H26" i="30" s="1"/>
  <c r="K15" i="28"/>
  <c r="E8" i="29"/>
  <c r="G8" i="29"/>
  <c r="G7" i="29"/>
  <c r="E7" i="29"/>
  <c r="F7" i="29"/>
  <c r="F15" i="28"/>
  <c r="G15" i="28" s="1"/>
  <c r="G20" i="28"/>
  <c r="G25" i="28"/>
  <c r="F20" i="28"/>
  <c r="F25" i="28"/>
  <c r="B17" i="29"/>
  <c r="B16" i="29"/>
  <c r="A16" i="29"/>
  <c r="B15" i="29"/>
  <c r="B14" i="29"/>
  <c r="B12" i="29"/>
  <c r="B10" i="29"/>
  <c r="B9" i="29"/>
  <c r="B8" i="29"/>
  <c r="B7" i="29"/>
  <c r="I25" i="28"/>
  <c r="I24" i="28" s="1"/>
  <c r="H25" i="28"/>
  <c r="H24" i="28" s="1"/>
  <c r="J25" i="28"/>
  <c r="J24" i="28" s="1"/>
  <c r="H23" i="28"/>
  <c r="H21" i="28" s="1"/>
  <c r="H22" i="28"/>
  <c r="I20" i="28"/>
  <c r="I19" i="28" s="1"/>
  <c r="H20" i="28"/>
  <c r="H19" i="28" s="1"/>
  <c r="J20" i="28"/>
  <c r="J19" i="28" s="1"/>
  <c r="H18" i="28"/>
  <c r="H17" i="28"/>
  <c r="H16" i="28"/>
  <c r="H15" i="28"/>
  <c r="H14" i="28" s="1"/>
  <c r="E12" i="27"/>
  <c r="F20" i="26" s="1"/>
  <c r="G20" i="26" s="1"/>
  <c r="J20" i="26" s="1"/>
  <c r="J19" i="26" s="1"/>
  <c r="E8" i="27"/>
  <c r="E7" i="27"/>
  <c r="F7" i="27"/>
  <c r="G7" i="27"/>
  <c r="F25" i="26"/>
  <c r="B17" i="27"/>
  <c r="B16" i="27"/>
  <c r="A16" i="27"/>
  <c r="B15" i="27"/>
  <c r="B14" i="27"/>
  <c r="B12" i="27"/>
  <c r="B10" i="27"/>
  <c r="B9" i="27"/>
  <c r="B8" i="27"/>
  <c r="B7" i="27"/>
  <c r="H25" i="26"/>
  <c r="H24" i="26" s="1"/>
  <c r="H23" i="26"/>
  <c r="H21" i="26" s="1"/>
  <c r="H22" i="26"/>
  <c r="H20" i="26"/>
  <c r="H19" i="26" s="1"/>
  <c r="H18" i="26"/>
  <c r="H17" i="26"/>
  <c r="H16" i="26"/>
  <c r="H15" i="26"/>
  <c r="H14" i="26" s="1"/>
  <c r="H26" i="26" s="1"/>
  <c r="E13" i="25"/>
  <c r="E17" i="25"/>
  <c r="H8" i="25"/>
  <c r="E8" i="25"/>
  <c r="E7" i="25"/>
  <c r="E16" i="25" s="1"/>
  <c r="E9" i="25" s="1"/>
  <c r="H7" i="25"/>
  <c r="H26" i="24"/>
  <c r="H24" i="24"/>
  <c r="H25" i="24"/>
  <c r="H21" i="24"/>
  <c r="H23" i="24"/>
  <c r="H22" i="24"/>
  <c r="H19" i="24"/>
  <c r="H20" i="24"/>
  <c r="H14" i="24"/>
  <c r="H16" i="24"/>
  <c r="H17" i="24"/>
  <c r="H18" i="24"/>
  <c r="H15" i="24"/>
  <c r="B18" i="25"/>
  <c r="B19" i="25"/>
  <c r="B17" i="25"/>
  <c r="B16" i="25"/>
  <c r="B13" i="25"/>
  <c r="B10" i="25"/>
  <c r="B8" i="25"/>
  <c r="B9" i="25"/>
  <c r="B7" i="25"/>
  <c r="D30" i="40" l="1"/>
  <c r="G8" i="40"/>
  <c r="D28" i="38"/>
  <c r="G8" i="38"/>
  <c r="I23" i="36"/>
  <c r="I21" i="36" s="1"/>
  <c r="G23" i="36"/>
  <c r="J23" i="36" s="1"/>
  <c r="J21" i="36" s="1"/>
  <c r="G18" i="36"/>
  <c r="J18" i="36" s="1"/>
  <c r="J14" i="36" s="1"/>
  <c r="I18" i="36"/>
  <c r="I14" i="36" s="1"/>
  <c r="E10" i="35"/>
  <c r="F18" i="34" s="1"/>
  <c r="F23" i="34"/>
  <c r="I17" i="32"/>
  <c r="G17" i="32"/>
  <c r="J17" i="32" s="1"/>
  <c r="F22" i="32"/>
  <c r="I15" i="32"/>
  <c r="E8" i="31"/>
  <c r="F16" i="30" s="1"/>
  <c r="E14" i="31"/>
  <c r="J15" i="30"/>
  <c r="E15" i="31"/>
  <c r="I15" i="30"/>
  <c r="I20" i="30"/>
  <c r="I19" i="30" s="1"/>
  <c r="E14" i="29"/>
  <c r="E9" i="29" s="1"/>
  <c r="F17" i="28" s="1"/>
  <c r="G17" i="28" s="1"/>
  <c r="J17" i="28" s="1"/>
  <c r="F16" i="28"/>
  <c r="F22" i="28"/>
  <c r="J15" i="28"/>
  <c r="I15" i="28"/>
  <c r="E15" i="29"/>
  <c r="H26" i="28"/>
  <c r="F16" i="26"/>
  <c r="I20" i="26"/>
  <c r="I19" i="26" s="1"/>
  <c r="E15" i="27"/>
  <c r="F15" i="26"/>
  <c r="G15" i="26" s="1"/>
  <c r="J15" i="26" s="1"/>
  <c r="E14" i="27"/>
  <c r="F22" i="26" s="1"/>
  <c r="E10" i="25"/>
  <c r="F18" i="24" s="1"/>
  <c r="G18" i="24" s="1"/>
  <c r="F25" i="24"/>
  <c r="G25" i="24" s="1"/>
  <c r="F22" i="24"/>
  <c r="G22" i="24" s="1"/>
  <c r="F20" i="24"/>
  <c r="G20" i="24" s="1"/>
  <c r="F16" i="24"/>
  <c r="G16" i="24" s="1"/>
  <c r="F17" i="24"/>
  <c r="G17" i="24" s="1"/>
  <c r="F15" i="24"/>
  <c r="A18" i="25"/>
  <c r="I26" i="36" l="1"/>
  <c r="J26" i="36"/>
  <c r="K26" i="36" s="1"/>
  <c r="G18" i="34"/>
  <c r="J18" i="34" s="1"/>
  <c r="J14" i="34" s="1"/>
  <c r="I18" i="34"/>
  <c r="I14" i="34" s="1"/>
  <c r="I23" i="34"/>
  <c r="I21" i="34" s="1"/>
  <c r="I26" i="34" s="1"/>
  <c r="G23" i="34"/>
  <c r="J23" i="34" s="1"/>
  <c r="J21" i="34" s="1"/>
  <c r="I22" i="32"/>
  <c r="G22" i="32"/>
  <c r="J22" i="32" s="1"/>
  <c r="E15" i="33"/>
  <c r="F16" i="32"/>
  <c r="E9" i="31"/>
  <c r="F17" i="30" s="1"/>
  <c r="F22" i="30"/>
  <c r="E10" i="31"/>
  <c r="F18" i="30" s="1"/>
  <c r="F23" i="30"/>
  <c r="G16" i="30"/>
  <c r="J16" i="30" s="1"/>
  <c r="I16" i="30"/>
  <c r="I17" i="28"/>
  <c r="E10" i="29"/>
  <c r="F18" i="28" s="1"/>
  <c r="F23" i="28"/>
  <c r="I16" i="28"/>
  <c r="G16" i="28"/>
  <c r="J16" i="28" s="1"/>
  <c r="I22" i="28"/>
  <c r="G22" i="28"/>
  <c r="J22" i="28" s="1"/>
  <c r="F23" i="26"/>
  <c r="I23" i="26" s="1"/>
  <c r="E9" i="27"/>
  <c r="I15" i="26"/>
  <c r="G16" i="26"/>
  <c r="J16" i="26" s="1"/>
  <c r="I16" i="26"/>
  <c r="E10" i="27"/>
  <c r="F18" i="26" s="1"/>
  <c r="F23" i="24"/>
  <c r="G23" i="24" s="1"/>
  <c r="G15" i="24"/>
  <c r="J15" i="24" s="1"/>
  <c r="I15" i="24"/>
  <c r="I20" i="24"/>
  <c r="I19" i="24" s="1"/>
  <c r="J20" i="24"/>
  <c r="J25" i="24"/>
  <c r="I25" i="24"/>
  <c r="I24" i="24" s="1"/>
  <c r="D28" i="36" l="1"/>
  <c r="G8" i="36"/>
  <c r="G8" i="34"/>
  <c r="D28" i="34"/>
  <c r="J26" i="34"/>
  <c r="K26" i="34" s="1"/>
  <c r="E10" i="33"/>
  <c r="F18" i="32" s="1"/>
  <c r="F23" i="32"/>
  <c r="G16" i="32"/>
  <c r="J16" i="32" s="1"/>
  <c r="I16" i="32"/>
  <c r="G22" i="30"/>
  <c r="J22" i="30" s="1"/>
  <c r="I22" i="30"/>
  <c r="G17" i="30"/>
  <c r="J17" i="30" s="1"/>
  <c r="J14" i="30" s="1"/>
  <c r="I17" i="30"/>
  <c r="I14" i="30" s="1"/>
  <c r="G23" i="30"/>
  <c r="J23" i="30" s="1"/>
  <c r="I23" i="30"/>
  <c r="G18" i="30"/>
  <c r="J18" i="30" s="1"/>
  <c r="I18" i="30"/>
  <c r="I23" i="28"/>
  <c r="I21" i="28" s="1"/>
  <c r="G23" i="28"/>
  <c r="J23" i="28" s="1"/>
  <c r="J21" i="28" s="1"/>
  <c r="I18" i="28"/>
  <c r="I14" i="28" s="1"/>
  <c r="G18" i="28"/>
  <c r="J18" i="28" s="1"/>
  <c r="J14" i="28" s="1"/>
  <c r="F17" i="26"/>
  <c r="I17" i="26" s="1"/>
  <c r="G23" i="26"/>
  <c r="J23" i="26" s="1"/>
  <c r="G22" i="26"/>
  <c r="J22" i="26" s="1"/>
  <c r="I22" i="26"/>
  <c r="I21" i="26" s="1"/>
  <c r="G25" i="26"/>
  <c r="J25" i="26" s="1"/>
  <c r="J24" i="26" s="1"/>
  <c r="I25" i="26"/>
  <c r="I24" i="26" s="1"/>
  <c r="G18" i="26"/>
  <c r="J18" i="26" s="1"/>
  <c r="I18" i="26"/>
  <c r="I14" i="26" s="1"/>
  <c r="J16" i="24"/>
  <c r="I16" i="24"/>
  <c r="J24" i="24"/>
  <c r="J19" i="24"/>
  <c r="G23" i="32" l="1"/>
  <c r="J23" i="32" s="1"/>
  <c r="J21" i="32" s="1"/>
  <c r="I23" i="32"/>
  <c r="I21" i="32" s="1"/>
  <c r="G18" i="32"/>
  <c r="J18" i="32" s="1"/>
  <c r="J14" i="32" s="1"/>
  <c r="I18" i="32"/>
  <c r="I14" i="32" s="1"/>
  <c r="I21" i="30"/>
  <c r="I26" i="30" s="1"/>
  <c r="J21" i="30"/>
  <c r="J26" i="30" s="1"/>
  <c r="K26" i="30" s="1"/>
  <c r="I26" i="28"/>
  <c r="D28" i="28" s="1"/>
  <c r="J26" i="28"/>
  <c r="K26" i="28" s="1"/>
  <c r="J21" i="26"/>
  <c r="G17" i="26"/>
  <c r="J17" i="26" s="1"/>
  <c r="J14" i="26" s="1"/>
  <c r="I26" i="26"/>
  <c r="J17" i="24"/>
  <c r="I17" i="24"/>
  <c r="I22" i="24"/>
  <c r="J22" i="24"/>
  <c r="J26" i="32" l="1"/>
  <c r="K26" i="32" s="1"/>
  <c r="I26" i="32"/>
  <c r="G8" i="32" s="1"/>
  <c r="G8" i="30"/>
  <c r="D28" i="30"/>
  <c r="G8" i="28"/>
  <c r="J26" i="26"/>
  <c r="K26" i="26" s="1"/>
  <c r="G8" i="26"/>
  <c r="D28" i="26"/>
  <c r="I18" i="24"/>
  <c r="I14" i="24" s="1"/>
  <c r="J18" i="24"/>
  <c r="J14" i="24" s="1"/>
  <c r="I23" i="24"/>
  <c r="I21" i="24" s="1"/>
  <c r="J23" i="24"/>
  <c r="D28" i="32" l="1"/>
  <c r="J21" i="24"/>
  <c r="J26" i="24" s="1"/>
  <c r="K26" i="24" s="1"/>
  <c r="I26" i="24"/>
  <c r="G8" i="24" l="1"/>
  <c r="D28" i="24"/>
  <c r="J16" i="47" l="1"/>
  <c r="J14" i="47" s="1"/>
  <c r="J28" i="47" s="1"/>
  <c r="N28" i="47" s="1"/>
</calcChain>
</file>

<file path=xl/sharedStrings.xml><?xml version="1.0" encoding="utf-8"?>
<sst xmlns="http://schemas.openxmlformats.org/spreadsheetml/2006/main" count="1625" uniqueCount="169">
  <si>
    <t>ITEM</t>
  </si>
  <si>
    <t>QUANTIDADE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</si>
  <si>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- B.M.</t>
    </r>
  </si>
  <si>
    <t>01</t>
  </si>
  <si>
    <t>Empreendimento</t>
  </si>
  <si>
    <t>Valor da medição (R$)</t>
  </si>
  <si>
    <t>Período</t>
  </si>
  <si>
    <t>FINANCEIRO</t>
  </si>
  <si>
    <t xml:space="preserve"> D I S C R I M I N A Ç  Ã O</t>
  </si>
  <si>
    <t>UNID</t>
  </si>
  <si>
    <t>P. UNIT.</t>
  </si>
  <si>
    <t>Medida</t>
  </si>
  <si>
    <t>Acumulada</t>
  </si>
  <si>
    <t>Acumulado</t>
  </si>
  <si>
    <t>Prevista</t>
  </si>
  <si>
    <t>no</t>
  </si>
  <si>
    <t>incluindo o</t>
  </si>
  <si>
    <t>Incluindo o</t>
  </si>
  <si>
    <t xml:space="preserve">Período </t>
  </si>
  <si>
    <t>1.0</t>
  </si>
  <si>
    <t>1.1</t>
  </si>
  <si>
    <t>1.2</t>
  </si>
  <si>
    <t>1.3</t>
  </si>
  <si>
    <t>1.4</t>
  </si>
  <si>
    <t>2.0</t>
  </si>
  <si>
    <t>3.1</t>
  </si>
  <si>
    <t>2.1</t>
  </si>
  <si>
    <t xml:space="preserve">IMPORTA O PRESENTE BOLETIM DE MEDIÇÃO O VALOR DE </t>
  </si>
  <si>
    <t>3.0</t>
  </si>
  <si>
    <t>3.2</t>
  </si>
  <si>
    <t>Medido</t>
  </si>
  <si>
    <t xml:space="preserve">BOLETIM DE MEDIÇÃO </t>
  </si>
  <si>
    <t>Agente Promotor</t>
  </si>
  <si>
    <t>Agente Financeiro</t>
  </si>
  <si>
    <t>Programa</t>
  </si>
  <si>
    <t>Início da Obra (O.S.)</t>
  </si>
  <si>
    <t>Localização da Obra</t>
  </si>
  <si>
    <t>Contrato de Repasse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</si>
  <si>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da Licitação</t>
    </r>
  </si>
  <si>
    <t>Data da Ass. Contrato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</si>
  <si>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do Contrato</t>
    </r>
  </si>
  <si>
    <t>Data da emissão do Boletim</t>
  </si>
  <si>
    <t>Contratada</t>
  </si>
  <si>
    <t>Valor da Contrato (R$)</t>
  </si>
  <si>
    <t>Prefeitura Municipal de Sousa - PB</t>
  </si>
  <si>
    <t>Prazo (Mês)</t>
  </si>
  <si>
    <t>Diversas ruas, Sousa-PB</t>
  </si>
  <si>
    <t>Execução de pavimentação asfáltica em CBUQ, em diversas ruas do município de Sousa-Pb</t>
  </si>
  <si>
    <t>Niemaia Construções Eireli</t>
  </si>
  <si>
    <t>4.0</t>
  </si>
  <si>
    <t>4.1</t>
  </si>
  <si>
    <t>PAVIMENTAÇÃO</t>
  </si>
  <si>
    <t>IMPRIMACAO EXCLUSIVE LIGANTE</t>
  </si>
  <si>
    <t>CONCRETO BETUMINOSO USINADO A QUENTE EXC. LIGANTE</t>
  </si>
  <si>
    <t>TRANSPORTE DE MATERIAIS ASFALTICO A FRIO</t>
  </si>
  <si>
    <t>TRANSPORTE DE MATERIAIS ASFALTICO A QUENTE</t>
  </si>
  <si>
    <t>SINALIZAÇÃO E SEGURANÇA</t>
  </si>
  <si>
    <t>SINALIZACAO HORIZONTAL COM TINTA 2 ANOS DURACAO</t>
  </si>
  <si>
    <t>LIGANTES BETUMINOSOS (BASE FORTALEZA)</t>
  </si>
  <si>
    <t>ASFALTO DILUIDO CM-30 EXCLUSIVE TRANSPORTE</t>
  </si>
  <si>
    <t xml:space="preserve">CIMENTO ASFALTICO CAP 50/70 EXCLUSIVE TRANSPORTE </t>
  </si>
  <si>
    <t>PLACA DA OBRA</t>
  </si>
  <si>
    <t>PLACA INDICATIVA DE OBRA</t>
  </si>
  <si>
    <t>M2</t>
  </si>
  <si>
    <t>T</t>
  </si>
  <si>
    <t>T.KM</t>
  </si>
  <si>
    <t>DISCRIMINAÇÃO</t>
  </si>
  <si>
    <t xml:space="preserve">UN </t>
  </si>
  <si>
    <t>QUANT.</t>
  </si>
  <si>
    <t>m²</t>
  </si>
  <si>
    <t>t</t>
  </si>
  <si>
    <t>t.km</t>
  </si>
  <si>
    <t>LIGANTES BETUMINOSOS (FORTALEZA)</t>
  </si>
  <si>
    <t>,</t>
  </si>
  <si>
    <t>Total de CM-30 x distancia de 419,80 km</t>
  </si>
  <si>
    <t xml:space="preserve">Total de CAP 50/70 x distância de 419,80 km </t>
  </si>
  <si>
    <t xml:space="preserve">Área total de imprimação x teor de ligante de 0,12% = </t>
  </si>
  <si>
    <t>Volume total de CBUQ em toneladas x 5,5% de taxa de aplicação =</t>
  </si>
  <si>
    <t>M²</t>
  </si>
  <si>
    <t>12 meses</t>
  </si>
  <si>
    <t>046/2022</t>
  </si>
  <si>
    <t>Concorrência n° 22/2022</t>
  </si>
  <si>
    <t>335/2023</t>
  </si>
  <si>
    <t>19/04/2023 à 27/06/2023</t>
  </si>
  <si>
    <t>MEMORIA DE CALCULO - BM 01</t>
  </si>
  <si>
    <r>
      <t xml:space="preserve">Rua Hospital Santa Terezinha - 718,60 m x largura média de (5,10+7,80+8,09+8+6,8+8,06+8,13+8+7,95+8+8,10+8+8,10+8,05+7,80+9,35)/16 = 7,83 m; perfazendo uma área de 5.626,64 m²; mais acesso ao hospital - 9,00*4,00/2 = 18,00 m²; mais área do trevo - trapézio de área 1.261,25 - área do canteiro =257,23 m²; perfazendo uma área de 1.004,02 m², logo o total da rua do santa terezinha é = 6.648,66 m²; Rua Lúcia Nogueira Elias = 110,30 m x (9,5+8,43+8,2)/3 = 8,71 m, totalizando uma área de 960,71 m²; Gerando uma área total de 7.609,37 m². MAIS DISTRITO LAGOA DOS ESTRELAS: Rua 01 - 186,20 m x largura média de 7,50 m = 1.396,50 m²; Rua 02 - 30,60 x 4,70 m = 143,82 m²; Rua 03 - 144,01 m x 7,36 m de largura média = 1.060,57 m² mais trapézio de (6,60+16,70)*33,60/2 = 391,44 m²; Rua 04 - 178,20 m de comprimento x largura média de 8,14 m =1.450,55 m²; mais trapézio de (8,30+19,5)*17/2 = 236,30 - 3,30*7,00/2 = 224,75 m²; Rua 05 - comprimento de 93 m e largura média de 7,65 m = 711,45 m² mais trapézio de (9,40+13,50)*8,20/2 = 93,89 m²; Rua 06 - 50 m de comprimento x largura média de 5,65 m = 282,50 m² mais trapézios de (6,15+11,50)*17,60/2 + (5,85+12)*16,20/2 + (12,70+22,50)*22,70/2 + 3,20*20,70 = 765,66 m². Rua 07 - 50 m de comprimento x 6,30 m de largura média = 315,00 m², mais trapézio de (7,30+10,10)*7,2/2 = 62,64 m² e Rua 08 - 84,70 m de comprimento x largura média de 6,65 m = 563,25 m². </t>
    </r>
    <r>
      <rPr>
        <b/>
        <sz val="11"/>
        <color theme="1"/>
        <rFont val="Calibri"/>
        <family val="2"/>
        <scheme val="minor"/>
      </rPr>
      <t>TOTALIZANDO UMA ÁREA DE 15.071,39 m²</t>
    </r>
  </si>
  <si>
    <t xml:space="preserve">Rua do Santa Terezinha - 718,60 x 4 faixas x 0,10 m
Lagoa dos Estrelas – (186,20+30,60+144,01+178,20+17+93+8,20+50+17,60+16,20+22,70+20,70+50+7,20+84,70) x 3 faixas x 0,10 m = </t>
  </si>
  <si>
    <t>(Área total x 0,04 m de altura + área da rua santa terezinha x 0,01 m de altura) x densidade de 2,40 t/ m³ =1.606,42 t mais lombadas = 0,16*6,72 + 0,16*3,39 + 0,18*8,20+ 0,21*7,72+ 0,18*8,00+ 8,11*0,18 + 8,20*0,24 + 8*0,19 + 5,90*0,19 + 5,25*0,17 = 13,12 m³ * 2,40 = 31,48 t. totalizando 1.637,90 t</t>
  </si>
  <si>
    <t>02</t>
  </si>
  <si>
    <t>28/06/2023 à 31/10/2023</t>
  </si>
  <si>
    <r>
      <t>Sítio Pereiros - Rua 1: 6,30*50+6,20*19,60+3,35*4,70 = 452,26 m²; Rua 2: 33,30 m de comprimento * largura média de (7,44+7,65/2) = 251,25 m²; Rua 3: 32,50 m de comprimento x 9,90 m largura média = 321,75 m²; Rua 04: 53,48 m de comprimento x largura média de (9,9+6,6+5,32)/3 = 7,27 m = 388,80 m² + 30,90*4,56 = 140,90 m² + 82,06 m de comprimento x largura média de (5,53+6,4+5,9)/3 = 5,94 = 487,43 m²; Rua 05: 158 m de comprimento x largura média de (5,89+6,1+5,8+5,14)/4 = 5,73 m = 905,34 m² -</t>
    </r>
    <r>
      <rPr>
        <b/>
        <sz val="11"/>
        <color theme="1"/>
        <rFont val="Calibri"/>
        <family val="2"/>
        <scheme val="minor"/>
      </rPr>
      <t xml:space="preserve"> totalizando: 2.948,03 m² nos Pereiros</t>
    </r>
    <r>
      <rPr>
        <sz val="11"/>
        <color theme="1"/>
        <rFont val="Calibri"/>
        <family val="2"/>
        <scheme val="minor"/>
      </rPr>
      <t>. Bairro Alto do Cruzeiro: Rua Amaro Florentino dos Santos: 132,80 m de comprimento x 4,20 m de largura média (4,15+4,14+4,3)/3 = 557,76 m² mais trapezio de 24*(18,2+4,2)/2 = 268,80 m²; mais trapézio de 2,20*(4,3+6,20)/2 = 11,55 m² - totalizando: 838,11 m²; Rua Anuana de Sena Gonçalves: 7,80*35,10 = 273,78 m²; Rua Manoel Francisco de Barros: 236,60 m de comprimento x largura média de (4,70+4,20+4,19+4,15+4,17)/5 = 4,28 m = 1.012,65 m²; Rua Josefa Estrela de Oliveira: 109,53 m de comprimento x largura média de (5,82+5,87+5,68+5,60+5,80)/5 = 5,74 m = 628,70 m²; Rua Raimundo Fernandes de Aragão: 179,50 m de comprimento x largura média de ( 5,27+5,03+5,10+5,33+7,20)/5= 5,58 m = 1.001,61 m². Rua Socrates Abrantes da Silva: 43,80 m de comprimento x largura média de 6,70 m = 293,46 m²,</t>
    </r>
    <r>
      <rPr>
        <b/>
        <sz val="11"/>
        <color theme="1"/>
        <rFont val="Calibri"/>
        <family val="2"/>
        <scheme val="minor"/>
      </rPr>
      <t xml:space="preserve"> totalizando no Alto do Cruzeiro: 4.048,31 m²</t>
    </r>
    <r>
      <rPr>
        <sz val="11"/>
        <color theme="1"/>
        <rFont val="Calibri"/>
        <family val="2"/>
        <scheme val="minor"/>
      </rPr>
      <t xml:space="preserve">. Bairro Jardim Iracema: Rua Lioneu Bezerra - comprimento de 181,25 m x largura média de (6,45+5,4+5,35+5,7+5,75+5,8)/6 = 5,74 m = 1.040,37 m²; Rua Desembargador Silva Porto: comprimento de 216,51 m x largura média de (5,60+5,77+5,03+5,20+6,16+6,43+6,50+6,65)/8 = 5,91 m = 1.279,57 m²; Rua Vitoria Alves da Silva: 221,90 m de comprimento x largura média de: (5,28+5,85+5,46+5,58+5,36+5,30)/6 = 5,47 m = 1.213,79 m². Rua Vicente Gonçalves: 179,60 m de comprimento x largura média de (5,57+5,26+5,35+5,35+5,36)/5 = 5,38 m = 966,25 m². Rua Francisco Iran: 88,50 m de comprimento x largura média de (5,96+5,80+5,36)/3 = 5,70 m = 504,45 m². </t>
    </r>
    <r>
      <rPr>
        <b/>
        <sz val="11"/>
        <color theme="1"/>
        <rFont val="Calibri"/>
        <family val="2"/>
        <scheme val="minor"/>
      </rPr>
      <t xml:space="preserve">Totalizando no Bairro Jardim Iracema: 5.004,43 m². </t>
    </r>
    <r>
      <rPr>
        <sz val="11"/>
        <color theme="1"/>
        <rFont val="Calibri"/>
        <family val="2"/>
        <scheme val="minor"/>
      </rPr>
      <t xml:space="preserve">Bairro Jardim Brasilia: Rua Maria Loureiro França: 364,30 m de comprimento x largura média de: (7,12+7,23+6,97+7,17+7,2+7,22+7,16+7,06+7,10)/9 = 7,14 m = 2.601,10 m²; Rua Francisco Queiroga: 335,55 m de comprimento x largura média de (7,40+7,40+7,40+7,39+7,27+7,38+7,5)/7 = 7,39 m = 2.479,71 m²; Rua Candida Sarmento: comprimento de 136,20 m x largura média de: (7,43+7,27+7,4+7,66+7,37+7,5)/6 = 7,43 m = 1.011,97 m²; Rua Marcos Augusto Gonçalves: 214,50 m x largura média de (5,03+5,13+5,10+5,20+5,04)/5 = 5,10 m = 1.093,95 m². Rua São João: 127,80 m x largura média de 6,77 m = 865,21 m²; Rua Regina Rodrigues: 103,4 m x largura média de 9,40 m =971,96 m². </t>
    </r>
    <r>
      <rPr>
        <b/>
        <sz val="11"/>
        <color theme="1"/>
        <rFont val="Calibri"/>
        <family val="2"/>
        <scheme val="minor"/>
      </rPr>
      <t>Totalizando no Bairro Jardim Brasilia: 9.023,90 m²</t>
    </r>
  </si>
  <si>
    <t>(Área total x 0,04 m de altura) x densidade de 2,40 t/ m³ = 2.018,37 t mais lombadas de: 0,15*9,66 + 0,11*6,90+0,11*5,42+0,15*4,20+0,11*4,10+0,13*4,46+ 0,17*4,3+ 0,14*5,26+0,14*5,36+0,19*7,27+0,20*5,10*2 = 10,10 m³ x densidade de 2,40 t/m³ = 24,25 t</t>
  </si>
  <si>
    <t xml:space="preserve">Pereiros: 2*74,3*0,1 + 33,30*3*0,10+32,50*4*0,10+94,30*0,10+53,48*0,1+82,06*0,1+22,60*2*0,1+135,4*0,1*4 = 119,41 m²; </t>
  </si>
  <si>
    <t>MEMORIA DE CALCULO - BM 02</t>
  </si>
  <si>
    <t>03</t>
  </si>
  <si>
    <t>01/11/2023 à 05/12/2023</t>
  </si>
  <si>
    <r>
      <rPr>
        <b/>
        <sz val="11"/>
        <color theme="1"/>
        <rFont val="Calibri"/>
        <family val="2"/>
        <scheme val="minor"/>
      </rPr>
      <t xml:space="preserve">Várzea da Cruz: </t>
    </r>
    <r>
      <rPr>
        <sz val="11"/>
        <color theme="1"/>
        <rFont val="Calibri"/>
        <family val="2"/>
        <scheme val="minor"/>
      </rPr>
      <t xml:space="preserve">Rua Manoel Celestino de Paula: comprimento de 341,30 m x largura média de (8,63+8,9+9+9,2+9,05+9,14+9,15+9,15)/8 = 9,03 m = 3.081,94 m²; Travessa 01 = 38 m de comprimento x largura de 12,10 m mais trapézio de (12,10+28,80)*12/2 = 705,20 m²; Travessa 02: 31,67 m de comprimento x 6,45 m de largura =  204,27 m²; Travessa 03: (6,35+6,50)*29,50/2 = 189,54 m²; Travessa 04: (5,68+5,90)*24,60/2 = 142,43m²; Travessa 05: (6,20+6,40)*29,50/2 = 185,85m²; totalizando no bairro </t>
    </r>
    <r>
      <rPr>
        <b/>
        <sz val="11"/>
        <color theme="1"/>
        <rFont val="Calibri"/>
        <family val="2"/>
        <scheme val="minor"/>
      </rPr>
      <t xml:space="preserve">Várzea de Cruz: 4.509,23 m². </t>
    </r>
    <r>
      <rPr>
        <sz val="11"/>
        <color theme="1"/>
        <rFont val="Calibri"/>
        <family val="2"/>
        <scheme val="minor"/>
      </rPr>
      <t xml:space="preserve">Bairro Alto do Cruzeiro: Rua Dilberto Fortunato: 68,84 m de comprimento x largura de (6,25+5,45)/2 = 5,85 m = 402,71 m²; Rua Manoel Silva: 91,70 m de comprimento x largura de (5,66+5,27+5,15)/3 = 5,36 m = 491,51 m², totalizando no bairro </t>
    </r>
    <r>
      <rPr>
        <b/>
        <sz val="11"/>
        <color theme="1"/>
        <rFont val="Calibri"/>
        <family val="2"/>
        <scheme val="minor"/>
      </rPr>
      <t>Alto do Cruzeiro: 894,22 m²</t>
    </r>
    <r>
      <rPr>
        <sz val="11"/>
        <color theme="1"/>
        <rFont val="Calibri"/>
        <family val="2"/>
        <scheme val="minor"/>
      </rPr>
      <t xml:space="preserve">. Bairro Jardim Iracema: Rua Francisco Estrela de Oliveira: 192,98 m de comprimento x largura de (6,38+6,37+5,86+5,83+5,84)/5 = 6,05m = </t>
    </r>
    <r>
      <rPr>
        <b/>
        <sz val="11"/>
        <color theme="1"/>
        <rFont val="Calibri"/>
        <family val="2"/>
        <scheme val="minor"/>
      </rPr>
      <t>1.167,53 m²</t>
    </r>
  </si>
  <si>
    <t>(Área total x 0,04 m de altura) x densidade de 2,40 t/ m³ = 630,81 t mais lombadas de: 0,1156*9,90 + 0,1507*9,20 + 0,169*9,14 + 0,2058*6,25 + 0,1942*6,97 + 0,1942*5,3 = 7,74 m³ x densidade de 2,40 t/m³ = 18,57 t</t>
  </si>
  <si>
    <t>MEMORIA DE CALCULO - BM 03</t>
  </si>
  <si>
    <t>04</t>
  </si>
  <si>
    <t>06/12/2023 à 03/04/2024</t>
  </si>
  <si>
    <t xml:space="preserve">BAIRRO ALTO DO CRUZEIRO: Rua Saul Pedrosa de Melo: 3783,45 m²; Rua projetada: 256,10 m²; BAIRRO ANDRE GADELHA: Rua Valmir Estrela Pinheiro: 1789,51 m²; travessa valmir estrela pinheiro: 198,52 m²; Rua Osvaldo Leandro: 1.425,82 m²; Rua Eduardo Estrela: 425,60 m²; Rua Joaquim G. Queiroga: 400,52 m² + 821,23 m² = </t>
  </si>
  <si>
    <t>(Área total x 0,04 m de altura) x densidade de 2,40 t/ m³ = 873,67 t</t>
  </si>
  <si>
    <t>MEMORIA DE CALCULO - BM 04</t>
  </si>
  <si>
    <t>MEMORIA DE CALCULO - BM 05</t>
  </si>
  <si>
    <t>05</t>
  </si>
  <si>
    <t>04/04/2024 à 01/07/2024</t>
  </si>
  <si>
    <t>Massapê dos Dias: 1.050 m x largura média de (4,86+4,78+4,70+4,63+4,45+4,45+4,63+4,80+5,30+4,30+4,50+5,50+4,05+3,85)/14 = 4,63 m, mais trapézio de (4,86+23,86)*28,70/2 = 412,13 m²; totalizando no Massapê dos Dias: 5.273,63 m². Bairro Raquel Gadelha: Rua Pedro Alves Sobinho: 253,15 m de comprimento x largura média de (7,78+7,10+6,80+7,05+7,76+7,92)/6 = 7,40 m, totalizando 1.873,31 m²; Rua Clotário de Paiva Gadelha: 91,40*9,97 + 6,65*58,08+6,22*55,5+3,19*48,00 = 1.795,82 m²; Rua Jose Pereira da Costa: 302,32 m x largura média de (6,75+7,00+7,60+7,25+6,55+6,95+7,30+7,08)/8= 7,06 m = 2.134,38 m²; Rua Ademir Paulo da Silva: 70,35 m de comprimento x (6,80+6,46+6,62)/3 = 6,63 m = 466,42 m² + 3,30*28,80 = 95,04, totalizando: 561,46 m²; Rua Expedito Loureiro França: 339,30 m de comprimento x largura média de (5,80+6,40+6,83+5,30+5,50+6,80+5,33+4,92+5,10+5,60)/ 10 = 5,76 m = 1.954,37 m²</t>
  </si>
  <si>
    <t>(Área total x 0,04 m de altura) x densidade de 2,40 t/ m³ = 1.304,93 t + lombadas: 0,10*5,97 + 0,10*5,30 + 0,10*4,80 + 0,11*4,80+ 0,12*5,17 + 0,11*6,90 + 0,10*7,76 + 0,10*7,00 + 0,11*7,58 + 0,08*7,25 + 0,11*6,55 + 0,11*6,62+ 0,11*6,40 + 0,12*6,80 = 9,37 m³ * 2,40 t/m³</t>
  </si>
  <si>
    <t>MEMORIA DE CALCULO - BM 06</t>
  </si>
  <si>
    <t>06</t>
  </si>
  <si>
    <t>02/07/2024 à 06/09/2024</t>
  </si>
  <si>
    <r>
      <t xml:space="preserve">Rua Antonio de Paiva Gadelha: 217,00*((10,25+10,4+10,7+10,6+11,0+10,9)/6) = </t>
    </r>
    <r>
      <rPr>
        <b/>
        <sz val="11"/>
        <color theme="1"/>
        <rFont val="Calibri"/>
        <family val="2"/>
        <scheme val="minor"/>
      </rPr>
      <t>2.309,24 m²</t>
    </r>
    <r>
      <rPr>
        <sz val="11"/>
        <color theme="1"/>
        <rFont val="Calibri"/>
        <family val="2"/>
        <scheme val="minor"/>
      </rPr>
      <t xml:space="preserve">; Rua Escola ECIT: 302,7*((7,75+7,55+6,8+5,2+6,1+6,15+6,15 + 6,15)/8)= </t>
    </r>
    <r>
      <rPr>
        <b/>
        <sz val="11"/>
        <color theme="1"/>
        <rFont val="Calibri"/>
        <family val="2"/>
        <scheme val="minor"/>
      </rPr>
      <t>1.961,87 m²</t>
    </r>
    <r>
      <rPr>
        <sz val="11"/>
        <color theme="1"/>
        <rFont val="Calibri"/>
        <family val="2"/>
        <scheme val="minor"/>
      </rPr>
      <t xml:space="preserve">; Rua Pedro Alves Sobrinho: 110,00*((6,6+9,4+10,25)/3) = </t>
    </r>
    <r>
      <rPr>
        <b/>
        <sz val="11"/>
        <color theme="1"/>
        <rFont val="Calibri"/>
        <family val="2"/>
        <scheme val="minor"/>
      </rPr>
      <t>962,50 m²</t>
    </r>
    <r>
      <rPr>
        <sz val="11"/>
        <color theme="1"/>
        <rFont val="Calibri"/>
        <family val="2"/>
        <scheme val="minor"/>
      </rPr>
      <t xml:space="preserve">; Rua Clotário de Paiva Gadelha: 1,90*24,8+5,1*22,2+3,2*14,0+ 47,7*10,25 = </t>
    </r>
    <r>
      <rPr>
        <b/>
        <sz val="11"/>
        <color theme="1"/>
        <rFont val="Calibri"/>
        <family val="2"/>
        <scheme val="minor"/>
      </rPr>
      <t>649,06 m²</t>
    </r>
    <r>
      <rPr>
        <sz val="11"/>
        <color theme="1"/>
        <rFont val="Calibri"/>
        <family val="2"/>
        <scheme val="minor"/>
      </rPr>
      <t xml:space="preserve">; Rua Aldemir Paulo da Silva: 132,5*((7,4+6,5+6,2)/3)+7,9*36 = </t>
    </r>
    <r>
      <rPr>
        <b/>
        <sz val="11"/>
        <color theme="1"/>
        <rFont val="Calibri"/>
        <family val="2"/>
        <scheme val="minor"/>
      </rPr>
      <t>1.172,15 m²</t>
    </r>
    <r>
      <rPr>
        <sz val="11"/>
        <color theme="1"/>
        <rFont val="Calibri"/>
        <family val="2"/>
        <scheme val="minor"/>
      </rPr>
      <t xml:space="preserve">; Rua Francisco Homero Duarte Pinto: 610,5* ((7,2+7,0+7,1+ 6,1+ 6,4+ 7,1+ 7,2+ 7,3 +7,2+ 6,85+ 6,6 +6,7+ 6,85+ 7,2)/14) = </t>
    </r>
    <r>
      <rPr>
        <b/>
        <sz val="11"/>
        <color theme="1"/>
        <rFont val="Calibri"/>
        <family val="2"/>
        <scheme val="minor"/>
      </rPr>
      <t>4.221,17 m²</t>
    </r>
    <r>
      <rPr>
        <sz val="11"/>
        <color theme="1"/>
        <rFont val="Calibri"/>
        <family val="2"/>
        <scheme val="minor"/>
      </rPr>
      <t xml:space="preserve">; Rua Expedito Lourenço de Souza: 26,5*5,5 = </t>
    </r>
    <r>
      <rPr>
        <b/>
        <sz val="11"/>
        <color theme="1"/>
        <rFont val="Calibri"/>
        <family val="2"/>
        <scheme val="minor"/>
      </rPr>
      <t>145,75 m²</t>
    </r>
    <r>
      <rPr>
        <sz val="11"/>
        <color theme="1"/>
        <rFont val="Calibri"/>
        <family val="2"/>
        <scheme val="minor"/>
      </rPr>
      <t xml:space="preserve">; Rua Sargento Sarmento: 627,0*((6,75+6,4+6,3+6,7+6,65+6,4+6,4+6,2)/8) = </t>
    </r>
    <r>
      <rPr>
        <b/>
        <sz val="11"/>
        <color theme="1"/>
        <rFont val="Calibri"/>
        <family val="2"/>
        <scheme val="minor"/>
      </rPr>
      <t>4.059,83 m²</t>
    </r>
    <r>
      <rPr>
        <sz val="11"/>
        <color theme="1"/>
        <rFont val="Calibri"/>
        <family val="2"/>
        <scheme val="minor"/>
      </rPr>
      <t xml:space="preserve">; Rua João Torres Ribeiro: 11*27,2+10,7*47,2 = </t>
    </r>
    <r>
      <rPr>
        <b/>
        <sz val="11"/>
        <color theme="1"/>
        <rFont val="Calibri"/>
        <family val="2"/>
        <scheme val="minor"/>
      </rPr>
      <t>804,24 m²</t>
    </r>
  </si>
  <si>
    <t>(Área total x 0,04 m de altura) x densidade de 2,40 t/ m³ = 1.304,93 t + lombadas: 0,06*(10,4+10,6+7,2+6,8+7,1) + 0,05*(6,2+6,1+7,1+7,2+6,85+6,7)+ 0,08* (6,2+6,9)= 5,58 m³ * 2,40 t/m³</t>
  </si>
  <si>
    <t>07</t>
  </si>
  <si>
    <t>07/09/2024 à 26/09/2024</t>
  </si>
  <si>
    <t>MEMORIA DE CALCULO - BM 07</t>
  </si>
  <si>
    <t>(Área total x 0,04 m de altura) x densidade de 2,40 t/ m³ = 1.304,93 t + lombadas: 0,06*(6,5+7,07+6,77+6,20+6,06+6,80+6,66+8,36+6,20+6,33+5,9) = 4,37 m³ * 2,40 t/m³ = 10,48 t</t>
  </si>
  <si>
    <r>
      <t xml:space="preserve">Av. Almirante Tamandaré: 65,35 m x (10,90+9,90+9,58)/3 = </t>
    </r>
    <r>
      <rPr>
        <b/>
        <sz val="11"/>
        <color theme="1"/>
        <rFont val="Calibri"/>
        <family val="2"/>
        <scheme val="minor"/>
      </rPr>
      <t>661,77 m²</t>
    </r>
    <r>
      <rPr>
        <sz val="11"/>
        <color theme="1"/>
        <rFont val="Calibri"/>
        <family val="2"/>
        <scheme val="minor"/>
      </rPr>
      <t xml:space="preserve">; Rua Francisco Paulino da Silva: 129,00 m x (6,64+6,50+6,94+7,42)/4 = </t>
    </r>
    <r>
      <rPr>
        <b/>
        <sz val="11"/>
        <color theme="1"/>
        <rFont val="Calibri"/>
        <family val="2"/>
        <scheme val="minor"/>
      </rPr>
      <t>886,87 m²</t>
    </r>
    <r>
      <rPr>
        <sz val="11"/>
        <color theme="1"/>
        <rFont val="Calibri"/>
        <family val="2"/>
        <scheme val="minor"/>
      </rPr>
      <t xml:space="preserve">;  Rua Maria do Socorro Freitas: 147,00 m x (7,45+7,07+6,77+6,7)/4 = </t>
    </r>
    <r>
      <rPr>
        <b/>
        <sz val="11"/>
        <color theme="1"/>
        <rFont val="Calibri"/>
        <family val="2"/>
        <scheme val="minor"/>
      </rPr>
      <t>1.028,63 m²</t>
    </r>
    <r>
      <rPr>
        <sz val="11"/>
        <color theme="1"/>
        <rFont val="Calibri"/>
        <family val="2"/>
        <scheme val="minor"/>
      </rPr>
      <t xml:space="preserve">; Rua Vereador Jose Gonçalves Formiga:574,25 m x (6,10+ 6,93+ 6,15+ 6,30+ 6,63+ 6,34)/6 = </t>
    </r>
    <r>
      <rPr>
        <b/>
        <sz val="11"/>
        <color theme="1"/>
        <rFont val="Calibri"/>
        <family val="2"/>
        <scheme val="minor"/>
      </rPr>
      <t>3679,99 m²</t>
    </r>
    <r>
      <rPr>
        <sz val="11"/>
        <color theme="1"/>
        <rFont val="Calibri"/>
        <family val="2"/>
        <scheme val="minor"/>
      </rPr>
      <t xml:space="preserve">; Rua Janduir Morais: 214,60 m x (6,63+ 6,15+ 6,20+ 5,75+ 6,06+ 6,06+ 6,80+ 7,23)/8 = </t>
    </r>
    <r>
      <rPr>
        <b/>
        <sz val="11"/>
        <color theme="1"/>
        <rFont val="Calibri"/>
        <family val="2"/>
        <scheme val="minor"/>
      </rPr>
      <t>1.364,86 m²;</t>
    </r>
    <r>
      <rPr>
        <sz val="11"/>
        <color theme="1"/>
        <rFont val="Calibri"/>
        <family val="2"/>
        <scheme val="minor"/>
      </rPr>
      <t xml:space="preserve"> Rua Onofre Pinto de Almeida: 208,6 m x (6,66+7,33+8,36+7,74+8,00)/5 = </t>
    </r>
    <r>
      <rPr>
        <b/>
        <sz val="11"/>
        <color theme="1"/>
        <rFont val="Calibri"/>
        <family val="2"/>
        <scheme val="minor"/>
      </rPr>
      <t>1.589,11 m²</t>
    </r>
    <r>
      <rPr>
        <sz val="11"/>
        <color theme="1"/>
        <rFont val="Calibri"/>
        <family val="2"/>
        <scheme val="minor"/>
      </rPr>
      <t xml:space="preserve">; Rua Ednaldo Torres: 93,5 m x (7,70+7,96+7,30)/3 = </t>
    </r>
    <r>
      <rPr>
        <b/>
        <sz val="11"/>
        <color theme="1"/>
        <rFont val="Calibri"/>
        <family val="2"/>
        <scheme val="minor"/>
      </rPr>
      <t>715,58 m²</t>
    </r>
    <r>
      <rPr>
        <sz val="11"/>
        <color theme="1"/>
        <rFont val="Calibri"/>
        <family val="2"/>
        <scheme val="minor"/>
      </rPr>
      <t xml:space="preserve">; Rua Tony Cassio Rodrigues: 250,00 m x (6,20+6,20+6,83+6,36+5,90+6,30)/6 = </t>
    </r>
    <r>
      <rPr>
        <b/>
        <sz val="11"/>
        <color theme="1"/>
        <rFont val="Calibri"/>
        <family val="2"/>
        <scheme val="minor"/>
      </rPr>
      <t>1.574,58 m²</t>
    </r>
    <r>
      <rPr>
        <sz val="11"/>
        <color theme="1"/>
        <rFont val="Calibri"/>
        <family val="2"/>
        <scheme val="minor"/>
      </rPr>
      <t xml:space="preserve">; Rua Luiz Lucelio Ferreira: 63,6 m x (5,6+5,6+5,8)/3 = </t>
    </r>
    <r>
      <rPr>
        <b/>
        <sz val="11"/>
        <color theme="1"/>
        <rFont val="Calibri"/>
        <family val="2"/>
        <scheme val="minor"/>
      </rPr>
      <t>360,40 m²</t>
    </r>
    <r>
      <rPr>
        <sz val="11"/>
        <color theme="1"/>
        <rFont val="Calibri"/>
        <family val="2"/>
        <scheme val="minor"/>
      </rPr>
      <t xml:space="preserve">; Rua Sergio Abrantes: 185,70 m x (5,86+5,44+5,5+5,15+5,8+5,28)/6 = </t>
    </r>
    <r>
      <rPr>
        <b/>
        <sz val="11"/>
        <color theme="1"/>
        <rFont val="Calibri"/>
        <family val="2"/>
        <scheme val="minor"/>
      </rPr>
      <t>1.022,28 m²</t>
    </r>
    <r>
      <rPr>
        <sz val="11"/>
        <color theme="1"/>
        <rFont val="Calibri"/>
        <family val="2"/>
        <scheme val="minor"/>
      </rPr>
      <t>;</t>
    </r>
  </si>
  <si>
    <t>08</t>
  </si>
  <si>
    <t>27/09/2024 à 26/12/2024</t>
  </si>
  <si>
    <r>
      <t xml:space="preserve">Bairro Gato Preto: Rua Jose Francisco de Sousa: 62,90 x (7,4+6,6)/2 = </t>
    </r>
    <r>
      <rPr>
        <b/>
        <sz val="11"/>
        <color theme="1"/>
        <rFont val="Calibri"/>
        <family val="2"/>
        <scheme val="minor"/>
      </rPr>
      <t>440,30 m²</t>
    </r>
    <r>
      <rPr>
        <sz val="11"/>
        <color theme="1"/>
        <rFont val="Calibri"/>
        <family val="2"/>
        <scheme val="minor"/>
      </rPr>
      <t xml:space="preserve">; Rua Ivo Cordeiro: 153,40 m x (6,7+6,0+5,75+6,0)/4 = </t>
    </r>
    <r>
      <rPr>
        <b/>
        <sz val="11"/>
        <color theme="1"/>
        <rFont val="Calibri"/>
        <family val="2"/>
        <scheme val="minor"/>
      </rPr>
      <t>937,65 m²</t>
    </r>
    <r>
      <rPr>
        <sz val="11"/>
        <color theme="1"/>
        <rFont val="Calibri"/>
        <family val="2"/>
        <scheme val="minor"/>
      </rPr>
      <t xml:space="preserve">; Bairro Raquel Gadelha: Rua Ana Cartaxo: 392,40 m x (6,7+6,7+6,7+6,7+6,2+5,85+6,0+6,0+6,2+6,7+6,9)/11 = </t>
    </r>
    <r>
      <rPr>
        <b/>
        <sz val="11"/>
        <color theme="1"/>
        <rFont val="Calibri"/>
        <family val="2"/>
        <scheme val="minor"/>
      </rPr>
      <t>2.520,28 m²</t>
    </r>
    <r>
      <rPr>
        <sz val="11"/>
        <color theme="1"/>
        <rFont val="Calibri"/>
        <family val="2"/>
        <scheme val="minor"/>
      </rPr>
      <t xml:space="preserve">; Bairro Estação: Rua Praça da Estação: 123,20 m x (8,8+ 6,2+ 6,6+ 6,35)/4 = </t>
    </r>
    <r>
      <rPr>
        <b/>
        <sz val="11"/>
        <color theme="1"/>
        <rFont val="Calibri"/>
        <family val="2"/>
        <scheme val="minor"/>
      </rPr>
      <t>860,86 m²</t>
    </r>
    <r>
      <rPr>
        <sz val="11"/>
        <color theme="1"/>
        <rFont val="Calibri"/>
        <family val="2"/>
        <scheme val="minor"/>
      </rPr>
      <t xml:space="preserve">; Bairro Jardim Brasília:  Rua Francisco de Elias Queiroga: 119,80 x (7,65+7,7+8,1)/3 = </t>
    </r>
    <r>
      <rPr>
        <b/>
        <sz val="11"/>
        <color theme="1"/>
        <rFont val="Calibri"/>
        <family val="2"/>
        <scheme val="minor"/>
      </rPr>
      <t>936,43 m²</t>
    </r>
    <r>
      <rPr>
        <sz val="11"/>
        <color theme="1"/>
        <rFont val="Calibri"/>
        <family val="2"/>
        <scheme val="minor"/>
      </rPr>
      <t>; Rua Maria Marques de Sousa: 163,30 m x (7,65+7,35+7,7+8,0)/4 =</t>
    </r>
    <r>
      <rPr>
        <b/>
        <sz val="11"/>
        <color theme="1"/>
        <rFont val="Calibri"/>
        <family val="2"/>
        <scheme val="minor"/>
      </rPr>
      <t xml:space="preserve"> 1.253,33 m²</t>
    </r>
  </si>
  <si>
    <t>(Área total x 0,04 m de altura) x densidade de 2,40 t/ m³ = 1.304,93 t + lombadas: 0,06*(7,7+7,7+6,6+6,7+5,75+5,85+6,2) = 2,79 m³ * 2,40 t/m³ = 6,69 t</t>
  </si>
  <si>
    <t>MEMORIA DE CALCULO - BM 08</t>
  </si>
  <si>
    <t>MEMORIA DE CALCULO - BM 09</t>
  </si>
  <si>
    <t>09</t>
  </si>
  <si>
    <t>27/12/2024 à 13/05/2025</t>
  </si>
  <si>
    <t>BOLETIM DE MEDIÇÃO  - APÓS REPROGRAMAÇÃO</t>
  </si>
  <si>
    <t>1.5</t>
  </si>
  <si>
    <t>PINTURA DE LIGACAO EXCLUSIVE LIGANTE</t>
  </si>
  <si>
    <t>após</t>
  </si>
  <si>
    <t>reprogramação</t>
  </si>
  <si>
    <t>3.3</t>
  </si>
  <si>
    <t>EMULSAO ASFALTICA RR-2C EXCLUSIVE TRANSPORTE</t>
  </si>
  <si>
    <t xml:space="preserve">Área total de pintura de ligação x teor de ligante de 0,05% = </t>
  </si>
  <si>
    <t>Total de RR-2C x distancia de 419,80 km</t>
  </si>
  <si>
    <t>Volume total de CBUQ em toneladas x 5,2% de taxa de aplicação =</t>
  </si>
  <si>
    <t>(Área total de pintura de ligação x 0,04 m de altura) x densidade de 2,40 t/ m³ = 1.304,93 t + lombadas: 0,06*(10,7+10,7+6,0+7,1+8,0) = 2,55 m³ * 2,40 t/m³ =</t>
  </si>
  <si>
    <t>_________________________________________________________</t>
  </si>
  <si>
    <t>___________________________________________________</t>
  </si>
  <si>
    <t>________________________________________________</t>
  </si>
  <si>
    <t>Engenheiro Fiscal Titular</t>
  </si>
  <si>
    <t>Engenheiro Fiscal Auxiliar</t>
  </si>
  <si>
    <t>Secretário de Planejamento</t>
  </si>
  <si>
    <r>
      <t xml:space="preserve">Rua Padre Aprígio: 111,50*((10,70+10,75+10,80)/3) = </t>
    </r>
    <r>
      <rPr>
        <b/>
        <sz val="11"/>
        <color theme="1"/>
        <rFont val="Calibri"/>
        <family val="2"/>
        <scheme val="minor"/>
      </rPr>
      <t>1.198,63 m²;</t>
    </r>
    <r>
      <rPr>
        <sz val="11"/>
        <color theme="1"/>
        <rFont val="Calibri"/>
        <family val="2"/>
        <scheme val="minor"/>
      </rPr>
      <t xml:space="preserve"> Rua Isac Moreira: 454*((6,9+6,85+7,7+7,74)/4) = 3.313,07 + trapézio de (12,3+13,7)*46,1/2 = 599,30, totalizando </t>
    </r>
    <r>
      <rPr>
        <b/>
        <sz val="11"/>
        <color theme="1"/>
        <rFont val="Calibri"/>
        <family val="2"/>
        <scheme val="minor"/>
      </rPr>
      <t>3.912,36 m²</t>
    </r>
    <r>
      <rPr>
        <sz val="11"/>
        <color theme="1"/>
        <rFont val="Calibri"/>
        <family val="2"/>
        <scheme val="minor"/>
      </rPr>
      <t xml:space="preserve">; Rua João Teodoro: 139,50*((6,3+6,95+6,0)/3) = </t>
    </r>
    <r>
      <rPr>
        <b/>
        <sz val="11"/>
        <color theme="1"/>
        <rFont val="Calibri"/>
        <family val="2"/>
        <scheme val="minor"/>
      </rPr>
      <t>859,12 m²</t>
    </r>
    <r>
      <rPr>
        <sz val="11"/>
        <color theme="1"/>
        <rFont val="Calibri"/>
        <family val="2"/>
        <scheme val="minor"/>
      </rPr>
      <t xml:space="preserve">; Rua Tipógrafo Manoel Marques Mariz: 100*((7,7+6,8)/2) = </t>
    </r>
    <r>
      <rPr>
        <b/>
        <sz val="11"/>
        <color theme="1"/>
        <rFont val="Calibri"/>
        <family val="2"/>
        <scheme val="minor"/>
      </rPr>
      <t>725,00 m²</t>
    </r>
    <r>
      <rPr>
        <sz val="11"/>
        <color theme="1"/>
        <rFont val="Calibri"/>
        <family val="2"/>
        <scheme val="minor"/>
      </rPr>
      <t xml:space="preserve">; Rua Haroldo Nazaré: 196,80*((8,2+7,3+7,1)/3) = </t>
    </r>
    <r>
      <rPr>
        <b/>
        <sz val="11"/>
        <color theme="1"/>
        <rFont val="Calibri"/>
        <family val="2"/>
        <scheme val="minor"/>
      </rPr>
      <t>1.482,56 m²</t>
    </r>
    <r>
      <rPr>
        <sz val="11"/>
        <color theme="1"/>
        <rFont val="Calibri"/>
        <family val="2"/>
        <scheme val="minor"/>
      </rPr>
      <t xml:space="preserve">; Rua Basilio Silva: 598,86*((8,0+8,3+8,15+7,6+7,65+8,5)/6) = </t>
    </r>
    <r>
      <rPr>
        <b/>
        <sz val="11"/>
        <color theme="1"/>
        <rFont val="Calibri"/>
        <family val="2"/>
        <scheme val="minor"/>
      </rPr>
      <t>4.810,80 m²</t>
    </r>
    <r>
      <rPr>
        <sz val="11"/>
        <color theme="1"/>
        <rFont val="Calibri"/>
        <family val="2"/>
        <scheme val="minor"/>
      </rPr>
      <t xml:space="preserve">; Rua Timóteo Morais: 157,00*5,89 = </t>
    </r>
    <r>
      <rPr>
        <b/>
        <sz val="11"/>
        <color theme="1"/>
        <rFont val="Calibri"/>
        <family val="2"/>
        <scheme val="minor"/>
      </rPr>
      <t>924,73 m²</t>
    </r>
    <r>
      <rPr>
        <sz val="11"/>
        <color theme="1"/>
        <rFont val="Calibri"/>
        <family val="2"/>
        <scheme val="minor"/>
      </rPr>
      <t xml:space="preserve">; Rua Francisco Antonio de Sousa: 171,60*4,62 = </t>
    </r>
    <r>
      <rPr>
        <b/>
        <sz val="11"/>
        <color theme="1"/>
        <rFont val="Calibri"/>
        <family val="2"/>
        <scheme val="minor"/>
      </rPr>
      <t>792,79 m²</t>
    </r>
    <r>
      <rPr>
        <sz val="11"/>
        <color theme="1"/>
        <rFont val="Calibri"/>
        <family val="2"/>
        <scheme val="minor"/>
      </rPr>
      <t xml:space="preserve">; Rua Cesário Miguel: 183*((6,8+5,0)/2) = </t>
    </r>
    <r>
      <rPr>
        <b/>
        <sz val="11"/>
        <color theme="1"/>
        <rFont val="Calibri"/>
        <family val="2"/>
        <scheme val="minor"/>
      </rPr>
      <t>1.079,70m²</t>
    </r>
    <r>
      <rPr>
        <sz val="11"/>
        <color theme="1"/>
        <rFont val="Calibri"/>
        <family val="2"/>
        <scheme val="minor"/>
      </rPr>
      <t xml:space="preserve">; Rua Manoel Fernandes: 231,30*((7,5+7,3+7,7)/3) = </t>
    </r>
    <r>
      <rPr>
        <b/>
        <sz val="11"/>
        <color theme="1"/>
        <rFont val="Calibri"/>
        <family val="2"/>
        <scheme val="minor"/>
      </rPr>
      <t>1.734,75 m²</t>
    </r>
    <r>
      <rPr>
        <sz val="11"/>
        <color theme="1"/>
        <rFont val="Calibri"/>
        <family val="2"/>
        <scheme val="minor"/>
      </rPr>
      <t xml:space="preserve">; Rua João Trajano: 178*((5,3+5,35+6,0)/3) = </t>
    </r>
    <r>
      <rPr>
        <b/>
        <sz val="11"/>
        <color theme="1"/>
        <rFont val="Calibri"/>
        <family val="2"/>
        <scheme val="minor"/>
      </rPr>
      <t>987,90 m²</t>
    </r>
    <r>
      <rPr>
        <sz val="11"/>
        <color theme="1"/>
        <rFont val="Calibri"/>
        <family val="2"/>
        <scheme val="minor"/>
      </rPr>
      <t xml:space="preserve">; Rua Jose Gadelha Camarão: 259,4*((5,8+5,1+4,9)/3) = </t>
    </r>
    <r>
      <rPr>
        <b/>
        <sz val="11"/>
        <color theme="1"/>
        <rFont val="Calibri"/>
        <family val="2"/>
        <scheme val="minor"/>
      </rPr>
      <t>1.366,17 m²</t>
    </r>
    <r>
      <rPr>
        <sz val="11"/>
        <color theme="1"/>
        <rFont val="Calibri"/>
        <family val="2"/>
        <scheme val="minor"/>
      </rPr>
      <t xml:space="preserve">; Travessa Maniçoba: 67*((4,5+4,7)/2) = </t>
    </r>
    <r>
      <rPr>
        <b/>
        <sz val="11"/>
        <color theme="1"/>
        <rFont val="Calibri"/>
        <family val="2"/>
        <scheme val="minor"/>
      </rPr>
      <t>308,20 m²</t>
    </r>
    <r>
      <rPr>
        <sz val="11"/>
        <color theme="1"/>
        <rFont val="Calibri"/>
        <family val="2"/>
        <scheme val="minor"/>
      </rPr>
      <t xml:space="preserve">; Rua Marcos Paiva: 274,20*((5,0+4,2+4,5)/3) = </t>
    </r>
    <r>
      <rPr>
        <b/>
        <sz val="11"/>
        <color theme="1"/>
        <rFont val="Calibri"/>
        <family val="2"/>
        <scheme val="minor"/>
      </rPr>
      <t>1.252,18 m²</t>
    </r>
    <r>
      <rPr>
        <sz val="11"/>
        <color theme="1"/>
        <rFont val="Calibri"/>
        <family val="2"/>
        <scheme val="minor"/>
      </rPr>
      <t xml:space="preserve">; Rua Adsejum Viana: 264,5*7,2 = </t>
    </r>
    <r>
      <rPr>
        <b/>
        <sz val="11"/>
        <color theme="1"/>
        <rFont val="Calibri"/>
        <family val="2"/>
        <scheme val="minor"/>
      </rPr>
      <t>1.904,40 m²</t>
    </r>
    <r>
      <rPr>
        <sz val="11"/>
        <color theme="1"/>
        <rFont val="Calibri"/>
        <family val="2"/>
        <scheme val="minor"/>
      </rPr>
      <t xml:space="preserve">; Rua Projetada: 101,80*((5,4+5,7)/2) = </t>
    </r>
    <r>
      <rPr>
        <b/>
        <sz val="11"/>
        <color theme="1"/>
        <rFont val="Calibri"/>
        <family val="2"/>
        <scheme val="minor"/>
      </rPr>
      <t>564,99 m²</t>
    </r>
    <r>
      <rPr>
        <sz val="11"/>
        <color theme="1"/>
        <rFont val="Calibri"/>
        <family val="2"/>
        <scheme val="minor"/>
      </rPr>
      <t>;</t>
    </r>
  </si>
  <si>
    <t>10</t>
  </si>
  <si>
    <t>14/05/2025 à 18/08/2025</t>
  </si>
  <si>
    <t>OBS: NO BM 09, DEVIDO A REPROGRAMAÇÃO DA PLANILHA, ACABARAM NÃO ENTRANDO NA SOMA DO "MEDIDO NO PERÍODO" OS ITENS 1.5 E 3.3 QUE TOTALIZAVAM O VALOR DE R$ 60.971,40.</t>
  </si>
  <si>
    <t>COM ISSO, ESSE VALOR FOI INCREMENTADO NESTE BM 10, COM A FINALIDADE DE CORRIGIR O ERRO DO BM ANTERIOR</t>
  </si>
  <si>
    <t>MEMORIA DE CALCULO - BM 10</t>
  </si>
  <si>
    <t>(Área total de pintura de ligação x 0,04 m de altura) x densidade de 2,40 t/ m³ = 1.304,93 t + lombadas: 0,06*(5,9+6,6+6,0+8,5+7,2) = m³ * 2,40 t/m³ =</t>
  </si>
  <si>
    <t xml:space="preserve">(Área total de pintura de ligação x 0,05 m de altura) x densidade de 2,40 t/ m³ = 1.903,83 t + lombadas: 0,06*(5,9+6,6+6,0+8,5+7,2) = 2,05 m³ * 2,40 t/m³ = 4,92 t - totalizando 1.908,75 t + área de pintura de ligação do BM 09 * 0,01 (o asfalto foi executado com 5 cm e foi pago com 4 cm no BM anterior) * 2,4 t/m³ = 23.904,28*0,01*2,35 = </t>
  </si>
  <si>
    <r>
      <rPr>
        <b/>
        <sz val="11"/>
        <color theme="1"/>
        <rFont val="Calibri"/>
        <family val="2"/>
        <scheme val="minor"/>
      </rPr>
      <t>BAIRRO AREIAS:</t>
    </r>
    <r>
      <rPr>
        <sz val="11"/>
        <color theme="1"/>
        <rFont val="Calibri"/>
        <family val="2"/>
        <scheme val="minor"/>
      </rPr>
      <t xml:space="preserve"> Rua Eng. Joaquim Vieira Figueiredo: 90*((5,50+5,5+5,6+5,35)/4) = </t>
    </r>
    <r>
      <rPr>
        <b/>
        <sz val="11"/>
        <color theme="1"/>
        <rFont val="Calibri"/>
        <family val="2"/>
        <scheme val="minor"/>
      </rPr>
      <t>493,87 m²</t>
    </r>
    <r>
      <rPr>
        <sz val="11"/>
        <color theme="1"/>
        <rFont val="Calibri"/>
        <family val="2"/>
        <scheme val="minor"/>
      </rPr>
      <t xml:space="preserve">; Rua Deocleciano Pires: 134,70*((7,10+6,40+6,5+7,5)/4) = </t>
    </r>
    <r>
      <rPr>
        <b/>
        <sz val="11"/>
        <color theme="1"/>
        <rFont val="Calibri"/>
        <family val="2"/>
        <scheme val="minor"/>
      </rPr>
      <t>926,06 m²</t>
    </r>
    <r>
      <rPr>
        <sz val="11"/>
        <color theme="1"/>
        <rFont val="Calibri"/>
        <family val="2"/>
        <scheme val="minor"/>
      </rPr>
      <t xml:space="preserve">; Travessa Boa Vista: 140,20*((7,30+6,80+6,85+6,65)/4) = </t>
    </r>
    <r>
      <rPr>
        <b/>
        <sz val="11"/>
        <color theme="1"/>
        <rFont val="Calibri"/>
        <family val="2"/>
        <scheme val="minor"/>
      </rPr>
      <t>967,38 m²</t>
    </r>
    <r>
      <rPr>
        <sz val="11"/>
        <color theme="1"/>
        <rFont val="Calibri"/>
        <family val="2"/>
        <scheme val="minor"/>
      </rPr>
      <t xml:space="preserve">; Rua Padre Isidro de Sá: 123,80*((8,6+8,4+11,4+8,5+8,1)/5) = 1.114,20 + trapézio de 4,7*(26,7+29,8)/2 = 132,77 + 5,40*23,40 = 126,36 totalizando: </t>
    </r>
    <r>
      <rPr>
        <b/>
        <sz val="11"/>
        <color theme="1"/>
        <rFont val="Calibri"/>
        <family val="2"/>
        <scheme val="minor"/>
      </rPr>
      <t>1.373,33 m²</t>
    </r>
    <r>
      <rPr>
        <sz val="11"/>
        <color theme="1"/>
        <rFont val="Calibri"/>
        <family val="2"/>
        <scheme val="minor"/>
      </rPr>
      <t xml:space="preserve">; Rua Francisca Angelina: 51*((3,56+4,78)/2) = </t>
    </r>
    <r>
      <rPr>
        <b/>
        <sz val="11"/>
        <color theme="1"/>
        <rFont val="Calibri"/>
        <family val="2"/>
        <scheme val="minor"/>
      </rPr>
      <t>212,67 m²</t>
    </r>
    <r>
      <rPr>
        <sz val="11"/>
        <color theme="1"/>
        <rFont val="Calibri"/>
        <family val="2"/>
        <scheme val="minor"/>
      </rPr>
      <t xml:space="preserve">; Rua João Gonçalves dos Santos: 318,60*((5,95+5,9+5,6+6,2+6,6+6,6+7,77+8,5)/8) = </t>
    </r>
    <r>
      <rPr>
        <b/>
        <sz val="11"/>
        <color theme="1"/>
        <rFont val="Calibri"/>
        <family val="2"/>
        <scheme val="minor"/>
      </rPr>
      <t>2.115,50 m²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theme="1"/>
        <rFont val="Calibri"/>
        <family val="2"/>
        <scheme val="minor"/>
      </rPr>
      <t xml:space="preserve">BAIRRO CENTRO: </t>
    </r>
    <r>
      <rPr>
        <sz val="11"/>
        <color theme="1"/>
        <rFont val="Calibri"/>
        <family val="2"/>
        <scheme val="minor"/>
      </rPr>
      <t xml:space="preserve">Rua Silva Mariz: 215,8*((4,0+5,25+5,8+6,4+7,0+6,87)/6)= </t>
    </r>
    <r>
      <rPr>
        <b/>
        <sz val="11"/>
        <color theme="1"/>
        <rFont val="Calibri"/>
        <family val="2"/>
        <scheme val="minor"/>
      </rPr>
      <t>1.270,34 m²</t>
    </r>
    <r>
      <rPr>
        <sz val="11"/>
        <color theme="1"/>
        <rFont val="Calibri"/>
        <family val="2"/>
        <scheme val="minor"/>
      </rPr>
      <t xml:space="preserve">; Rua Cel. Jose Elias: 97,70*((6,75+6,80)/2) = </t>
    </r>
    <r>
      <rPr>
        <b/>
        <sz val="11"/>
        <color theme="1"/>
        <rFont val="Calibri"/>
        <family val="2"/>
        <scheme val="minor"/>
      </rPr>
      <t>661,92 m²</t>
    </r>
    <r>
      <rPr>
        <sz val="11"/>
        <color theme="1"/>
        <rFont val="Calibri"/>
        <family val="2"/>
        <scheme val="minor"/>
      </rPr>
      <t xml:space="preserve">; Rua Jose Meira Sobrino: 88,70*((5,3+5,3+5,6+4,2)/4) = </t>
    </r>
    <r>
      <rPr>
        <b/>
        <sz val="11"/>
        <color theme="1"/>
        <rFont val="Calibri"/>
        <family val="2"/>
        <scheme val="minor"/>
      </rPr>
      <t>452,37 m²</t>
    </r>
    <r>
      <rPr>
        <sz val="11"/>
        <color theme="1"/>
        <rFont val="Calibri"/>
        <family val="2"/>
        <scheme val="minor"/>
      </rPr>
      <t xml:space="preserve">; Rua José Dário Formiga: 143,00*((6,3+5,88+6,8+6,8)/4) = </t>
    </r>
    <r>
      <rPr>
        <b/>
        <sz val="11"/>
        <color theme="1"/>
        <rFont val="Calibri"/>
        <family val="2"/>
        <scheme val="minor"/>
      </rPr>
      <t>921,63 m²</t>
    </r>
    <r>
      <rPr>
        <sz val="11"/>
        <color theme="1"/>
        <rFont val="Calibri"/>
        <family val="2"/>
        <scheme val="minor"/>
      </rPr>
      <t xml:space="preserve">; Entrada São Julho: Rua 01: 65,10*((6,7+6,7+6,55)/3) = </t>
    </r>
    <r>
      <rPr>
        <b/>
        <sz val="11"/>
        <color theme="1"/>
        <rFont val="Calibri"/>
        <family val="2"/>
        <scheme val="minor"/>
      </rPr>
      <t>432,91 m²</t>
    </r>
    <r>
      <rPr>
        <sz val="11"/>
        <color theme="1"/>
        <rFont val="Calibri"/>
        <family val="2"/>
        <scheme val="minor"/>
      </rPr>
      <t xml:space="preserve">; Rua 02: 50,0*((6,09+9,4)/2) = </t>
    </r>
    <r>
      <rPr>
        <b/>
        <sz val="11"/>
        <color theme="1"/>
        <rFont val="Calibri"/>
        <family val="2"/>
        <scheme val="minor"/>
      </rPr>
      <t>387,25 m²</t>
    </r>
    <r>
      <rPr>
        <sz val="11"/>
        <color theme="1"/>
        <rFont val="Calibri"/>
        <family val="2"/>
        <scheme val="minor"/>
      </rPr>
      <t xml:space="preserve">; BAIRRO ESTAÇÃO: Rua Joaquim Pinto Neves: 337,90*((9,0+8,5+7,9+7,4+7,2+6,6+7,0+6,6)/8) = </t>
    </r>
    <r>
      <rPr>
        <b/>
        <sz val="11"/>
        <color theme="1"/>
        <rFont val="Calibri"/>
        <family val="2"/>
        <scheme val="minor"/>
      </rPr>
      <t>2.542,70 m²</t>
    </r>
    <r>
      <rPr>
        <sz val="11"/>
        <color theme="1"/>
        <rFont val="Calibri"/>
        <family val="2"/>
        <scheme val="minor"/>
      </rPr>
      <t xml:space="preserve">; BAIRRO JARDIM SORRILÂNDEA I E II: Rua Jose Evandro Pereira: 123,0*((6,55+5,4)/2) = </t>
    </r>
    <r>
      <rPr>
        <b/>
        <sz val="11"/>
        <color theme="1"/>
        <rFont val="Calibri"/>
        <family val="2"/>
        <scheme val="minor"/>
      </rPr>
      <t>734,92 m²</t>
    </r>
    <r>
      <rPr>
        <sz val="11"/>
        <color theme="1"/>
        <rFont val="Calibri"/>
        <family val="2"/>
        <scheme val="minor"/>
      </rPr>
      <t xml:space="preserve">; Travessa 01: 48,40*8,10 = </t>
    </r>
    <r>
      <rPr>
        <b/>
        <sz val="11"/>
        <color theme="1"/>
        <rFont val="Calibri"/>
        <family val="2"/>
        <scheme val="minor"/>
      </rPr>
      <t>392,04 m²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theme="1"/>
        <rFont val="Calibri"/>
        <family val="2"/>
        <scheme val="minor"/>
      </rPr>
      <t xml:space="preserve">BAIRRO ANGELIM: </t>
    </r>
    <r>
      <rPr>
        <sz val="11"/>
        <color theme="1"/>
        <rFont val="Calibri"/>
        <family val="2"/>
        <scheme val="minor"/>
      </rPr>
      <t xml:space="preserve">Rua João Moreira: 143,90*((5,2+5,2+5,4+4,6)/4) = </t>
    </r>
    <r>
      <rPr>
        <b/>
        <sz val="11"/>
        <color theme="1"/>
        <rFont val="Calibri"/>
        <family val="2"/>
        <scheme val="minor"/>
      </rPr>
      <t>733,89 m²</t>
    </r>
    <r>
      <rPr>
        <sz val="11"/>
        <color theme="1"/>
        <rFont val="Calibri"/>
        <family val="2"/>
        <scheme val="minor"/>
      </rPr>
      <t xml:space="preserve">; Rua Projetada X: 60,30 * ((6,6+7,0)/2) = </t>
    </r>
    <r>
      <rPr>
        <b/>
        <sz val="11"/>
        <color theme="1"/>
        <rFont val="Calibri"/>
        <family val="2"/>
        <scheme val="minor"/>
      </rPr>
      <t>410,04 m²;</t>
    </r>
    <r>
      <rPr>
        <sz val="11"/>
        <color theme="1"/>
        <rFont val="Calibri"/>
        <family val="2"/>
        <scheme val="minor"/>
      </rPr>
      <t xml:space="preserve"> Rua Projetada 06: 57,0*((6,33+5,8)/2) = </t>
    </r>
    <r>
      <rPr>
        <b/>
        <sz val="11"/>
        <color theme="1"/>
        <rFont val="Calibri"/>
        <family val="2"/>
        <scheme val="minor"/>
      </rPr>
      <t>345,70 m²</t>
    </r>
    <r>
      <rPr>
        <sz val="11"/>
        <color theme="1"/>
        <rFont val="Calibri"/>
        <family val="2"/>
        <scheme val="minor"/>
      </rPr>
      <t xml:space="preserve">; Rua Expedito Braga: 102*((4,35+4,5+5,7)/3) = </t>
    </r>
    <r>
      <rPr>
        <b/>
        <sz val="11"/>
        <color theme="1"/>
        <rFont val="Calibri"/>
        <family val="2"/>
        <scheme val="minor"/>
      </rPr>
      <t>490,70 m²</t>
    </r>
    <r>
      <rPr>
        <sz val="11"/>
        <color theme="1"/>
        <rFont val="Calibri"/>
        <family val="2"/>
        <scheme val="minor"/>
      </rPr>
      <t>;</t>
    </r>
  </si>
  <si>
    <r>
      <t xml:space="preserve">Rua Sales Facundes de Lira: 1.104,0* ((7,4+8,0+6,3+6,3+6,4+6,3+6,25+6,25+6,25+6,4)/10) = </t>
    </r>
    <r>
      <rPr>
        <b/>
        <sz val="11"/>
        <color theme="1"/>
        <rFont val="Calibri"/>
        <family val="2"/>
        <scheme val="minor"/>
      </rPr>
      <t>7.269,84 m²</t>
    </r>
    <r>
      <rPr>
        <sz val="11"/>
        <color theme="1"/>
        <rFont val="Calibri"/>
        <family val="2"/>
        <scheme val="minor"/>
      </rPr>
      <t xml:space="preserve">; Rua Domingos Afonso: 459,30* ((5,3+4,6+4,77+ 4,75+ 4,75+ 4,85+4,83+5,6+5,7+5,85+5,48)/11) = </t>
    </r>
    <r>
      <rPr>
        <b/>
        <sz val="11"/>
        <color theme="1"/>
        <rFont val="Calibri"/>
        <family val="2"/>
        <scheme val="minor"/>
      </rPr>
      <t>2.358,30 m²</t>
    </r>
    <r>
      <rPr>
        <sz val="11"/>
        <color theme="1"/>
        <rFont val="Calibri"/>
        <family val="2"/>
        <scheme val="minor"/>
      </rPr>
      <t xml:space="preserve">; Rua Projetada 05: 277,36* ((5,95+6,0+5,07+5,1+4,78+4,9)/6) = </t>
    </r>
    <r>
      <rPr>
        <b/>
        <sz val="11"/>
        <color theme="1"/>
        <rFont val="Calibri"/>
        <family val="2"/>
        <scheme val="minor"/>
      </rPr>
      <t>1.470,01 m²</t>
    </r>
    <r>
      <rPr>
        <sz val="11"/>
        <color theme="1"/>
        <rFont val="Calibri"/>
        <family val="2"/>
        <scheme val="minor"/>
      </rPr>
      <t xml:space="preserve">; Rua Maria Catarina: 470,70 * ((7,24+7,1+3,62+6,3+6,16+6,44+4,2)/7) = </t>
    </r>
    <r>
      <rPr>
        <b/>
        <sz val="11"/>
        <color theme="1"/>
        <rFont val="Calibri"/>
        <family val="2"/>
        <scheme val="minor"/>
      </rPr>
      <t>2.760,99 m²</t>
    </r>
    <r>
      <rPr>
        <sz val="11"/>
        <color theme="1"/>
        <rFont val="Calibri"/>
        <family val="2"/>
        <scheme val="minor"/>
      </rPr>
      <t xml:space="preserve">; Rua Projetada 3: 81,80*((8,5+8,7)/2) = </t>
    </r>
    <r>
      <rPr>
        <b/>
        <sz val="11"/>
        <color theme="1"/>
        <rFont val="Calibri"/>
        <family val="2"/>
        <scheme val="minor"/>
      </rPr>
      <t>703,48 m²</t>
    </r>
    <r>
      <rPr>
        <sz val="11"/>
        <color theme="1"/>
        <rFont val="Calibri"/>
        <family val="2"/>
        <scheme val="minor"/>
      </rPr>
      <t xml:space="preserve">; Rua Projetada 2: 91,30* ((6,18+5,88)/2) = </t>
    </r>
    <r>
      <rPr>
        <b/>
        <sz val="11"/>
        <color theme="1"/>
        <rFont val="Calibri"/>
        <family val="2"/>
        <scheme val="minor"/>
      </rPr>
      <t>550,54 m²</t>
    </r>
    <r>
      <rPr>
        <sz val="11"/>
        <color theme="1"/>
        <rFont val="Calibri"/>
        <family val="2"/>
        <scheme val="minor"/>
      </rPr>
      <t xml:space="preserve">; Rua Francisco Ferreira Sarmento: 128,25* ((6,25+6,43+5,75+5,95)/4) = </t>
    </r>
    <r>
      <rPr>
        <b/>
        <sz val="11"/>
        <color theme="1"/>
        <rFont val="Calibri"/>
        <family val="2"/>
        <scheme val="minor"/>
      </rPr>
      <t>781,68 m²</t>
    </r>
    <r>
      <rPr>
        <sz val="11"/>
        <color theme="1"/>
        <rFont val="Calibri"/>
        <family val="2"/>
        <scheme val="minor"/>
      </rPr>
      <t xml:space="preserve">; Rua Mãe Chiquinha: 160,80*((5,6+ 5,7+5,83)/3) = </t>
    </r>
    <r>
      <rPr>
        <b/>
        <sz val="11"/>
        <color theme="1"/>
        <rFont val="Calibri"/>
        <family val="2"/>
        <scheme val="minor"/>
      </rPr>
      <t>918,16 m²</t>
    </r>
    <r>
      <rPr>
        <sz val="11"/>
        <color theme="1"/>
        <rFont val="Calibri"/>
        <family val="2"/>
        <scheme val="minor"/>
      </rPr>
      <t xml:space="preserve">; Rua Jose Dantas de Sousa: 189,30*((6,05+6,13+6,04+6,70)/4) = </t>
    </r>
    <r>
      <rPr>
        <b/>
        <sz val="11"/>
        <color theme="1"/>
        <rFont val="Calibri"/>
        <family val="2"/>
        <scheme val="minor"/>
      </rPr>
      <t>1.179,34 m²</t>
    </r>
    <r>
      <rPr>
        <sz val="11"/>
        <color theme="1"/>
        <rFont val="Calibri"/>
        <family val="2"/>
        <scheme val="minor"/>
      </rPr>
      <t>; Rua Maria das Dores: 187,2*((6,72+4,8+5,2+4,83)/4) =</t>
    </r>
    <r>
      <rPr>
        <b/>
        <sz val="11"/>
        <color theme="1"/>
        <rFont val="Calibri"/>
        <family val="2"/>
        <scheme val="minor"/>
      </rPr>
      <t>1.008,54 m²</t>
    </r>
  </si>
  <si>
    <t>BOLETIM DE MEDIÇÃO ADITIVO</t>
  </si>
  <si>
    <t xml:space="preserve">no </t>
  </si>
  <si>
    <t>aditivo</t>
  </si>
  <si>
    <t>MEMORIA DE CALCULO - BM 01 ADITIVO</t>
  </si>
  <si>
    <t>19/08/2025 à 13/11/2025</t>
  </si>
  <si>
    <t>Rua Pedro Celestino de Paula: 331*((6,6+6,3+7,0+7,0+6,3+6,58+7,0+6,6+7,5)/9) = 2.239,03m²; Rua João Nóbrega: 334*((5,3+5,6+6,2+5,2+6,2+6,2+6,2+5,7+6,2+5,57+6,4)/11) = 1.966,65 m²;  Rua João Nobrega trecho 02: 326,80*((6,0+6,1+7,0+6,2+6,1+6,25+5,5+5,9+5,6)/9) = 1.984,40 m²</t>
  </si>
  <si>
    <t>Reprogramado</t>
  </si>
  <si>
    <t>14/11/2025 à 13/01/2026</t>
  </si>
  <si>
    <t>MEMORIA DE CALCULO - BM 02 ADITIVO</t>
  </si>
  <si>
    <t>11</t>
  </si>
  <si>
    <t>14/01/2026 à 24/04/2026</t>
  </si>
  <si>
    <r>
      <t xml:space="preserve">CEHAP: </t>
    </r>
    <r>
      <rPr>
        <sz val="11"/>
        <color theme="1"/>
        <rFont val="Calibri"/>
        <family val="2"/>
        <scheme val="minor"/>
      </rPr>
      <t xml:space="preserve">453,90*((10,7+10,2+10,2+10,5+10,6+10,4)/6) = </t>
    </r>
    <r>
      <rPr>
        <b/>
        <sz val="11"/>
        <color theme="1"/>
        <rFont val="Calibri"/>
        <family val="2"/>
        <scheme val="minor"/>
      </rPr>
      <t>4735,69 m²;</t>
    </r>
  </si>
  <si>
    <t xml:space="preserve">(Área total de pintura de ligação x 0,05 m de altura) x densidade de 2,40 t/ m³ + lombadas: 0,06*(10,7*2+10,2*2+10,4+10,5) = 3,76 m³ * 2,40 t/m³ = 9,03 t  </t>
  </si>
  <si>
    <t>MEMORIA DE CALCULO - BM 11</t>
  </si>
  <si>
    <t>Rua Henrique Evangelista China: 113,30 m de comprimento x (8,30+8,0+8,30)/3 = 929,06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</si>
</sst>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_(&quot;R$ &quot;* #,##0.00_);_(&quot;R$ &quot;* \(#,##0.00\);_(&quot;R$ &quot;* &quot;-&quot;??_);_(@_)"/>
    <numFmt numFmtId="167" formatCode="&quot;R$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color indexed="12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0"/>
      <color indexed="10"/>
      <name val="Times New Roman"/>
      <family val="1"/>
    </font>
    <font>
      <b/>
      <sz val="14"/>
      <color indexed="12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20"/>
      <color indexed="8"/>
      <name val="Calibri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" borderId="0" applyNumberFormat="0" applyBorder="0" applyAlignment="0" applyProtection="0"/>
    <xf numFmtId="0" fontId="20" fillId="0" borderId="0"/>
  </cellStyleXfs>
  <cellXfs count="143">
    <xf numFmtId="0" fontId="0" fillId="0" borderId="0" xfId="0"/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43" fontId="9" fillId="0" borderId="9" xfId="1" applyFont="1" applyFill="1" applyBorder="1" applyAlignment="1">
      <alignment horizontal="center" vertical="center"/>
    </xf>
    <xf numFmtId="43" fontId="9" fillId="0" borderId="15" xfId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" fontId="7" fillId="0" borderId="8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horizontal="right" vertical="center"/>
    </xf>
    <xf numFmtId="165" fontId="12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justify" vertical="center" wrapText="1"/>
    </xf>
    <xf numFmtId="0" fontId="5" fillId="0" borderId="7" xfId="0" applyFont="1" applyBorder="1" applyAlignment="1">
      <alignment vertical="center"/>
    </xf>
    <xf numFmtId="43" fontId="9" fillId="0" borderId="15" xfId="1" applyFont="1" applyFill="1" applyBorder="1" applyAlignment="1">
      <alignment vertical="center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4" fontId="11" fillId="3" borderId="2" xfId="0" applyNumberFormat="1" applyFont="1" applyFill="1" applyBorder="1" applyAlignment="1">
      <alignment vertical="center" wrapText="1"/>
    </xf>
    <xf numFmtId="4" fontId="11" fillId="3" borderId="1" xfId="0" applyNumberFormat="1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167" fontId="8" fillId="4" borderId="5" xfId="0" applyNumberFormat="1" applyFont="1" applyFill="1" applyBorder="1" applyAlignment="1">
      <alignment vertical="center" wrapText="1"/>
    </xf>
    <xf numFmtId="167" fontId="11" fillId="0" borderId="2" xfId="0" applyNumberFormat="1" applyFont="1" applyBorder="1" applyAlignment="1">
      <alignment vertical="center" wrapText="1"/>
    </xf>
    <xf numFmtId="167" fontId="11" fillId="3" borderId="2" xfId="0" applyNumberFormat="1" applyFont="1" applyFill="1" applyBorder="1" applyAlignment="1">
      <alignment vertical="center" wrapText="1"/>
    </xf>
    <xf numFmtId="167" fontId="8" fillId="4" borderId="2" xfId="0" applyNumberFormat="1" applyFont="1" applyFill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0" fontId="2" fillId="0" borderId="0" xfId="3" applyNumberFormat="1" applyFont="1" applyFill="1" applyAlignment="1">
      <alignment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right" vertical="center"/>
    </xf>
    <xf numFmtId="4" fontId="7" fillId="0" borderId="11" xfId="0" applyNumberFormat="1" applyFont="1" applyBorder="1" applyAlignment="1">
      <alignment vertical="center"/>
    </xf>
    <xf numFmtId="4" fontId="0" fillId="0" borderId="0" xfId="0" applyNumberFormat="1"/>
    <xf numFmtId="0" fontId="18" fillId="6" borderId="2" xfId="4" applyFont="1" applyFill="1" applyBorder="1" applyAlignment="1">
      <alignment horizontal="center"/>
    </xf>
    <xf numFmtId="0" fontId="18" fillId="6" borderId="2" xfId="4" applyFont="1" applyFill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3" fontId="18" fillId="6" borderId="2" xfId="0" applyNumberFormat="1" applyFont="1" applyFill="1" applyBorder="1"/>
    <xf numFmtId="4" fontId="18" fillId="6" borderId="2" xfId="0" applyNumberFormat="1" applyFont="1" applyFill="1" applyBorder="1" applyAlignment="1">
      <alignment wrapText="1"/>
    </xf>
    <xf numFmtId="0" fontId="0" fillId="6" borderId="2" xfId="0" applyFill="1" applyBorder="1" applyAlignment="1">
      <alignment horizontal="center"/>
    </xf>
    <xf numFmtId="0" fontId="0" fillId="6" borderId="2" xfId="0" applyFill="1" applyBorder="1"/>
    <xf numFmtId="3" fontId="0" fillId="0" borderId="2" xfId="0" applyNumberFormat="1" applyBorder="1"/>
    <xf numFmtId="4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vertical="center" wrapText="1"/>
    </xf>
    <xf numFmtId="4" fontId="0" fillId="0" borderId="2" xfId="0" applyNumberFormat="1" applyBorder="1" applyAlignment="1">
      <alignment wrapText="1"/>
    </xf>
    <xf numFmtId="0" fontId="0" fillId="6" borderId="2" xfId="0" applyFill="1" applyBorder="1" applyAlignment="1">
      <alignment wrapText="1"/>
    </xf>
    <xf numFmtId="49" fontId="0" fillId="0" borderId="2" xfId="0" applyNumberFormat="1" applyBorder="1" applyAlignment="1">
      <alignment horizontal="center"/>
    </xf>
    <xf numFmtId="2" fontId="0" fillId="0" borderId="0" xfId="0" applyNumberFormat="1"/>
    <xf numFmtId="3" fontId="18" fillId="6" borderId="2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10" fontId="5" fillId="0" borderId="0" xfId="3" applyNumberFormat="1" applyFont="1" applyAlignment="1">
      <alignment vertical="center"/>
    </xf>
    <xf numFmtId="164" fontId="5" fillId="0" borderId="0" xfId="2" applyFont="1" applyAlignment="1">
      <alignment vertical="center"/>
    </xf>
    <xf numFmtId="167" fontId="2" fillId="0" borderId="0" xfId="0" applyNumberFormat="1" applyFont="1" applyAlignment="1">
      <alignment vertical="center"/>
    </xf>
    <xf numFmtId="164" fontId="0" fillId="0" borderId="0" xfId="2" applyFont="1"/>
    <xf numFmtId="0" fontId="11" fillId="0" borderId="3" xfId="0" applyFont="1" applyBorder="1" applyAlignment="1">
      <alignment horizontal="center" vertical="center" wrapText="1"/>
    </xf>
    <xf numFmtId="9" fontId="5" fillId="0" borderId="0" xfId="3" applyFont="1" applyAlignment="1">
      <alignment vertical="center"/>
    </xf>
    <xf numFmtId="4" fontId="5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0" fontId="5" fillId="0" borderId="6" xfId="0" applyFont="1" applyBorder="1" applyAlignment="1">
      <alignment horizontal="left" vertical="center"/>
    </xf>
    <xf numFmtId="166" fontId="3" fillId="0" borderId="0" xfId="2" applyNumberFormat="1" applyFont="1" applyFill="1" applyBorder="1" applyAlignment="1">
      <alignment horizontal="center" vertical="center"/>
    </xf>
    <xf numFmtId="14" fontId="7" fillId="0" borderId="13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wrapText="1"/>
    </xf>
    <xf numFmtId="0" fontId="7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left" vertical="center"/>
    </xf>
    <xf numFmtId="14" fontId="7" fillId="0" borderId="13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14" fontId="7" fillId="0" borderId="12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3" fontId="9" fillId="0" borderId="15" xfId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6" fontId="3" fillId="0" borderId="0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0" borderId="11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14" fontId="7" fillId="0" borderId="11" xfId="0" applyNumberFormat="1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 wrapText="1"/>
    </xf>
    <xf numFmtId="14" fontId="7" fillId="0" borderId="11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vertical="center"/>
    </xf>
    <xf numFmtId="14" fontId="17" fillId="0" borderId="11" xfId="0" applyNumberFormat="1" applyFont="1" applyBorder="1" applyAlignment="1">
      <alignment horizontal="right" vertical="center"/>
    </xf>
    <xf numFmtId="14" fontId="17" fillId="0" borderId="1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14" fontId="7" fillId="0" borderId="11" xfId="0" applyNumberFormat="1" applyFont="1" applyBorder="1" applyAlignment="1">
      <alignment horizontal="justify" vertical="top" wrapText="1"/>
    </xf>
    <xf numFmtId="14" fontId="7" fillId="0" borderId="13" xfId="0" applyNumberFormat="1" applyFont="1" applyBorder="1" applyAlignment="1">
      <alignment horizontal="justify" vertical="top" wrapText="1"/>
    </xf>
    <xf numFmtId="14" fontId="7" fillId="0" borderId="11" xfId="0" applyNumberFormat="1" applyFont="1" applyBorder="1" applyAlignment="1">
      <alignment vertical="center" wrapText="1"/>
    </xf>
    <xf numFmtId="14" fontId="7" fillId="0" borderId="12" xfId="0" applyNumberFormat="1" applyFont="1" applyBorder="1" applyAlignment="1">
      <alignment vertical="center" wrapText="1"/>
    </xf>
    <xf numFmtId="14" fontId="7" fillId="0" borderId="13" xfId="0" applyNumberFormat="1" applyFont="1" applyBorder="1" applyAlignment="1">
      <alignment vertical="center" wrapText="1"/>
    </xf>
    <xf numFmtId="4" fontId="10" fillId="2" borderId="11" xfId="0" applyNumberFormat="1" applyFont="1" applyFill="1" applyBorder="1" applyAlignment="1">
      <alignment horizontal="right" vertical="center"/>
    </xf>
    <xf numFmtId="4" fontId="10" fillId="2" borderId="13" xfId="0" applyNumberFormat="1" applyFont="1" applyFill="1" applyBorder="1" applyAlignment="1">
      <alignment horizontal="right" vertical="center"/>
    </xf>
    <xf numFmtId="0" fontId="19" fillId="6" borderId="3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7" fillId="0" borderId="12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4" fontId="7" fillId="0" borderId="11" xfId="0" applyNumberFormat="1" applyFont="1" applyBorder="1" applyAlignment="1">
      <alignment horizontal="center" vertical="center"/>
    </xf>
    <xf numFmtId="14" fontId="7" fillId="0" borderId="13" xfId="0" applyNumberFormat="1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4" fontId="10" fillId="2" borderId="11" xfId="0" applyNumberFormat="1" applyFont="1" applyFill="1" applyBorder="1" applyAlignment="1">
      <alignment horizontal="center" vertical="center"/>
    </xf>
    <xf numFmtId="4" fontId="10" fillId="2" borderId="12" xfId="0" applyNumberFormat="1" applyFont="1" applyFill="1" applyBorder="1" applyAlignment="1">
      <alignment horizontal="center" vertical="center"/>
    </xf>
    <xf numFmtId="4" fontId="10" fillId="2" borderId="13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6">
    <cellStyle name="20% - Ênfase1" xfId="4" builtinId="30"/>
    <cellStyle name="Moeda" xfId="2" builtinId="4"/>
    <cellStyle name="Normal" xfId="0" builtinId="0"/>
    <cellStyle name="Normal 2" xfId="5" xr:uid="{D62C8177-1CE2-4885-BB79-589570A3A81D}"/>
    <cellStyle name="Porcentagem" xfId="3" builtinId="5"/>
    <cellStyle name="Vírgula" xfId="1" builtinId="3"/>
  </cellStyles>
  <dxfs count="0"/>
  <tableStyles count="0" defaultTableStyle="TableStyleMedium2" defaultPivotStyle="PivotStyleLight16"/>
  <colors>
    <mruColors>
      <color rgb="FF0000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17"/>
  <dimension ref="A1:K36"/>
  <sheetViews>
    <sheetView view="pageBreakPreview" zoomScale="90" zoomScaleNormal="100" zoomScaleSheetLayoutView="90" workbookViewId="0">
      <selection activeCell="B11" sqref="B11:B1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0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3</v>
      </c>
    </row>
    <row r="3" spans="1:10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0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0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0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45104</v>
      </c>
      <c r="J6" s="117"/>
    </row>
    <row r="7" spans="1:10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0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BM.01!$I$26</f>
        <v>1065929.74</v>
      </c>
      <c r="H8" s="126"/>
      <c r="I8" s="116" t="s">
        <v>83</v>
      </c>
      <c r="J8" s="117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0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0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356541.86</v>
      </c>
      <c r="J14" s="38">
        <f>SUM(J15:J18)</f>
        <v>356541.86</v>
      </c>
    </row>
    <row r="15" spans="1:10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01'!E7</f>
        <v>15071.39</v>
      </c>
      <c r="G15" s="30">
        <f>F15</f>
        <v>15071.39</v>
      </c>
      <c r="H15" s="39">
        <f>ROUND(E15*D15,2)</f>
        <v>55554.18</v>
      </c>
      <c r="I15" s="40">
        <f>ROUND(D15*F15,2)</f>
        <v>5576.41</v>
      </c>
      <c r="J15" s="39">
        <f>ROUND(D15*G15,2)</f>
        <v>5576.41</v>
      </c>
    </row>
    <row r="16" spans="1:10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01'!E8</f>
        <v>1637.9</v>
      </c>
      <c r="G16" s="30">
        <f t="shared" ref="G16:G18" si="0">F16</f>
        <v>1637.9</v>
      </c>
      <c r="H16" s="39">
        <f t="shared" ref="H16:H18" si="1">ROUND(E16*D16,2)</f>
        <v>2658385.09</v>
      </c>
      <c r="I16" s="40">
        <f t="shared" ref="I16:I18" si="2">ROUND(D16*F16,2)</f>
        <v>302077.90000000002</v>
      </c>
      <c r="J16" s="39">
        <f t="shared" ref="J16:J18" si="3">ROUND(D16*G16,2)</f>
        <v>302077.90000000002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01'!E9</f>
        <v>7594.18</v>
      </c>
      <c r="G17" s="30">
        <f t="shared" si="0"/>
        <v>7594.18</v>
      </c>
      <c r="H17" s="39">
        <f t="shared" si="1"/>
        <v>72612.259999999995</v>
      </c>
      <c r="I17" s="40">
        <f t="shared" si="2"/>
        <v>7290.41</v>
      </c>
      <c r="J17" s="39">
        <f t="shared" si="3"/>
        <v>7290.41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01'!E10</f>
        <v>37815.58</v>
      </c>
      <c r="G18" s="30">
        <f t="shared" si="0"/>
        <v>37815.58</v>
      </c>
      <c r="H18" s="39">
        <f t="shared" si="1"/>
        <v>366086.81</v>
      </c>
      <c r="I18" s="40">
        <f t="shared" si="2"/>
        <v>41597.14</v>
      </c>
      <c r="J18" s="39">
        <f t="shared" si="3"/>
        <v>41597.14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7"/>
      <c r="H19" s="38">
        <f>H20</f>
        <v>130690.16</v>
      </c>
      <c r="I19" s="38">
        <f>SUM(I20:I20)</f>
        <v>14065.41</v>
      </c>
      <c r="J19" s="38">
        <f>SUM(J20:J20)</f>
        <v>14065.41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01'!E13</f>
        <v>565.33000000000004</v>
      </c>
      <c r="G20" s="30">
        <f>F20</f>
        <v>565.33000000000004</v>
      </c>
      <c r="H20" s="39">
        <f>ROUND(E20*D20,2)</f>
        <v>130690.16</v>
      </c>
      <c r="I20" s="40">
        <f>ROUND(D20*F20,2)</f>
        <v>14065.41</v>
      </c>
      <c r="J20" s="39">
        <f>ROUND(D20*G20,2)</f>
        <v>14065.41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7"/>
      <c r="H21" s="38">
        <f>SUM(H22:H23)</f>
        <v>6277954.25</v>
      </c>
      <c r="I21" s="38">
        <f>SUM(I22:I23)</f>
        <v>695322.47</v>
      </c>
      <c r="J21" s="38">
        <f>SUM(J22:J23)</f>
        <v>695322.47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1">
        <f>'Memória 01'!E16</f>
        <v>18.09</v>
      </c>
      <c r="G22" s="24">
        <f>F22</f>
        <v>18.09</v>
      </c>
      <c r="H22" s="39">
        <f>ROUND(E22*D22,2)</f>
        <v>1362486.93</v>
      </c>
      <c r="I22" s="40">
        <f t="shared" ref="I22:I23" si="4">ROUND(D22*F22,2)</f>
        <v>136793.14000000001</v>
      </c>
      <c r="J22" s="39">
        <f t="shared" ref="J22:J23" si="5">ROUND(D22*G22,2)</f>
        <v>136793.14000000001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1">
        <f>'Memória 01'!E17</f>
        <v>90.08</v>
      </c>
      <c r="G23" s="24">
        <f>F23</f>
        <v>90.08</v>
      </c>
      <c r="H23" s="39">
        <f>ROUND(E23*D23,2)</f>
        <v>4915467.32</v>
      </c>
      <c r="I23" s="40">
        <f t="shared" si="4"/>
        <v>558529.32999999996</v>
      </c>
      <c r="J23" s="39">
        <f t="shared" si="5"/>
        <v>558529.32999999996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7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1">
        <f>'Memória 01'!E19</f>
        <v>0</v>
      </c>
      <c r="G25" s="24">
        <f>F25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1065929.74</v>
      </c>
      <c r="J26" s="41">
        <f>J14+J19+J21+J24</f>
        <v>1065929.74</v>
      </c>
      <c r="K26" s="70">
        <f>J26/H26</f>
        <v>0.1115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1065929.74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4:B4"/>
    <mergeCell ref="G4:H4"/>
    <mergeCell ref="A3:B3"/>
    <mergeCell ref="G3:H3"/>
    <mergeCell ref="A1:I2"/>
    <mergeCell ref="C3:F3"/>
    <mergeCell ref="C4:F4"/>
  </mergeCells>
  <phoneticPr fontId="16" type="noConversion"/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5E355-1992-4038-950F-77917C411168}">
  <dimension ref="A1:G19"/>
  <sheetViews>
    <sheetView view="pageBreakPreview" topLeftCell="B6" zoomScale="90" zoomScaleNormal="100" zoomScaleSheetLayoutView="90" workbookViewId="0">
      <selection activeCell="E15" sqref="E15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104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10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107</v>
      </c>
      <c r="E7" s="49">
        <f>5273.63+1873.31+1795.82+2134.38+561.46+1954.37</f>
        <v>13592.97</v>
      </c>
      <c r="G7" s="62">
        <f>339.3*5.76</f>
        <v>1954.3679999999999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108</v>
      </c>
      <c r="E8" s="49">
        <f>E7*0.04*2.4 + 9.37*2.4</f>
        <v>1327.41</v>
      </c>
      <c r="F8">
        <f>0.1*5.97 + 0.1*5.3 + 0.1*4.8 + 0.11*4.8+ 0.12*5.17 + 0.11*6.9 + 0.1*7.76 + 0.1*7 + 0.11*7.58 + 0.08*7.25 + 0.11*6.55 + 0.11*6.62+ 0.11*6.4 + 0.12*6.8</f>
        <v>9.3728999999999996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6846.94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30649.599999999999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16.309999999999999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73.010000000000005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0D5C5-6AC6-4A29-8073-E45F4318080E}">
  <sheetPr codeName="Plan22"/>
  <dimension ref="A1:K36"/>
  <sheetViews>
    <sheetView view="pageBreakPreview" zoomScale="90" zoomScaleNormal="100" zoomScaleSheetLayoutView="90" workbookViewId="0">
      <selection activeCell="H26" sqref="H26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110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45541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BM.06!$I$26</f>
        <v>1031547.98</v>
      </c>
      <c r="H8" s="126"/>
      <c r="I8" s="116" t="s">
        <v>111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345185.23</v>
      </c>
      <c r="J14" s="38">
        <f>SUM(J15:J18)</f>
        <v>1771360.68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06'!E7</f>
        <v>16305.81</v>
      </c>
      <c r="G15" s="30">
        <f>F15+BM.05!G15</f>
        <v>81666.570000000007</v>
      </c>
      <c r="H15" s="39">
        <f>ROUND(E15*D15,2)</f>
        <v>55554.18</v>
      </c>
      <c r="I15" s="40">
        <f>ROUND(D15*F15,2)</f>
        <v>6033.15</v>
      </c>
      <c r="J15" s="39">
        <f>ROUND(D15*G15,2)</f>
        <v>30216.63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06'!E8</f>
        <v>1578.75</v>
      </c>
      <c r="G16" s="30">
        <f>F16+BM.05!G16</f>
        <v>8109.73</v>
      </c>
      <c r="H16" s="39">
        <f t="shared" ref="H16:H18" si="0">ROUND(E16*D16,2)</f>
        <v>2658385.09</v>
      </c>
      <c r="I16" s="40">
        <f t="shared" ref="I16:I18" si="1">ROUND(D16*F16,2)</f>
        <v>291168.86</v>
      </c>
      <c r="J16" s="39">
        <f t="shared" ref="J16:J18" si="2">ROUND(D16*G16,2)</f>
        <v>1495677.5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06'!E9</f>
        <v>8215.49</v>
      </c>
      <c r="G17" s="30">
        <f>F17+BM.05!G17</f>
        <v>41144.6</v>
      </c>
      <c r="H17" s="39">
        <f t="shared" si="0"/>
        <v>72612.259999999995</v>
      </c>
      <c r="I17" s="40">
        <f t="shared" si="1"/>
        <v>7886.87</v>
      </c>
      <c r="J17" s="39">
        <f t="shared" si="2"/>
        <v>39498.82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06'!E10</f>
        <v>36451.230000000003</v>
      </c>
      <c r="G18" s="30">
        <f>F18+BM.05!G18</f>
        <v>187243.39</v>
      </c>
      <c r="H18" s="39">
        <f t="shared" si="0"/>
        <v>366086.81</v>
      </c>
      <c r="I18" s="40">
        <f t="shared" si="1"/>
        <v>40096.35</v>
      </c>
      <c r="J18" s="39">
        <f t="shared" si="2"/>
        <v>205967.73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06'!E12</f>
        <v>0</v>
      </c>
      <c r="G20" s="30">
        <f>F20+BM.05!G20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686362.75</v>
      </c>
      <c r="J21" s="38">
        <f>SUM(J22:J23)</f>
        <v>3506684.03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06'!E14</f>
        <v>19.57</v>
      </c>
      <c r="G22" s="30">
        <f>F22+BM.05!G22</f>
        <v>98.01</v>
      </c>
      <c r="H22" s="39">
        <f>ROUND(E22*D22,2)</f>
        <v>1362486.93</v>
      </c>
      <c r="I22" s="40">
        <f t="shared" ref="I22:I23" si="3">ROUND(D22*F22,2)</f>
        <v>147984.62</v>
      </c>
      <c r="J22" s="39">
        <f t="shared" ref="J22:J23" si="4">ROUND(D22*G22,2)</f>
        <v>741133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06'!E15</f>
        <v>86.83</v>
      </c>
      <c r="G23" s="30">
        <f>F23+BM.05!G23</f>
        <v>446.03</v>
      </c>
      <c r="H23" s="39">
        <f>ROUND(E23*D23,2)</f>
        <v>4915467.32</v>
      </c>
      <c r="I23" s="40">
        <f t="shared" si="3"/>
        <v>538378.13</v>
      </c>
      <c r="J23" s="39">
        <f t="shared" si="4"/>
        <v>2765551.03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06'!E17</f>
        <v>0</v>
      </c>
      <c r="G25" s="30">
        <f>F25+BM.05!G25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1031547.98</v>
      </c>
      <c r="J26" s="41">
        <f>J14+J19+J21+J24</f>
        <v>5295081.04</v>
      </c>
      <c r="K26" s="70">
        <f>J26/H26</f>
        <v>0.55369999999999997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1031547.98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BF9F7-D144-4258-BF5E-38E2B29D5CDF}">
  <dimension ref="A1:G19"/>
  <sheetViews>
    <sheetView view="pageBreakPreview" topLeftCell="B3" zoomScale="90" zoomScaleNormal="100" zoomScaleSheetLayoutView="90" workbookViewId="0">
      <selection activeCell="E9" sqref="E9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109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  <c r="F3">
        <f>250+36.1+16.6</f>
        <v>302.7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112</v>
      </c>
      <c r="E7" s="49">
        <f>2309.24+1961.87+962.5+649.06+1172.15+4221.17+145.75+4059.83+824.24</f>
        <v>16305.81</v>
      </c>
      <c r="F7">
        <f xml:space="preserve"> 0.06*(10.4+10.6+7.2+6.8+7.1)</f>
        <v>2.5259999999999998</v>
      </c>
      <c r="G7" s="62">
        <f>0.05*(6.2+6.1+7.1+7.2+6.85+6.7)</f>
        <v>2.0074999999999998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113</v>
      </c>
      <c r="E8" s="49">
        <f>E7*0.04*2.4 + 5.58*2.4</f>
        <v>1578.75</v>
      </c>
      <c r="F8">
        <f>0.1*5.97 + 0.1*5.3 + 0.1*4.8 + 0.11*4.8+ 0.12*5.17 + 0.11*6.9 + 0.1*7.76 + 0.1*7 + 0.11*7.58 + 0.08*7.25 + 0.11*6.55 + 0.11*6.62+ 0.11*6.4 + 0.12*6.8</f>
        <v>9.3728999999999996</v>
      </c>
      <c r="G8">
        <f>0.08* (6.2+6.9)</f>
        <v>1.048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8215.49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36451.230000000003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19.57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86.83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1" orientation="landscape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20749-E292-460F-A3D0-4F5C8D0CC8AB}">
  <sheetPr codeName="Plan23"/>
  <dimension ref="A1:K36"/>
  <sheetViews>
    <sheetView view="pageBreakPreview" zoomScale="90" zoomScaleNormal="100" zoomScaleSheetLayoutView="90" workbookViewId="0">
      <selection sqref="A1:I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114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45561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BM.07!$I$26</f>
        <v>814975.45</v>
      </c>
      <c r="H8" s="126"/>
      <c r="I8" s="116" t="s">
        <v>115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272724.49</v>
      </c>
      <c r="J14" s="38">
        <f>SUM(J15:J18)</f>
        <v>2044085.16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07'!E7</f>
        <v>12884.07</v>
      </c>
      <c r="G15" s="30">
        <f>F15+BM.06!G15</f>
        <v>94550.64</v>
      </c>
      <c r="H15" s="39">
        <f>ROUND(E15*D15,2)</f>
        <v>55554.18</v>
      </c>
      <c r="I15" s="40">
        <f>ROUND(D15*F15,2)</f>
        <v>4767.1099999999997</v>
      </c>
      <c r="J15" s="39">
        <f>ROUND(D15*G15,2)</f>
        <v>34983.74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07'!E8</f>
        <v>1247.3499999999999</v>
      </c>
      <c r="G16" s="30">
        <f>F16+BM.06!G16</f>
        <v>9357.08</v>
      </c>
      <c r="H16" s="39">
        <f t="shared" ref="H16:H18" si="0">ROUND(E16*D16,2)</f>
        <v>2658385.09</v>
      </c>
      <c r="I16" s="40">
        <f t="shared" ref="I16:I18" si="1">ROUND(D16*F16,2)</f>
        <v>230048.76</v>
      </c>
      <c r="J16" s="39">
        <f t="shared" ref="J16:J18" si="2">ROUND(D16*G16,2)</f>
        <v>1725726.26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07'!E9</f>
        <v>6490.11</v>
      </c>
      <c r="G17" s="30">
        <f>F17+BM.06!G17</f>
        <v>47634.71</v>
      </c>
      <c r="H17" s="39">
        <f t="shared" si="0"/>
        <v>72612.259999999995</v>
      </c>
      <c r="I17" s="40">
        <f t="shared" si="1"/>
        <v>6230.51</v>
      </c>
      <c r="J17" s="39">
        <f t="shared" si="2"/>
        <v>45729.32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07'!E10</f>
        <v>28798.28</v>
      </c>
      <c r="G18" s="30">
        <f>F18+BM.06!G18</f>
        <v>216041.67</v>
      </c>
      <c r="H18" s="39">
        <f t="shared" si="0"/>
        <v>366086.81</v>
      </c>
      <c r="I18" s="40">
        <f t="shared" si="1"/>
        <v>31678.11</v>
      </c>
      <c r="J18" s="39">
        <f t="shared" si="2"/>
        <v>237645.84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07'!E12</f>
        <v>0</v>
      </c>
      <c r="G20" s="30">
        <f>F20+BM.06!G20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542250.96</v>
      </c>
      <c r="J21" s="38">
        <f>SUM(J22:J23)</f>
        <v>4048934.99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07'!E14</f>
        <v>15.46</v>
      </c>
      <c r="G22" s="30">
        <f>F22+BM.06!G22</f>
        <v>113.47</v>
      </c>
      <c r="H22" s="39">
        <f>ROUND(E22*D22,2)</f>
        <v>1362486.93</v>
      </c>
      <c r="I22" s="40">
        <f t="shared" ref="I22:I23" si="3">ROUND(D22*F22,2)</f>
        <v>116905.58</v>
      </c>
      <c r="J22" s="39">
        <f t="shared" ref="J22:J23" si="4">ROUND(D22*G22,2)</f>
        <v>858038.58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07'!E15</f>
        <v>68.599999999999994</v>
      </c>
      <c r="G23" s="30">
        <f>F23+BM.06!G23</f>
        <v>514.63</v>
      </c>
      <c r="H23" s="39">
        <f>ROUND(E23*D23,2)</f>
        <v>4915467.32</v>
      </c>
      <c r="I23" s="40">
        <f t="shared" si="3"/>
        <v>425345.38</v>
      </c>
      <c r="J23" s="39">
        <f t="shared" si="4"/>
        <v>3190896.41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07'!E17</f>
        <v>0</v>
      </c>
      <c r="G25" s="30">
        <f>F25+BM.06!G25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814975.45</v>
      </c>
      <c r="J26" s="41">
        <f>J14+J19+J21+J24</f>
        <v>6110056.4800000004</v>
      </c>
      <c r="K26" s="70">
        <f>J26/H26</f>
        <v>0.63890000000000002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814975.45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&amp;CPágina &amp;P de &amp;N&amp;R&amp;G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9FE2-399E-43C4-81A8-6D5C1CB88C31}">
  <dimension ref="A1:H19"/>
  <sheetViews>
    <sheetView view="pageBreakPreview" topLeftCell="C1" zoomScale="90" zoomScaleNormal="100" zoomScaleSheetLayoutView="90" workbookViewId="0">
      <selection activeCell="D8" sqref="D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116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118</v>
      </c>
      <c r="E7" s="49">
        <f>661.77+886.87+1028.63+3679.99+1364.86+1589.11+715.58+1574.58+360.4+1022.28</f>
        <v>12884.07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117</v>
      </c>
      <c r="E8" s="49">
        <f>E7*0.04*2.4 + 10.48</f>
        <v>1247.3499999999999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6490.11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28798.28</v>
      </c>
    </row>
    <row r="11" spans="1:8" x14ac:dyDescent="0.25">
      <c r="A11" s="55" t="s">
        <v>24</v>
      </c>
      <c r="B11" s="56" t="s">
        <v>56</v>
      </c>
      <c r="C11" s="65"/>
      <c r="D11" s="65"/>
    </row>
    <row r="12" spans="1:8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8" x14ac:dyDescent="0.25">
      <c r="A13" s="55" t="s">
        <v>28</v>
      </c>
      <c r="B13" s="56" t="s">
        <v>72</v>
      </c>
      <c r="C13" s="58"/>
      <c r="D13" s="58"/>
    </row>
    <row r="14" spans="1:8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15.46</v>
      </c>
      <c r="F14" s="67"/>
    </row>
    <row r="15" spans="1:8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68.599999999999994</v>
      </c>
    </row>
    <row r="16" spans="1:8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headerFooter>
    <oddFooter>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FA9D-D3F4-451B-A252-A8FB7A6F2063}">
  <sheetPr codeName="Plan24"/>
  <dimension ref="A1:K36"/>
  <sheetViews>
    <sheetView view="pageBreakPreview" topLeftCell="B1" zoomScale="90" zoomScaleNormal="100" zoomScaleSheetLayoutView="90" workbookViewId="0">
      <selection activeCell="H33" sqref="H33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119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45652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BM.08!$I$26</f>
        <v>440162.18</v>
      </c>
      <c r="H8" s="126"/>
      <c r="I8" s="116" t="s">
        <v>120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147310.97</v>
      </c>
      <c r="J14" s="38">
        <f>SUM(J15:J18)</f>
        <v>2191396.14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08'!E7</f>
        <v>6948.85</v>
      </c>
      <c r="G15" s="30">
        <f>F15+BM.07!G15</f>
        <v>101499.49</v>
      </c>
      <c r="H15" s="39">
        <f>ROUND(E15*D15,2)</f>
        <v>55554.18</v>
      </c>
      <c r="I15" s="40">
        <f>ROUND(D15*F15,2)</f>
        <v>2571.0700000000002</v>
      </c>
      <c r="J15" s="39">
        <f>ROUND(D15*G15,2)</f>
        <v>37554.81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08'!E8</f>
        <v>673.78</v>
      </c>
      <c r="G16" s="30">
        <f>F16+BM.07!G16</f>
        <v>10030.86</v>
      </c>
      <c r="H16" s="39">
        <f t="shared" ref="H16:H18" si="0">ROUND(E16*D16,2)</f>
        <v>2658385.09</v>
      </c>
      <c r="I16" s="40">
        <f t="shared" ref="I16:I18" si="1">ROUND(D16*F16,2)</f>
        <v>124265.25</v>
      </c>
      <c r="J16" s="39">
        <f t="shared" ref="J16:J18" si="2">ROUND(D16*G16,2)</f>
        <v>1849991.51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08'!E9</f>
        <v>3501.13</v>
      </c>
      <c r="G17" s="30">
        <f>F17+BM.07!G17</f>
        <v>51135.839999999997</v>
      </c>
      <c r="H17" s="39">
        <f t="shared" si="0"/>
        <v>72612.259999999995</v>
      </c>
      <c r="I17" s="40">
        <f t="shared" si="1"/>
        <v>3361.08</v>
      </c>
      <c r="J17" s="39">
        <f t="shared" si="2"/>
        <v>49090.41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08'!E10</f>
        <v>15557.79</v>
      </c>
      <c r="G18" s="30">
        <f>F18+BM.07!G18</f>
        <v>231599.46</v>
      </c>
      <c r="H18" s="39">
        <f t="shared" si="0"/>
        <v>366086.81</v>
      </c>
      <c r="I18" s="40">
        <f t="shared" si="1"/>
        <v>17113.57</v>
      </c>
      <c r="J18" s="39">
        <f t="shared" si="2"/>
        <v>254759.41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08'!E12</f>
        <v>0</v>
      </c>
      <c r="G20" s="30">
        <f>F20+BM.07!G20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292851.21000000002</v>
      </c>
      <c r="J21" s="38">
        <f>SUM(J22:J23)</f>
        <v>4341786.21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08'!E14</f>
        <v>8.34</v>
      </c>
      <c r="G22" s="30">
        <f>F22+BM.07!G22</f>
        <v>121.81</v>
      </c>
      <c r="H22" s="39">
        <f>ROUND(E22*D22,2)</f>
        <v>1362486.93</v>
      </c>
      <c r="I22" s="40">
        <f t="shared" ref="I22:I23" si="3">ROUND(D22*F22,2)</f>
        <v>63065.5</v>
      </c>
      <c r="J22" s="39">
        <f t="shared" ref="J22:J23" si="4">ROUND(D22*G22,2)</f>
        <v>921104.08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08'!E15</f>
        <v>37.06</v>
      </c>
      <c r="G23" s="30">
        <f>F23+BM.07!G23</f>
        <v>551.69000000000005</v>
      </c>
      <c r="H23" s="39">
        <f>ROUND(E23*D23,2)</f>
        <v>4915467.32</v>
      </c>
      <c r="I23" s="40">
        <f t="shared" si="3"/>
        <v>229785.71</v>
      </c>
      <c r="J23" s="39">
        <f t="shared" si="4"/>
        <v>3420682.13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08'!E17</f>
        <v>0</v>
      </c>
      <c r="G25" s="30">
        <f>F25+BM.07!G25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440162.18</v>
      </c>
      <c r="J26" s="41">
        <f>J14+J19+J21+J24</f>
        <v>6550218.6799999997</v>
      </c>
      <c r="K26" s="70">
        <f>J26/H26</f>
        <v>0.68500000000000005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440162.18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&amp;CPágina &amp;P de &amp;N&amp;R&amp;G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B57BC-8D7E-4EE3-B497-79035E754752}">
  <dimension ref="A1:H19"/>
  <sheetViews>
    <sheetView view="pageBreakPreview" topLeftCell="A8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123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6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121</v>
      </c>
      <c r="E7" s="49">
        <f>440.3+937.65+2520.28+860.86+936.43+1253.33</f>
        <v>6948.85</v>
      </c>
      <c r="F7">
        <f>163.3*((7.65+7.35+7.7+8)/4)</f>
        <v>1253.3275000000001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122</v>
      </c>
      <c r="E8" s="49">
        <f>E7*0.04*2.4+6.69</f>
        <v>673.78</v>
      </c>
      <c r="G8">
        <f>0.06*(7.7+7.7+6.6+6.7+5.75+5.85+6.2)</f>
        <v>2.79</v>
      </c>
      <c r="H8">
        <f>G8*2.4</f>
        <v>6.6959999999999997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3501.13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15557.79</v>
      </c>
    </row>
    <row r="11" spans="1:8" x14ac:dyDescent="0.25">
      <c r="A11" s="55" t="s">
        <v>24</v>
      </c>
      <c r="B11" s="56" t="s">
        <v>56</v>
      </c>
      <c r="C11" s="65"/>
      <c r="D11" s="65"/>
    </row>
    <row r="12" spans="1:8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8" x14ac:dyDescent="0.25">
      <c r="A13" s="55" t="s">
        <v>28</v>
      </c>
      <c r="B13" s="56" t="s">
        <v>72</v>
      </c>
      <c r="C13" s="58"/>
      <c r="D13" s="58"/>
    </row>
    <row r="14" spans="1:8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8.34</v>
      </c>
      <c r="F14" s="67"/>
    </row>
    <row r="15" spans="1:8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37.06</v>
      </c>
    </row>
    <row r="16" spans="1:8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headerFooter>
    <oddFooter>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497E0-C36B-47CC-B986-CDFECEC913F3}">
  <sheetPr codeName="Plan25"/>
  <dimension ref="A1:K38"/>
  <sheetViews>
    <sheetView view="pageBreakPreview" zoomScale="90" zoomScaleNormal="100" zoomScaleSheetLayoutView="90" workbookViewId="0">
      <selection activeCell="J22" sqref="J2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125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45790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BM.09!$I$28</f>
        <v>1226302.72</v>
      </c>
      <c r="H8" s="126"/>
      <c r="I8" s="116" t="s">
        <v>126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3226115.81</v>
      </c>
      <c r="I14" s="38">
        <f>SUM(I15:I18)</f>
        <v>484428.45</v>
      </c>
      <c r="J14" s="38">
        <f>SUM(J15:J18)</f>
        <v>2675824.5699999998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101499.49</v>
      </c>
      <c r="F15" s="32">
        <f>'Memória 09'!E7</f>
        <v>0</v>
      </c>
      <c r="G15" s="30">
        <f>F15+BM.08!G15</f>
        <v>101499.49</v>
      </c>
      <c r="H15" s="39">
        <f>E15*D15</f>
        <v>37554.81</v>
      </c>
      <c r="I15" s="40">
        <f>ROUND(D15*F15,2)</f>
        <v>0</v>
      </c>
      <c r="J15" s="39">
        <f>ROUND(D15*G15,2)</f>
        <v>37554.81</v>
      </c>
      <c r="K15" s="75">
        <f>G15/E15</f>
        <v>1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14803.2</v>
      </c>
      <c r="F16" s="32">
        <f>'Memória 09'!E8</f>
        <v>2300.9299999999998</v>
      </c>
      <c r="G16" s="30">
        <f>F16+BM.08!G16</f>
        <v>12331.79</v>
      </c>
      <c r="H16" s="39">
        <f t="shared" ref="H16:H25" si="0">E16*D16</f>
        <v>2730154.18</v>
      </c>
      <c r="I16" s="40">
        <f t="shared" ref="I16:I18" si="1">ROUND(D16*F16,2)</f>
        <v>424360.52</v>
      </c>
      <c r="J16" s="39">
        <f t="shared" ref="J16:J18" si="2">ROUND(D16*G16,2)</f>
        <v>2274352.0299999998</v>
      </c>
      <c r="K16" s="75">
        <f t="shared" ref="K16:K27" si="3">G16/E16</f>
        <v>0.83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59483.46</v>
      </c>
      <c r="F17" s="32">
        <f>'Memória 09'!E9</f>
        <v>5016.6099999999997</v>
      </c>
      <c r="G17" s="30">
        <f>F17+BM.08!G17</f>
        <v>56152.45</v>
      </c>
      <c r="H17" s="39">
        <f t="shared" si="0"/>
        <v>57104.12</v>
      </c>
      <c r="I17" s="40">
        <f t="shared" si="1"/>
        <v>4815.95</v>
      </c>
      <c r="J17" s="39">
        <f t="shared" si="2"/>
        <v>53906.35</v>
      </c>
      <c r="K17" s="75">
        <f t="shared" si="3"/>
        <v>0.94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351805.16</v>
      </c>
      <c r="F18" s="32">
        <f>'Memória 09'!E10</f>
        <v>50229.07</v>
      </c>
      <c r="G18" s="30">
        <f>F18+BM.08!G18</f>
        <v>281828.53000000003</v>
      </c>
      <c r="H18" s="39">
        <f t="shared" si="0"/>
        <v>386985.68</v>
      </c>
      <c r="I18" s="40">
        <f t="shared" si="1"/>
        <v>55251.98</v>
      </c>
      <c r="J18" s="39">
        <f t="shared" si="2"/>
        <v>310011.38</v>
      </c>
      <c r="K18" s="75">
        <f t="shared" si="3"/>
        <v>0.8</v>
      </c>
    </row>
    <row r="19" spans="1:11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39769.5</v>
      </c>
      <c r="F19" s="32">
        <f>'Memória 09'!E11</f>
        <v>23904.28</v>
      </c>
      <c r="G19" s="30">
        <f>F19+BM.08!G19</f>
        <v>23904.28</v>
      </c>
      <c r="H19" s="39">
        <f t="shared" si="0"/>
        <v>14317.02</v>
      </c>
      <c r="I19" s="40">
        <f t="shared" ref="I19" si="4">ROUND(D19*F19,2)</f>
        <v>8605.5400000000009</v>
      </c>
      <c r="J19" s="39">
        <f t="shared" ref="J19" si="5">ROUND(D19*G19,2)</f>
        <v>8605.5400000000009</v>
      </c>
      <c r="K19" s="75">
        <f t="shared" si="3"/>
        <v>0.6</v>
      </c>
    </row>
    <row r="20" spans="1:11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130690.41</v>
      </c>
      <c r="I20" s="38">
        <f>SUM(I21:I21)</f>
        <v>0</v>
      </c>
      <c r="J20" s="38">
        <f>SUM(J21:J21)</f>
        <v>17036.330000000002</v>
      </c>
    </row>
    <row r="21" spans="1:11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5252.83</v>
      </c>
      <c r="F21" s="32">
        <f>'Memória 09'!E13</f>
        <v>0</v>
      </c>
      <c r="G21" s="30">
        <f>F21+BM.08!G20</f>
        <v>684.74</v>
      </c>
      <c r="H21" s="39">
        <f t="shared" si="0"/>
        <v>130690.41</v>
      </c>
      <c r="I21" s="40">
        <f>ROUND(D21*F21,2)</f>
        <v>0</v>
      </c>
      <c r="J21" s="39">
        <f>ROUND(D21*G21,2)</f>
        <v>17036.330000000002</v>
      </c>
      <c r="K21" s="75">
        <f t="shared" si="3"/>
        <v>0.13</v>
      </c>
    </row>
    <row r="22" spans="1:11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6204315.9000000004</v>
      </c>
      <c r="I22" s="38">
        <f>SUM(I23:I24)</f>
        <v>741874.27</v>
      </c>
      <c r="J22" s="38">
        <f>SUM(J23:J24)</f>
        <v>5083660.4800000004</v>
      </c>
    </row>
    <row r="23" spans="1:11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121.81</v>
      </c>
      <c r="F23" s="32">
        <f>'Memória 09'!E15</f>
        <v>0</v>
      </c>
      <c r="G23" s="30">
        <f>F23+BM.08!G22</f>
        <v>121.81</v>
      </c>
      <c r="H23" s="39">
        <f t="shared" si="0"/>
        <v>921104.08</v>
      </c>
      <c r="I23" s="40">
        <f t="shared" ref="I23:I24" si="6">ROUND(D23*F23,2)</f>
        <v>0</v>
      </c>
      <c r="J23" s="39">
        <f t="shared" ref="J23:J24" si="7">ROUND(D23*G23,2)</f>
        <v>921104.08</v>
      </c>
      <c r="K23" s="75">
        <f t="shared" si="3"/>
        <v>1</v>
      </c>
    </row>
    <row r="24" spans="1:11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838.03</v>
      </c>
      <c r="F24" s="32">
        <f>'Memória 09'!E16</f>
        <v>119.65</v>
      </c>
      <c r="G24" s="30">
        <f>F24+BM.08!G23</f>
        <v>671.34</v>
      </c>
      <c r="H24" s="39">
        <f t="shared" si="0"/>
        <v>5196096.07</v>
      </c>
      <c r="I24" s="40">
        <f t="shared" si="6"/>
        <v>741874.27</v>
      </c>
      <c r="J24" s="39">
        <f t="shared" si="7"/>
        <v>4162556.4</v>
      </c>
      <c r="K24" s="75">
        <f t="shared" si="3"/>
        <v>0.8</v>
      </c>
    </row>
    <row r="25" spans="1:11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19.88</v>
      </c>
      <c r="F25" s="32">
        <f>'Memória 09'!E17</f>
        <v>11.95</v>
      </c>
      <c r="G25" s="30">
        <f>F25+BM.08!G24</f>
        <v>11.95</v>
      </c>
      <c r="H25" s="39">
        <f t="shared" si="0"/>
        <v>87115.75</v>
      </c>
      <c r="I25" s="40">
        <f t="shared" ref="I25" si="8">ROUND(D25*F25,2)</f>
        <v>52365.86</v>
      </c>
      <c r="J25" s="39">
        <f t="shared" ref="J25" si="9">ROUND(D25*G25,2)</f>
        <v>52365.86</v>
      </c>
      <c r="K25" s="75">
        <f t="shared" si="3"/>
        <v>0.6</v>
      </c>
    </row>
    <row r="26" spans="1:11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1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09'!E19</f>
        <v>0</v>
      </c>
      <c r="G27" s="30">
        <f>F27+BM.08!G25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</row>
    <row r="28" spans="1:11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</f>
        <v>1226302.72</v>
      </c>
      <c r="J28" s="41">
        <f>J14+J20+J22+J26</f>
        <v>7776521.3799999999</v>
      </c>
      <c r="K28" s="70">
        <f>J28/H28</f>
        <v>0.81320000000000003</v>
      </c>
    </row>
    <row r="29" spans="1:11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1" ht="22.5" customHeight="1" x14ac:dyDescent="0.25">
      <c r="A30" s="106" t="s">
        <v>27</v>
      </c>
      <c r="B30" s="106"/>
      <c r="C30" s="106"/>
      <c r="D30" s="107">
        <f>I28</f>
        <v>1226302.72</v>
      </c>
      <c r="E30" s="107"/>
      <c r="F30" s="108"/>
      <c r="G30" s="108"/>
      <c r="H30" s="108"/>
      <c r="I30" s="108"/>
      <c r="J30" s="108"/>
      <c r="K30" s="72"/>
    </row>
    <row r="31" spans="1:11" ht="8.25" customHeight="1" x14ac:dyDescent="0.25">
      <c r="C31" s="18"/>
      <c r="E31" s="19"/>
      <c r="F31" s="19"/>
    </row>
    <row r="32" spans="1:11" ht="17.25" customHeight="1" x14ac:dyDescent="0.25">
      <c r="C32" s="20"/>
      <c r="D32" s="20"/>
      <c r="E32" s="20"/>
      <c r="G32" s="109"/>
      <c r="H32" s="109"/>
      <c r="I32" s="109"/>
      <c r="J32" s="109"/>
    </row>
    <row r="33" spans="2:10" ht="6" customHeight="1" x14ac:dyDescent="0.25"/>
    <row r="36" spans="2:10" ht="15" x14ac:dyDescent="0.25">
      <c r="B36" s="62" t="s">
        <v>138</v>
      </c>
      <c r="D36" t="s">
        <v>139</v>
      </c>
      <c r="E36"/>
      <c r="F36"/>
      <c r="G36"/>
      <c r="H36" s="131" t="s">
        <v>140</v>
      </c>
      <c r="I36" s="131"/>
      <c r="J36" s="131"/>
    </row>
    <row r="37" spans="2:10" ht="15" x14ac:dyDescent="0.25">
      <c r="B37" s="62" t="s">
        <v>141</v>
      </c>
      <c r="C37" s="131" t="s">
        <v>142</v>
      </c>
      <c r="D37" s="131"/>
      <c r="E37" s="131"/>
      <c r="F37" s="131"/>
      <c r="G37" s="131"/>
      <c r="H37" s="131" t="s">
        <v>143</v>
      </c>
      <c r="I37" s="131"/>
      <c r="J37" s="131"/>
    </row>
    <row r="38" spans="2:10" x14ac:dyDescent="0.25">
      <c r="J38" s="44"/>
    </row>
  </sheetData>
  <mergeCells count="37">
    <mergeCell ref="H36:J36"/>
    <mergeCell ref="C37:G37"/>
    <mergeCell ref="H37:J37"/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30:C30"/>
    <mergeCell ref="D30:E30"/>
    <mergeCell ref="F30:J30"/>
    <mergeCell ref="G32:J32"/>
    <mergeCell ref="A11:A12"/>
    <mergeCell ref="B11:B12"/>
    <mergeCell ref="C11:C12"/>
    <mergeCell ref="D11:D12"/>
    <mergeCell ref="A28:G28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1A3FA-AF05-48B0-AEB0-CB566FB82162}">
  <dimension ref="A1:H21"/>
  <sheetViews>
    <sheetView view="pageBreakPreview" topLeftCell="B2" zoomScale="90" zoomScaleNormal="100" zoomScaleSheetLayoutView="90" workbookViewId="0">
      <selection activeCell="F11" sqref="F11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124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137</v>
      </c>
      <c r="E8" s="49">
        <f>((E11*0.04)+2.55)*2.4</f>
        <v>2300.9299999999998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5016.6099999999997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50229.07</v>
      </c>
    </row>
    <row r="11" spans="1:8" ht="120" x14ac:dyDescent="0.25">
      <c r="A11" s="59" t="s">
        <v>128</v>
      </c>
      <c r="B11" s="60" t="s">
        <v>129</v>
      </c>
      <c r="C11" s="61" t="s">
        <v>63</v>
      </c>
      <c r="D11" s="53" t="s">
        <v>144</v>
      </c>
      <c r="E11" s="49">
        <f>1198.63+3912.36+859.12+725+1482.56+4810.8+924.73+792.79+1079.7+1734.75+987.9+1366.17+308.2+1252.18+1904.4+564.99</f>
        <v>23904.28</v>
      </c>
      <c r="G11">
        <f>(12.3+13.7)*46.1/2</f>
        <v>599.29999999999995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119.65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11.95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D43D0-C80F-4F88-B50D-2119EE73EC51}">
  <sheetPr codeName="Plan26"/>
  <dimension ref="A1:L41"/>
  <sheetViews>
    <sheetView tabSelected="1" view="pageBreakPreview" topLeftCell="A3" zoomScale="90" zoomScaleNormal="100" zoomScaleSheetLayoutView="90" workbookViewId="0">
      <selection activeCell="I14" sqref="I14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12" width="12" style="1" bestFit="1" customWidth="1"/>
    <col min="13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2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2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145</v>
      </c>
    </row>
    <row r="3" spans="1:12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2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2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2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45887</v>
      </c>
      <c r="J6" s="117"/>
    </row>
    <row r="7" spans="1:12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2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BM.10!$I$28</f>
        <v>1416149.35</v>
      </c>
      <c r="H8" s="126"/>
      <c r="I8" s="116" t="s">
        <v>146</v>
      </c>
      <c r="J8" s="117"/>
      <c r="K8" s="71">
        <v>11050541.890000001</v>
      </c>
    </row>
    <row r="9" spans="1:12" s="5" customFormat="1" ht="7.5" customHeight="1" x14ac:dyDescent="0.25">
      <c r="A9" s="4"/>
      <c r="E9" s="1"/>
      <c r="J9" s="2"/>
    </row>
    <row r="10" spans="1:12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2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2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2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2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3226115.81</v>
      </c>
      <c r="I14" s="38">
        <f>SUM(I15:I19)</f>
        <v>523866.53</v>
      </c>
      <c r="J14" s="38">
        <f>SUM(J15:J19)</f>
        <v>3208296.63</v>
      </c>
    </row>
    <row r="15" spans="1:12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101499.49</v>
      </c>
      <c r="F15" s="32">
        <f>'Memória 10'!E7</f>
        <v>0</v>
      </c>
      <c r="G15" s="30">
        <f>F15+BM.09!G15</f>
        <v>101499.49</v>
      </c>
      <c r="H15" s="39">
        <f>E15*D15</f>
        <v>37554.81</v>
      </c>
      <c r="I15" s="40">
        <f>ROUND(D15*F15,2)</f>
        <v>0</v>
      </c>
      <c r="J15" s="39">
        <f>ROUND(D15*G15,2)</f>
        <v>37554.81</v>
      </c>
      <c r="K15" s="75">
        <f>G15/E15</f>
        <v>1</v>
      </c>
    </row>
    <row r="16" spans="1:12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14803.2</v>
      </c>
      <c r="F16" s="32">
        <f>'Memória 10'!E8</f>
        <v>2470.5</v>
      </c>
      <c r="G16" s="30">
        <f>F16+BM.09!G16</f>
        <v>14802.29</v>
      </c>
      <c r="H16" s="39">
        <f t="shared" ref="H16:H25" si="0">E16*D16</f>
        <v>2730154.18</v>
      </c>
      <c r="I16" s="40">
        <f t="shared" ref="I16:I19" si="1">ROUND(D16*F16,2)</f>
        <v>455634.32</v>
      </c>
      <c r="J16" s="39">
        <f t="shared" ref="J16:J19" si="2">ROUND(D16*G16,2)</f>
        <v>2729986.34</v>
      </c>
      <c r="K16" s="75">
        <f t="shared" ref="K16:K27" si="3">G16/E16</f>
        <v>1</v>
      </c>
      <c r="L16" s="76"/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59483.46</v>
      </c>
      <c r="F17" s="32">
        <f>'Memória 10'!E9</f>
        <v>3329.01</v>
      </c>
      <c r="G17" s="30">
        <f>F17+BM.09!G17</f>
        <v>59481.46</v>
      </c>
      <c r="H17" s="39">
        <f t="shared" si="0"/>
        <v>57104.12</v>
      </c>
      <c r="I17" s="40">
        <f t="shared" si="1"/>
        <v>3195.85</v>
      </c>
      <c r="J17" s="39">
        <f t="shared" si="2"/>
        <v>57102.2</v>
      </c>
      <c r="K17" s="75">
        <f t="shared" si="3"/>
        <v>1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351805.16</v>
      </c>
      <c r="F18" s="32">
        <f>'Memória 10'!E10</f>
        <v>53931.71</v>
      </c>
      <c r="G18" s="30">
        <f>F18+BM.09!G18</f>
        <v>335760.24</v>
      </c>
      <c r="H18" s="39">
        <f t="shared" si="0"/>
        <v>386985.68</v>
      </c>
      <c r="I18" s="40">
        <f t="shared" si="1"/>
        <v>59324.88</v>
      </c>
      <c r="J18" s="39">
        <f t="shared" si="2"/>
        <v>369336.26</v>
      </c>
      <c r="K18" s="75">
        <f t="shared" si="3"/>
        <v>0.95</v>
      </c>
      <c r="L18" s="77">
        <f>H18-J18</f>
        <v>17649.419999999998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39769.5</v>
      </c>
      <c r="F19" s="32">
        <f>'Memória 10'!E11</f>
        <v>15865.22</v>
      </c>
      <c r="G19" s="30">
        <f>F19+BM.09!G19</f>
        <v>39769.5</v>
      </c>
      <c r="H19" s="39">
        <f t="shared" si="0"/>
        <v>14317.02</v>
      </c>
      <c r="I19" s="40">
        <f t="shared" si="1"/>
        <v>5711.48</v>
      </c>
      <c r="J19" s="39">
        <f t="shared" si="2"/>
        <v>14317.02</v>
      </c>
      <c r="K19" s="75">
        <f t="shared" si="3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130690.41</v>
      </c>
      <c r="I20" s="38">
        <f>SUM(I21:I21)</f>
        <v>0</v>
      </c>
      <c r="J20" s="38">
        <f>SUM(J21:J21)</f>
        <v>17036.330000000002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5252.83</v>
      </c>
      <c r="F21" s="32">
        <f>'Memória 10'!E13</f>
        <v>0</v>
      </c>
      <c r="G21" s="30">
        <f>F21+BM.09!G21</f>
        <v>684.74</v>
      </c>
      <c r="H21" s="39">
        <f t="shared" si="0"/>
        <v>130690.41</v>
      </c>
      <c r="I21" s="40">
        <f>ROUND(D21*F21,2)</f>
        <v>0</v>
      </c>
      <c r="J21" s="39">
        <f>ROUND(D21*G21,2)</f>
        <v>17036.330000000002</v>
      </c>
      <c r="K21" s="75">
        <f t="shared" si="3"/>
        <v>0.13</v>
      </c>
      <c r="L21" s="77">
        <f>H21-J21</f>
        <v>113654.08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6204315.9000000004</v>
      </c>
      <c r="I22" s="38">
        <f t="shared" ref="I22" si="4">SUM(I23:I25)</f>
        <v>831311.42</v>
      </c>
      <c r="J22" s="38">
        <f>SUM(J23:J25)</f>
        <v>5967337.7599999998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121.81</v>
      </c>
      <c r="F23" s="32">
        <f>'Memória 10'!E15</f>
        <v>0</v>
      </c>
      <c r="G23" s="30">
        <f>F23+BM.09!G23</f>
        <v>121.81</v>
      </c>
      <c r="H23" s="39">
        <f t="shared" si="0"/>
        <v>921104.08</v>
      </c>
      <c r="I23" s="40">
        <f t="shared" ref="I23:I25" si="5">ROUND(D23*F23,2)</f>
        <v>0</v>
      </c>
      <c r="J23" s="39">
        <f t="shared" ref="J23:J25" si="6">ROUND(D23*G23,2)</f>
        <v>921104.08</v>
      </c>
      <c r="K23" s="75">
        <f t="shared" si="3"/>
        <v>1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838.03</v>
      </c>
      <c r="F24" s="32">
        <f>'Memória 10'!E16</f>
        <v>128.47</v>
      </c>
      <c r="G24" s="30">
        <f>F24+BM.09!G24</f>
        <v>799.81</v>
      </c>
      <c r="H24" s="39">
        <f t="shared" si="0"/>
        <v>5196096.07</v>
      </c>
      <c r="I24" s="40">
        <f t="shared" si="5"/>
        <v>796561.53</v>
      </c>
      <c r="J24" s="39">
        <f t="shared" si="6"/>
        <v>4959117.93</v>
      </c>
      <c r="K24" s="75">
        <f t="shared" si="3"/>
        <v>0.95</v>
      </c>
      <c r="L24" s="77">
        <f>H24-J24</f>
        <v>236978.14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19.88</v>
      </c>
      <c r="F25" s="32">
        <f>'Memória 10'!E17</f>
        <v>7.93</v>
      </c>
      <c r="G25" s="30">
        <f>F25+BM.09!G25</f>
        <v>19.88</v>
      </c>
      <c r="H25" s="39">
        <f t="shared" si="0"/>
        <v>87115.75</v>
      </c>
      <c r="I25" s="40">
        <f t="shared" si="5"/>
        <v>34749.89</v>
      </c>
      <c r="J25" s="39">
        <f t="shared" si="6"/>
        <v>87115.75</v>
      </c>
      <c r="K25" s="75">
        <f t="shared" si="3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10'!E19</f>
        <v>0</v>
      </c>
      <c r="G27" s="30">
        <f>F27+BM.09!G27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  <c r="L27" s="77">
        <f>H27-J27</f>
        <v>1505.03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I14+I20+I22+I26+BM.09!I19+BM.09!I25</f>
        <v>1416149.35</v>
      </c>
      <c r="J28" s="41">
        <f>J14+J20+J22+J26</f>
        <v>9192670.7200000007</v>
      </c>
      <c r="K28" s="70">
        <f>J28/H28</f>
        <v>0.96130000000000004</v>
      </c>
      <c r="L28" s="77">
        <f>H28-J28</f>
        <v>369956.43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1416149.35</v>
      </c>
      <c r="E30" s="107"/>
      <c r="F30" s="108"/>
      <c r="G30" s="108"/>
      <c r="H30" s="108"/>
      <c r="I30" s="108"/>
      <c r="J30" s="108"/>
      <c r="K30" s="72">
        <f>I28+BM.09!J28</f>
        <v>9192670.7300000004</v>
      </c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 t="s">
        <v>147</v>
      </c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 t="s">
        <v>148</v>
      </c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C40:G40"/>
    <mergeCell ref="H40:J40"/>
    <mergeCell ref="A32:J32"/>
    <mergeCell ref="A33:J33"/>
    <mergeCell ref="A28:G28"/>
    <mergeCell ref="A30:C30"/>
    <mergeCell ref="D30:E30"/>
    <mergeCell ref="F30:J30"/>
    <mergeCell ref="H39:J39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D517B-775B-4473-95D8-5465F8010C09}">
  <dimension ref="A1:H21"/>
  <sheetViews>
    <sheetView view="pageBreakPreview" topLeftCell="A7" zoomScaleNormal="100" zoomScaleSheetLayoutView="100" workbookViewId="0">
      <selection activeCell="F8" sqref="F8"/>
    </sheetView>
  </sheetViews>
  <sheetFormatPr defaultRowHeight="15" x14ac:dyDescent="0.25"/>
  <cols>
    <col min="2" max="2" width="51.7109375" style="69" customWidth="1"/>
    <col min="3" max="3" width="9.140625" style="62"/>
    <col min="4" max="4" width="55.28515625" customWidth="1"/>
    <col min="5" max="5" width="11.5703125" style="49" customWidth="1"/>
  </cols>
  <sheetData>
    <row r="1" spans="1:8" ht="26.25" x14ac:dyDescent="0.25">
      <c r="A1" s="127" t="s">
        <v>84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</row>
    <row r="7" spans="1:8" ht="39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85</v>
      </c>
      <c r="E7" s="49">
        <f>6648.66+960.71+1396.5+143.82+1060.57+391.44+1450.55+224.75+711.45+93.89+282.5+765.66+315+62.64+563.25</f>
        <v>15071.39</v>
      </c>
      <c r="G7" s="62"/>
      <c r="H7">
        <f>(6.15+5.1+4.6+6.8)/4</f>
        <v>5.6624999999999996</v>
      </c>
    </row>
    <row r="8" spans="1:8" ht="7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87</v>
      </c>
      <c r="E8" s="49">
        <f>(E7-6648.66)*0.04*2.4+6648.66*0.05*2.4+ (0.16*6.72 + 0.16*3.39 + 0.18*8.2+ 0.21*7.72+ 0.18*8+ 8.11*0.18 + 8.2*0.24 + 8*0.19 + 5.9*0.19 + 5.25*0.17)*2.4</f>
        <v>1637.9</v>
      </c>
      <c r="H8">
        <f>(0.16*6.72 + 0.16*3.39 + 0.18*8.2+ 0.21*7.72+ 0.18*8+ 8.11*0.18 + 8.2*0.24 + 8*0.19 + 5.9*0.19 + 5.25*0.17)*2.4</f>
        <v>31.478639999999999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E16*419.8</f>
        <v>7594.18</v>
      </c>
    </row>
    <row r="10" spans="1:8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E17*419.8</f>
        <v>37815.58</v>
      </c>
    </row>
    <row r="11" spans="1:8" x14ac:dyDescent="0.25">
      <c r="A11" s="59"/>
      <c r="B11" s="64"/>
      <c r="C11" s="54"/>
      <c r="D11" s="52"/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6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 t="s">
        <v>86</v>
      </c>
      <c r="E13" s="49">
        <f>718.6*4*0.1+ (186.2+30.6+144.01+178.2+17+93+8.2+50+17.6+16.2+22.7+20.7+50+7.2+84.7)*3*0.1</f>
        <v>565.33000000000004</v>
      </c>
    </row>
    <row r="14" spans="1:8" x14ac:dyDescent="0.25">
      <c r="A14" s="59"/>
      <c r="B14" s="64"/>
      <c r="C14" s="54"/>
      <c r="D14" s="52"/>
    </row>
    <row r="15" spans="1:8" x14ac:dyDescent="0.25">
      <c r="A15" s="55" t="s">
        <v>28</v>
      </c>
      <c r="B15" s="56" t="s">
        <v>72</v>
      </c>
      <c r="C15" s="58"/>
      <c r="D15" s="58"/>
    </row>
    <row r="16" spans="1:8" x14ac:dyDescent="0.25">
      <c r="A16" s="59" t="s">
        <v>25</v>
      </c>
      <c r="B16" s="64" t="str">
        <f>BM.01!B22</f>
        <v>ASFALTO DILUIDO CM-30 EXCLUSIVE TRANSPORTE</v>
      </c>
      <c r="C16" s="54" t="s">
        <v>70</v>
      </c>
      <c r="D16" s="52" t="s">
        <v>76</v>
      </c>
      <c r="E16" s="49">
        <f>E7*0.0012</f>
        <v>18.09</v>
      </c>
      <c r="F16" s="67"/>
    </row>
    <row r="17" spans="1:5" ht="30" x14ac:dyDescent="0.25">
      <c r="A17" s="59" t="s">
        <v>29</v>
      </c>
      <c r="B17" s="64" t="str">
        <f>BM.01!B23</f>
        <v xml:space="preserve">CIMENTO ASFALTICO CAP 50/70 EXCLUSIVE TRANSPORTE </v>
      </c>
      <c r="C17" s="54" t="s">
        <v>70</v>
      </c>
      <c r="D17" s="53" t="s">
        <v>77</v>
      </c>
      <c r="E17" s="49">
        <f>E8*0.055</f>
        <v>90.08</v>
      </c>
    </row>
    <row r="18" spans="1:5" x14ac:dyDescent="0.25">
      <c r="A18" s="68" t="e">
        <f>#REF!</f>
        <v>#REF!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3" orientation="portrait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57A0E-CC5C-46EB-B1FB-A6908ECF92C1}">
  <dimension ref="A1:H21"/>
  <sheetViews>
    <sheetView view="pageBreakPreview" topLeftCell="A3" zoomScale="90" zoomScaleNormal="100" zoomScaleSheetLayoutView="90" workbookViewId="0">
      <selection activeCell="E8" sqref="E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149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4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151</v>
      </c>
      <c r="E8" s="49">
        <f>((E11*0.05)+2.05)*2.4+(23904.28*0.01*2.35)</f>
        <v>2470.5</v>
      </c>
      <c r="F8">
        <f>23904.28*0.01*2.35</f>
        <v>561.75058000000001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3329.01</v>
      </c>
      <c r="F9">
        <f>573.703-11.04</f>
        <v>562.66300000000001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53931.71</v>
      </c>
    </row>
    <row r="11" spans="1:8" ht="150" x14ac:dyDescent="0.25">
      <c r="A11" s="59" t="s">
        <v>128</v>
      </c>
      <c r="B11" s="60" t="s">
        <v>129</v>
      </c>
      <c r="C11" s="61" t="s">
        <v>63</v>
      </c>
      <c r="D11" s="53" t="s">
        <v>152</v>
      </c>
      <c r="E11" s="49">
        <f>493.87+926.06+967.38+1373.33+212.67+2115.5+1270.34+661.92+432.91+387.25+452.37+921.63+2542.7+734.92+392.04+733.89+410.04+345.7+490.7</f>
        <v>15865.22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128.47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7.93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826DB-FBBB-4FD8-9EF5-231C3B5652AE}">
  <sheetPr codeName="Plan27"/>
  <dimension ref="A1:L41"/>
  <sheetViews>
    <sheetView view="pageBreakPreview" zoomScale="90" zoomScaleNormal="100" zoomScaleSheetLayoutView="90" workbookViewId="0">
      <selection activeCell="C6" sqref="C6:D6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154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3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45974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'BM 01.Aditivo'!$I$28</f>
        <v>1260556.9099999999</v>
      </c>
      <c r="H8" s="126"/>
      <c r="I8" s="116" t="s">
        <v>158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155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 t="s">
        <v>156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589723.16</v>
      </c>
      <c r="I14" s="38">
        <f>SUM(I15:I19)</f>
        <v>485633.57</v>
      </c>
      <c r="J14" s="38">
        <f>SUM(J15:J19)</f>
        <v>485633.57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10196.549999999999</v>
      </c>
      <c r="F15" s="32">
        <f>'Memória 01 Aditivo'!E7</f>
        <v>0</v>
      </c>
      <c r="G15" s="30">
        <f>F15</f>
        <v>0</v>
      </c>
      <c r="H15" s="39">
        <f>E15*D15</f>
        <v>3772.72</v>
      </c>
      <c r="I15" s="40">
        <f>ROUND(D15*F15,2)</f>
        <v>0</v>
      </c>
      <c r="J15" s="39">
        <f>ROUND(D15*G15,2)</f>
        <v>0</v>
      </c>
      <c r="K15" s="75">
        <f>G15/E15</f>
        <v>0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2720.48</v>
      </c>
      <c r="F16" s="32">
        <f>'Memória 01 Aditivo'!E8</f>
        <v>2280.11</v>
      </c>
      <c r="G16" s="30">
        <f t="shared" ref="G16:G25" si="0">F16</f>
        <v>2280.11</v>
      </c>
      <c r="H16" s="39">
        <f t="shared" ref="H16:H25" si="1">E16*D16</f>
        <v>501738.13</v>
      </c>
      <c r="I16" s="40">
        <f t="shared" ref="I16:I19" si="2">ROUND(D16*F16,2)</f>
        <v>420520.69</v>
      </c>
      <c r="J16" s="39">
        <f t="shared" ref="J16:J19" si="3">ROUND(D16*G16,2)</f>
        <v>420520.69</v>
      </c>
      <c r="K16" s="75">
        <f t="shared" ref="K16:K27" si="4">G16/E16</f>
        <v>0.84</v>
      </c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8944.57</v>
      </c>
      <c r="F17" s="32">
        <f>'Memória 01 Aditivo'!E9</f>
        <v>3988.1</v>
      </c>
      <c r="G17" s="30">
        <f t="shared" si="0"/>
        <v>3988.1</v>
      </c>
      <c r="H17" s="39">
        <f t="shared" si="1"/>
        <v>8586.7900000000009</v>
      </c>
      <c r="I17" s="40">
        <f t="shared" si="2"/>
        <v>3828.58</v>
      </c>
      <c r="J17" s="39">
        <f t="shared" si="3"/>
        <v>3828.58</v>
      </c>
      <c r="K17" s="75">
        <f t="shared" si="4"/>
        <v>0.45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62813.16</v>
      </c>
      <c r="F18" s="32">
        <f>'Memória 01 Aditivo'!E10</f>
        <v>49775.69</v>
      </c>
      <c r="G18" s="30">
        <f t="shared" si="0"/>
        <v>49775.69</v>
      </c>
      <c r="H18" s="39">
        <f t="shared" si="1"/>
        <v>69094.48</v>
      </c>
      <c r="I18" s="40">
        <f t="shared" si="2"/>
        <v>54753.26</v>
      </c>
      <c r="J18" s="39">
        <f t="shared" si="3"/>
        <v>54753.26</v>
      </c>
      <c r="K18" s="75">
        <f t="shared" si="4"/>
        <v>0.79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18141.79</v>
      </c>
      <c r="F19" s="32">
        <f>E19</f>
        <v>18141.79</v>
      </c>
      <c r="G19" s="30">
        <f t="shared" si="0"/>
        <v>18141.79</v>
      </c>
      <c r="H19" s="39">
        <f t="shared" si="1"/>
        <v>6531.04</v>
      </c>
      <c r="I19" s="40">
        <f t="shared" si="2"/>
        <v>6531.04</v>
      </c>
      <c r="J19" s="39">
        <f t="shared" si="3"/>
        <v>6531.04</v>
      </c>
      <c r="K19" s="75">
        <f t="shared" si="4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30765.86</v>
      </c>
      <c r="I20" s="38">
        <f>SUM(I21:I21)</f>
        <v>0</v>
      </c>
      <c r="J20" s="38">
        <f>SUM(J21:J21)</f>
        <v>0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1236.57</v>
      </c>
      <c r="F21" s="32">
        <f>'Memória 01 Aditivo'!E13</f>
        <v>0</v>
      </c>
      <c r="G21" s="30">
        <f t="shared" si="0"/>
        <v>0</v>
      </c>
      <c r="H21" s="39">
        <f t="shared" si="1"/>
        <v>30765.86</v>
      </c>
      <c r="I21" s="40">
        <f>ROUND(D21*F21,2)</f>
        <v>0</v>
      </c>
      <c r="J21" s="39">
        <f>ROUND(D21*G21,2)</f>
        <v>0</v>
      </c>
      <c r="K21" s="75">
        <f t="shared" si="4"/>
        <v>0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1060063.3799999999</v>
      </c>
      <c r="I22" s="38">
        <f t="shared" ref="I22:J22" si="5">SUM(I23:I25)</f>
        <v>774923.34</v>
      </c>
      <c r="J22" s="38">
        <f t="shared" si="5"/>
        <v>774923.34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12.24</v>
      </c>
      <c r="F23" s="32">
        <f>'Memória 01 Aditivo'!E15</f>
        <v>0</v>
      </c>
      <c r="G23" s="30">
        <f t="shared" si="0"/>
        <v>0</v>
      </c>
      <c r="H23" s="39">
        <f t="shared" si="1"/>
        <v>92556.55</v>
      </c>
      <c r="I23" s="40">
        <f t="shared" ref="I23:I25" si="6">ROUND(D23*F23,2)</f>
        <v>0</v>
      </c>
      <c r="J23" s="39">
        <f t="shared" ref="J23:J25" si="7">ROUND(D23*G23,2)</f>
        <v>0</v>
      </c>
      <c r="K23" s="75">
        <f t="shared" si="4"/>
        <v>0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149.63</v>
      </c>
      <c r="F24" s="32">
        <f>'Memória 01 Aditivo'!E16</f>
        <v>118.57</v>
      </c>
      <c r="G24" s="30">
        <f t="shared" si="0"/>
        <v>118.57</v>
      </c>
      <c r="H24" s="39">
        <f t="shared" si="1"/>
        <v>927761.36</v>
      </c>
      <c r="I24" s="40">
        <f t="shared" si="6"/>
        <v>735177.87</v>
      </c>
      <c r="J24" s="39">
        <f t="shared" si="7"/>
        <v>735177.87</v>
      </c>
      <c r="K24" s="75">
        <f t="shared" si="4"/>
        <v>0.79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9.07</v>
      </c>
      <c r="F25" s="32">
        <f>E25</f>
        <v>9.07</v>
      </c>
      <c r="G25" s="30">
        <f t="shared" si="0"/>
        <v>9.07</v>
      </c>
      <c r="H25" s="39">
        <f t="shared" si="1"/>
        <v>39745.47</v>
      </c>
      <c r="I25" s="40">
        <f t="shared" si="6"/>
        <v>39745.47</v>
      </c>
      <c r="J25" s="39">
        <f t="shared" si="7"/>
        <v>39745.47</v>
      </c>
      <c r="K25" s="75">
        <f t="shared" si="4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0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/>
      <c r="F27" s="32">
        <f>'Memória 01 Aditivo'!E19</f>
        <v>0</v>
      </c>
      <c r="G27" s="30"/>
      <c r="H27" s="39">
        <f>ROUND(E27*D27,2)</f>
        <v>0</v>
      </c>
      <c r="I27" s="40">
        <f>ROUND(D27*F27,2)</f>
        <v>0</v>
      </c>
      <c r="J27" s="39">
        <f>ROUND(D27*G27,2)</f>
        <v>0</v>
      </c>
      <c r="K27" s="75" t="e">
        <f t="shared" si="4"/>
        <v>#DIV/0!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1680552.4</v>
      </c>
      <c r="I28" s="41">
        <f>I14+I20+I22+I26</f>
        <v>1260556.9099999999</v>
      </c>
      <c r="J28" s="41">
        <f>J14+J20+J22+J26</f>
        <v>1260556.9099999999</v>
      </c>
      <c r="K28" s="70">
        <f>J28/H28</f>
        <v>0.75009999999999999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1260556.9099999999</v>
      </c>
      <c r="E30" s="107"/>
      <c r="F30" s="108"/>
      <c r="G30" s="108"/>
      <c r="H30" s="108"/>
      <c r="I30" s="108"/>
      <c r="J30" s="108"/>
      <c r="K30" s="72"/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H39:J39"/>
    <mergeCell ref="C40:G40"/>
    <mergeCell ref="H40:J40"/>
    <mergeCell ref="A28:G28"/>
    <mergeCell ref="A30:C30"/>
    <mergeCell ref="D30:E30"/>
    <mergeCell ref="F30:J30"/>
    <mergeCell ref="A32:J32"/>
    <mergeCell ref="A33:J33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C45B0-5761-4F1E-92CD-FFA60D7ABE75}">
  <dimension ref="A1:H21"/>
  <sheetViews>
    <sheetView view="pageBreakPreview" zoomScale="90" zoomScaleNormal="100" zoomScaleSheetLayoutView="90" workbookViewId="0">
      <selection activeCell="E10" sqref="E10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157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/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150</v>
      </c>
      <c r="E8" s="49">
        <f>((E11*0.05))*2.4</f>
        <v>2280.11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3988.1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49775.69</v>
      </c>
    </row>
    <row r="11" spans="1:8" ht="90" x14ac:dyDescent="0.25">
      <c r="A11" s="59" t="s">
        <v>128</v>
      </c>
      <c r="B11" s="60" t="s">
        <v>129</v>
      </c>
      <c r="C11" s="61" t="s">
        <v>63</v>
      </c>
      <c r="D11" s="53" t="s">
        <v>153</v>
      </c>
      <c r="E11" s="49">
        <f>7269.84+2358.3+1470.01+2760.99+703.48+550.54+781.68+918.16+1179.34+1008.54</f>
        <v>19000.88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118.57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9.5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A2E21-6C05-43B3-80BB-D9D1F92CE5BE}">
  <sheetPr codeName="Plan28"/>
  <dimension ref="A1:O41"/>
  <sheetViews>
    <sheetView view="pageBreakPreview" topLeftCell="B5" zoomScale="80" zoomScaleNormal="100" zoomScaleSheetLayoutView="80" workbookViewId="0">
      <selection activeCell="K8" sqref="K8:L8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6" width="15.140625" style="21" customWidth="1"/>
    <col min="7" max="7" width="16.7109375" style="1" customWidth="1"/>
    <col min="8" max="8" width="16.5703125" style="1" customWidth="1"/>
    <col min="9" max="10" width="17.5703125" style="1" customWidth="1"/>
    <col min="11" max="11" width="16.5703125" style="1" customWidth="1"/>
    <col min="12" max="12" width="16.85546875" style="1" customWidth="1"/>
    <col min="13" max="13" width="14.85546875" style="1" bestFit="1" customWidth="1"/>
    <col min="14" max="14" width="11.5703125" style="1" bestFit="1" customWidth="1"/>
    <col min="15" max="255" width="9.140625" style="1"/>
    <col min="256" max="256" width="50.85546875" style="1" customWidth="1"/>
    <col min="257" max="257" width="7.5703125" style="1" customWidth="1"/>
    <col min="258" max="258" width="12.42578125" style="1" customWidth="1"/>
    <col min="259" max="259" width="14.42578125" style="1" customWidth="1"/>
    <col min="260" max="260" width="16.7109375" style="1" customWidth="1"/>
    <col min="261" max="261" width="16.5703125" style="1" customWidth="1"/>
    <col min="262" max="262" width="16.28515625" style="1" customWidth="1"/>
    <col min="263" max="263" width="16.5703125" style="1" customWidth="1"/>
    <col min="264" max="264" width="16.85546875" style="1" customWidth="1"/>
    <col min="265" max="265" width="9.140625" style="1"/>
    <col min="266" max="266" width="15.7109375" style="1" customWidth="1"/>
    <col min="267" max="268" width="9.140625" style="1"/>
    <col min="269" max="269" width="12.85546875" style="1" customWidth="1"/>
    <col min="270" max="511" width="9.140625" style="1"/>
    <col min="512" max="512" width="50.85546875" style="1" customWidth="1"/>
    <col min="513" max="513" width="7.5703125" style="1" customWidth="1"/>
    <col min="514" max="514" width="12.42578125" style="1" customWidth="1"/>
    <col min="515" max="515" width="14.42578125" style="1" customWidth="1"/>
    <col min="516" max="516" width="16.7109375" style="1" customWidth="1"/>
    <col min="517" max="517" width="16.5703125" style="1" customWidth="1"/>
    <col min="518" max="518" width="16.28515625" style="1" customWidth="1"/>
    <col min="519" max="519" width="16.5703125" style="1" customWidth="1"/>
    <col min="520" max="520" width="16.85546875" style="1" customWidth="1"/>
    <col min="521" max="521" width="9.140625" style="1"/>
    <col min="522" max="522" width="15.7109375" style="1" customWidth="1"/>
    <col min="523" max="524" width="9.140625" style="1"/>
    <col min="525" max="525" width="12.85546875" style="1" customWidth="1"/>
    <col min="526" max="767" width="9.140625" style="1"/>
    <col min="768" max="768" width="50.85546875" style="1" customWidth="1"/>
    <col min="769" max="769" width="7.5703125" style="1" customWidth="1"/>
    <col min="770" max="770" width="12.42578125" style="1" customWidth="1"/>
    <col min="771" max="771" width="14.42578125" style="1" customWidth="1"/>
    <col min="772" max="772" width="16.7109375" style="1" customWidth="1"/>
    <col min="773" max="773" width="16.5703125" style="1" customWidth="1"/>
    <col min="774" max="774" width="16.28515625" style="1" customWidth="1"/>
    <col min="775" max="775" width="16.5703125" style="1" customWidth="1"/>
    <col min="776" max="776" width="16.85546875" style="1" customWidth="1"/>
    <col min="777" max="777" width="9.140625" style="1"/>
    <col min="778" max="778" width="15.7109375" style="1" customWidth="1"/>
    <col min="779" max="780" width="9.140625" style="1"/>
    <col min="781" max="781" width="12.85546875" style="1" customWidth="1"/>
    <col min="782" max="1023" width="9.140625" style="1"/>
    <col min="1024" max="1024" width="50.85546875" style="1" customWidth="1"/>
    <col min="1025" max="1025" width="7.5703125" style="1" customWidth="1"/>
    <col min="1026" max="1026" width="12.42578125" style="1" customWidth="1"/>
    <col min="1027" max="1027" width="14.42578125" style="1" customWidth="1"/>
    <col min="1028" max="1028" width="16.7109375" style="1" customWidth="1"/>
    <col min="1029" max="1029" width="16.5703125" style="1" customWidth="1"/>
    <col min="1030" max="1030" width="16.28515625" style="1" customWidth="1"/>
    <col min="1031" max="1031" width="16.5703125" style="1" customWidth="1"/>
    <col min="1032" max="1032" width="16.85546875" style="1" customWidth="1"/>
    <col min="1033" max="1033" width="9.140625" style="1"/>
    <col min="1034" max="1034" width="15.7109375" style="1" customWidth="1"/>
    <col min="1035" max="1036" width="9.140625" style="1"/>
    <col min="1037" max="1037" width="12.85546875" style="1" customWidth="1"/>
    <col min="1038" max="1279" width="9.140625" style="1"/>
    <col min="1280" max="1280" width="50.85546875" style="1" customWidth="1"/>
    <col min="1281" max="1281" width="7.5703125" style="1" customWidth="1"/>
    <col min="1282" max="1282" width="12.42578125" style="1" customWidth="1"/>
    <col min="1283" max="1283" width="14.42578125" style="1" customWidth="1"/>
    <col min="1284" max="1284" width="16.7109375" style="1" customWidth="1"/>
    <col min="1285" max="1285" width="16.5703125" style="1" customWidth="1"/>
    <col min="1286" max="1286" width="16.28515625" style="1" customWidth="1"/>
    <col min="1287" max="1287" width="16.5703125" style="1" customWidth="1"/>
    <col min="1288" max="1288" width="16.85546875" style="1" customWidth="1"/>
    <col min="1289" max="1289" width="9.140625" style="1"/>
    <col min="1290" max="1290" width="15.7109375" style="1" customWidth="1"/>
    <col min="1291" max="1292" width="9.140625" style="1"/>
    <col min="1293" max="1293" width="12.85546875" style="1" customWidth="1"/>
    <col min="1294" max="1535" width="9.140625" style="1"/>
    <col min="1536" max="1536" width="50.85546875" style="1" customWidth="1"/>
    <col min="1537" max="1537" width="7.5703125" style="1" customWidth="1"/>
    <col min="1538" max="1538" width="12.42578125" style="1" customWidth="1"/>
    <col min="1539" max="1539" width="14.42578125" style="1" customWidth="1"/>
    <col min="1540" max="1540" width="16.7109375" style="1" customWidth="1"/>
    <col min="1541" max="1541" width="16.5703125" style="1" customWidth="1"/>
    <col min="1542" max="1542" width="16.28515625" style="1" customWidth="1"/>
    <col min="1543" max="1543" width="16.5703125" style="1" customWidth="1"/>
    <col min="1544" max="1544" width="16.85546875" style="1" customWidth="1"/>
    <col min="1545" max="1545" width="9.140625" style="1"/>
    <col min="1546" max="1546" width="15.7109375" style="1" customWidth="1"/>
    <col min="1547" max="1548" width="9.140625" style="1"/>
    <col min="1549" max="1549" width="12.85546875" style="1" customWidth="1"/>
    <col min="1550" max="1791" width="9.140625" style="1"/>
    <col min="1792" max="1792" width="50.85546875" style="1" customWidth="1"/>
    <col min="1793" max="1793" width="7.5703125" style="1" customWidth="1"/>
    <col min="1794" max="1794" width="12.42578125" style="1" customWidth="1"/>
    <col min="1795" max="1795" width="14.42578125" style="1" customWidth="1"/>
    <col min="1796" max="1796" width="16.7109375" style="1" customWidth="1"/>
    <col min="1797" max="1797" width="16.5703125" style="1" customWidth="1"/>
    <col min="1798" max="1798" width="16.28515625" style="1" customWidth="1"/>
    <col min="1799" max="1799" width="16.5703125" style="1" customWidth="1"/>
    <col min="1800" max="1800" width="16.85546875" style="1" customWidth="1"/>
    <col min="1801" max="1801" width="9.140625" style="1"/>
    <col min="1802" max="1802" width="15.7109375" style="1" customWidth="1"/>
    <col min="1803" max="1804" width="9.140625" style="1"/>
    <col min="1805" max="1805" width="12.85546875" style="1" customWidth="1"/>
    <col min="1806" max="2047" width="9.140625" style="1"/>
    <col min="2048" max="2048" width="50.85546875" style="1" customWidth="1"/>
    <col min="2049" max="2049" width="7.5703125" style="1" customWidth="1"/>
    <col min="2050" max="2050" width="12.42578125" style="1" customWidth="1"/>
    <col min="2051" max="2051" width="14.42578125" style="1" customWidth="1"/>
    <col min="2052" max="2052" width="16.7109375" style="1" customWidth="1"/>
    <col min="2053" max="2053" width="16.5703125" style="1" customWidth="1"/>
    <col min="2054" max="2054" width="16.28515625" style="1" customWidth="1"/>
    <col min="2055" max="2055" width="16.5703125" style="1" customWidth="1"/>
    <col min="2056" max="2056" width="16.85546875" style="1" customWidth="1"/>
    <col min="2057" max="2057" width="9.140625" style="1"/>
    <col min="2058" max="2058" width="15.7109375" style="1" customWidth="1"/>
    <col min="2059" max="2060" width="9.140625" style="1"/>
    <col min="2061" max="2061" width="12.85546875" style="1" customWidth="1"/>
    <col min="2062" max="2303" width="9.140625" style="1"/>
    <col min="2304" max="2304" width="50.85546875" style="1" customWidth="1"/>
    <col min="2305" max="2305" width="7.5703125" style="1" customWidth="1"/>
    <col min="2306" max="2306" width="12.42578125" style="1" customWidth="1"/>
    <col min="2307" max="2307" width="14.42578125" style="1" customWidth="1"/>
    <col min="2308" max="2308" width="16.7109375" style="1" customWidth="1"/>
    <col min="2309" max="2309" width="16.5703125" style="1" customWidth="1"/>
    <col min="2310" max="2310" width="16.28515625" style="1" customWidth="1"/>
    <col min="2311" max="2311" width="16.5703125" style="1" customWidth="1"/>
    <col min="2312" max="2312" width="16.85546875" style="1" customWidth="1"/>
    <col min="2313" max="2313" width="9.140625" style="1"/>
    <col min="2314" max="2314" width="15.7109375" style="1" customWidth="1"/>
    <col min="2315" max="2316" width="9.140625" style="1"/>
    <col min="2317" max="2317" width="12.85546875" style="1" customWidth="1"/>
    <col min="2318" max="2559" width="9.140625" style="1"/>
    <col min="2560" max="2560" width="50.85546875" style="1" customWidth="1"/>
    <col min="2561" max="2561" width="7.5703125" style="1" customWidth="1"/>
    <col min="2562" max="2562" width="12.42578125" style="1" customWidth="1"/>
    <col min="2563" max="2563" width="14.42578125" style="1" customWidth="1"/>
    <col min="2564" max="2564" width="16.7109375" style="1" customWidth="1"/>
    <col min="2565" max="2565" width="16.5703125" style="1" customWidth="1"/>
    <col min="2566" max="2566" width="16.28515625" style="1" customWidth="1"/>
    <col min="2567" max="2567" width="16.5703125" style="1" customWidth="1"/>
    <col min="2568" max="2568" width="16.85546875" style="1" customWidth="1"/>
    <col min="2569" max="2569" width="9.140625" style="1"/>
    <col min="2570" max="2570" width="15.7109375" style="1" customWidth="1"/>
    <col min="2571" max="2572" width="9.140625" style="1"/>
    <col min="2573" max="2573" width="12.85546875" style="1" customWidth="1"/>
    <col min="2574" max="2815" width="9.140625" style="1"/>
    <col min="2816" max="2816" width="50.85546875" style="1" customWidth="1"/>
    <col min="2817" max="2817" width="7.5703125" style="1" customWidth="1"/>
    <col min="2818" max="2818" width="12.42578125" style="1" customWidth="1"/>
    <col min="2819" max="2819" width="14.42578125" style="1" customWidth="1"/>
    <col min="2820" max="2820" width="16.7109375" style="1" customWidth="1"/>
    <col min="2821" max="2821" width="16.5703125" style="1" customWidth="1"/>
    <col min="2822" max="2822" width="16.28515625" style="1" customWidth="1"/>
    <col min="2823" max="2823" width="16.5703125" style="1" customWidth="1"/>
    <col min="2824" max="2824" width="16.85546875" style="1" customWidth="1"/>
    <col min="2825" max="2825" width="9.140625" style="1"/>
    <col min="2826" max="2826" width="15.7109375" style="1" customWidth="1"/>
    <col min="2827" max="2828" width="9.140625" style="1"/>
    <col min="2829" max="2829" width="12.85546875" style="1" customWidth="1"/>
    <col min="2830" max="3071" width="9.140625" style="1"/>
    <col min="3072" max="3072" width="50.85546875" style="1" customWidth="1"/>
    <col min="3073" max="3073" width="7.5703125" style="1" customWidth="1"/>
    <col min="3074" max="3074" width="12.42578125" style="1" customWidth="1"/>
    <col min="3075" max="3075" width="14.42578125" style="1" customWidth="1"/>
    <col min="3076" max="3076" width="16.7109375" style="1" customWidth="1"/>
    <col min="3077" max="3077" width="16.5703125" style="1" customWidth="1"/>
    <col min="3078" max="3078" width="16.28515625" style="1" customWidth="1"/>
    <col min="3079" max="3079" width="16.5703125" style="1" customWidth="1"/>
    <col min="3080" max="3080" width="16.85546875" style="1" customWidth="1"/>
    <col min="3081" max="3081" width="9.140625" style="1"/>
    <col min="3082" max="3082" width="15.7109375" style="1" customWidth="1"/>
    <col min="3083" max="3084" width="9.140625" style="1"/>
    <col min="3085" max="3085" width="12.85546875" style="1" customWidth="1"/>
    <col min="3086" max="3327" width="9.140625" style="1"/>
    <col min="3328" max="3328" width="50.85546875" style="1" customWidth="1"/>
    <col min="3329" max="3329" width="7.5703125" style="1" customWidth="1"/>
    <col min="3330" max="3330" width="12.42578125" style="1" customWidth="1"/>
    <col min="3331" max="3331" width="14.42578125" style="1" customWidth="1"/>
    <col min="3332" max="3332" width="16.7109375" style="1" customWidth="1"/>
    <col min="3333" max="3333" width="16.5703125" style="1" customWidth="1"/>
    <col min="3334" max="3334" width="16.28515625" style="1" customWidth="1"/>
    <col min="3335" max="3335" width="16.5703125" style="1" customWidth="1"/>
    <col min="3336" max="3336" width="16.85546875" style="1" customWidth="1"/>
    <col min="3337" max="3337" width="9.140625" style="1"/>
    <col min="3338" max="3338" width="15.7109375" style="1" customWidth="1"/>
    <col min="3339" max="3340" width="9.140625" style="1"/>
    <col min="3341" max="3341" width="12.85546875" style="1" customWidth="1"/>
    <col min="3342" max="3583" width="9.140625" style="1"/>
    <col min="3584" max="3584" width="50.85546875" style="1" customWidth="1"/>
    <col min="3585" max="3585" width="7.5703125" style="1" customWidth="1"/>
    <col min="3586" max="3586" width="12.42578125" style="1" customWidth="1"/>
    <col min="3587" max="3587" width="14.42578125" style="1" customWidth="1"/>
    <col min="3588" max="3588" width="16.7109375" style="1" customWidth="1"/>
    <col min="3589" max="3589" width="16.5703125" style="1" customWidth="1"/>
    <col min="3590" max="3590" width="16.28515625" style="1" customWidth="1"/>
    <col min="3591" max="3591" width="16.5703125" style="1" customWidth="1"/>
    <col min="3592" max="3592" width="16.85546875" style="1" customWidth="1"/>
    <col min="3593" max="3593" width="9.140625" style="1"/>
    <col min="3594" max="3594" width="15.7109375" style="1" customWidth="1"/>
    <col min="3595" max="3596" width="9.140625" style="1"/>
    <col min="3597" max="3597" width="12.85546875" style="1" customWidth="1"/>
    <col min="3598" max="3839" width="9.140625" style="1"/>
    <col min="3840" max="3840" width="50.85546875" style="1" customWidth="1"/>
    <col min="3841" max="3841" width="7.5703125" style="1" customWidth="1"/>
    <col min="3842" max="3842" width="12.42578125" style="1" customWidth="1"/>
    <col min="3843" max="3843" width="14.42578125" style="1" customWidth="1"/>
    <col min="3844" max="3844" width="16.7109375" style="1" customWidth="1"/>
    <col min="3845" max="3845" width="16.5703125" style="1" customWidth="1"/>
    <col min="3846" max="3846" width="16.28515625" style="1" customWidth="1"/>
    <col min="3847" max="3847" width="16.5703125" style="1" customWidth="1"/>
    <col min="3848" max="3848" width="16.85546875" style="1" customWidth="1"/>
    <col min="3849" max="3849" width="9.140625" style="1"/>
    <col min="3850" max="3850" width="15.7109375" style="1" customWidth="1"/>
    <col min="3851" max="3852" width="9.140625" style="1"/>
    <col min="3853" max="3853" width="12.85546875" style="1" customWidth="1"/>
    <col min="3854" max="4095" width="9.140625" style="1"/>
    <col min="4096" max="4096" width="50.85546875" style="1" customWidth="1"/>
    <col min="4097" max="4097" width="7.5703125" style="1" customWidth="1"/>
    <col min="4098" max="4098" width="12.42578125" style="1" customWidth="1"/>
    <col min="4099" max="4099" width="14.42578125" style="1" customWidth="1"/>
    <col min="4100" max="4100" width="16.7109375" style="1" customWidth="1"/>
    <col min="4101" max="4101" width="16.5703125" style="1" customWidth="1"/>
    <col min="4102" max="4102" width="16.28515625" style="1" customWidth="1"/>
    <col min="4103" max="4103" width="16.5703125" style="1" customWidth="1"/>
    <col min="4104" max="4104" width="16.85546875" style="1" customWidth="1"/>
    <col min="4105" max="4105" width="9.140625" style="1"/>
    <col min="4106" max="4106" width="15.7109375" style="1" customWidth="1"/>
    <col min="4107" max="4108" width="9.140625" style="1"/>
    <col min="4109" max="4109" width="12.85546875" style="1" customWidth="1"/>
    <col min="4110" max="4351" width="9.140625" style="1"/>
    <col min="4352" max="4352" width="50.85546875" style="1" customWidth="1"/>
    <col min="4353" max="4353" width="7.5703125" style="1" customWidth="1"/>
    <col min="4354" max="4354" width="12.42578125" style="1" customWidth="1"/>
    <col min="4355" max="4355" width="14.42578125" style="1" customWidth="1"/>
    <col min="4356" max="4356" width="16.7109375" style="1" customWidth="1"/>
    <col min="4357" max="4357" width="16.5703125" style="1" customWidth="1"/>
    <col min="4358" max="4358" width="16.28515625" style="1" customWidth="1"/>
    <col min="4359" max="4359" width="16.5703125" style="1" customWidth="1"/>
    <col min="4360" max="4360" width="16.85546875" style="1" customWidth="1"/>
    <col min="4361" max="4361" width="9.140625" style="1"/>
    <col min="4362" max="4362" width="15.7109375" style="1" customWidth="1"/>
    <col min="4363" max="4364" width="9.140625" style="1"/>
    <col min="4365" max="4365" width="12.85546875" style="1" customWidth="1"/>
    <col min="4366" max="4607" width="9.140625" style="1"/>
    <col min="4608" max="4608" width="50.85546875" style="1" customWidth="1"/>
    <col min="4609" max="4609" width="7.5703125" style="1" customWidth="1"/>
    <col min="4610" max="4610" width="12.42578125" style="1" customWidth="1"/>
    <col min="4611" max="4611" width="14.42578125" style="1" customWidth="1"/>
    <col min="4612" max="4612" width="16.7109375" style="1" customWidth="1"/>
    <col min="4613" max="4613" width="16.5703125" style="1" customWidth="1"/>
    <col min="4614" max="4614" width="16.28515625" style="1" customWidth="1"/>
    <col min="4615" max="4615" width="16.5703125" style="1" customWidth="1"/>
    <col min="4616" max="4616" width="16.85546875" style="1" customWidth="1"/>
    <col min="4617" max="4617" width="9.140625" style="1"/>
    <col min="4618" max="4618" width="15.7109375" style="1" customWidth="1"/>
    <col min="4619" max="4620" width="9.140625" style="1"/>
    <col min="4621" max="4621" width="12.85546875" style="1" customWidth="1"/>
    <col min="4622" max="4863" width="9.140625" style="1"/>
    <col min="4864" max="4864" width="50.85546875" style="1" customWidth="1"/>
    <col min="4865" max="4865" width="7.5703125" style="1" customWidth="1"/>
    <col min="4866" max="4866" width="12.42578125" style="1" customWidth="1"/>
    <col min="4867" max="4867" width="14.42578125" style="1" customWidth="1"/>
    <col min="4868" max="4868" width="16.7109375" style="1" customWidth="1"/>
    <col min="4869" max="4869" width="16.5703125" style="1" customWidth="1"/>
    <col min="4870" max="4870" width="16.28515625" style="1" customWidth="1"/>
    <col min="4871" max="4871" width="16.5703125" style="1" customWidth="1"/>
    <col min="4872" max="4872" width="16.85546875" style="1" customWidth="1"/>
    <col min="4873" max="4873" width="9.140625" style="1"/>
    <col min="4874" max="4874" width="15.7109375" style="1" customWidth="1"/>
    <col min="4875" max="4876" width="9.140625" style="1"/>
    <col min="4877" max="4877" width="12.85546875" style="1" customWidth="1"/>
    <col min="4878" max="5119" width="9.140625" style="1"/>
    <col min="5120" max="5120" width="50.85546875" style="1" customWidth="1"/>
    <col min="5121" max="5121" width="7.5703125" style="1" customWidth="1"/>
    <col min="5122" max="5122" width="12.42578125" style="1" customWidth="1"/>
    <col min="5123" max="5123" width="14.42578125" style="1" customWidth="1"/>
    <col min="5124" max="5124" width="16.7109375" style="1" customWidth="1"/>
    <col min="5125" max="5125" width="16.5703125" style="1" customWidth="1"/>
    <col min="5126" max="5126" width="16.28515625" style="1" customWidth="1"/>
    <col min="5127" max="5127" width="16.5703125" style="1" customWidth="1"/>
    <col min="5128" max="5128" width="16.85546875" style="1" customWidth="1"/>
    <col min="5129" max="5129" width="9.140625" style="1"/>
    <col min="5130" max="5130" width="15.7109375" style="1" customWidth="1"/>
    <col min="5131" max="5132" width="9.140625" style="1"/>
    <col min="5133" max="5133" width="12.85546875" style="1" customWidth="1"/>
    <col min="5134" max="5375" width="9.140625" style="1"/>
    <col min="5376" max="5376" width="50.85546875" style="1" customWidth="1"/>
    <col min="5377" max="5377" width="7.5703125" style="1" customWidth="1"/>
    <col min="5378" max="5378" width="12.42578125" style="1" customWidth="1"/>
    <col min="5379" max="5379" width="14.42578125" style="1" customWidth="1"/>
    <col min="5380" max="5380" width="16.7109375" style="1" customWidth="1"/>
    <col min="5381" max="5381" width="16.5703125" style="1" customWidth="1"/>
    <col min="5382" max="5382" width="16.28515625" style="1" customWidth="1"/>
    <col min="5383" max="5383" width="16.5703125" style="1" customWidth="1"/>
    <col min="5384" max="5384" width="16.85546875" style="1" customWidth="1"/>
    <col min="5385" max="5385" width="9.140625" style="1"/>
    <col min="5386" max="5386" width="15.7109375" style="1" customWidth="1"/>
    <col min="5387" max="5388" width="9.140625" style="1"/>
    <col min="5389" max="5389" width="12.85546875" style="1" customWidth="1"/>
    <col min="5390" max="5631" width="9.140625" style="1"/>
    <col min="5632" max="5632" width="50.85546875" style="1" customWidth="1"/>
    <col min="5633" max="5633" width="7.5703125" style="1" customWidth="1"/>
    <col min="5634" max="5634" width="12.42578125" style="1" customWidth="1"/>
    <col min="5635" max="5635" width="14.42578125" style="1" customWidth="1"/>
    <col min="5636" max="5636" width="16.7109375" style="1" customWidth="1"/>
    <col min="5637" max="5637" width="16.5703125" style="1" customWidth="1"/>
    <col min="5638" max="5638" width="16.28515625" style="1" customWidth="1"/>
    <col min="5639" max="5639" width="16.5703125" style="1" customWidth="1"/>
    <col min="5640" max="5640" width="16.85546875" style="1" customWidth="1"/>
    <col min="5641" max="5641" width="9.140625" style="1"/>
    <col min="5642" max="5642" width="15.7109375" style="1" customWidth="1"/>
    <col min="5643" max="5644" width="9.140625" style="1"/>
    <col min="5645" max="5645" width="12.85546875" style="1" customWidth="1"/>
    <col min="5646" max="5887" width="9.140625" style="1"/>
    <col min="5888" max="5888" width="50.85546875" style="1" customWidth="1"/>
    <col min="5889" max="5889" width="7.5703125" style="1" customWidth="1"/>
    <col min="5890" max="5890" width="12.42578125" style="1" customWidth="1"/>
    <col min="5891" max="5891" width="14.42578125" style="1" customWidth="1"/>
    <col min="5892" max="5892" width="16.7109375" style="1" customWidth="1"/>
    <col min="5893" max="5893" width="16.5703125" style="1" customWidth="1"/>
    <col min="5894" max="5894" width="16.28515625" style="1" customWidth="1"/>
    <col min="5895" max="5895" width="16.5703125" style="1" customWidth="1"/>
    <col min="5896" max="5896" width="16.85546875" style="1" customWidth="1"/>
    <col min="5897" max="5897" width="9.140625" style="1"/>
    <col min="5898" max="5898" width="15.7109375" style="1" customWidth="1"/>
    <col min="5899" max="5900" width="9.140625" style="1"/>
    <col min="5901" max="5901" width="12.85546875" style="1" customWidth="1"/>
    <col min="5902" max="6143" width="9.140625" style="1"/>
    <col min="6144" max="6144" width="50.85546875" style="1" customWidth="1"/>
    <col min="6145" max="6145" width="7.5703125" style="1" customWidth="1"/>
    <col min="6146" max="6146" width="12.42578125" style="1" customWidth="1"/>
    <col min="6147" max="6147" width="14.42578125" style="1" customWidth="1"/>
    <col min="6148" max="6148" width="16.7109375" style="1" customWidth="1"/>
    <col min="6149" max="6149" width="16.5703125" style="1" customWidth="1"/>
    <col min="6150" max="6150" width="16.28515625" style="1" customWidth="1"/>
    <col min="6151" max="6151" width="16.5703125" style="1" customWidth="1"/>
    <col min="6152" max="6152" width="16.85546875" style="1" customWidth="1"/>
    <col min="6153" max="6153" width="9.140625" style="1"/>
    <col min="6154" max="6154" width="15.7109375" style="1" customWidth="1"/>
    <col min="6155" max="6156" width="9.140625" style="1"/>
    <col min="6157" max="6157" width="12.85546875" style="1" customWidth="1"/>
    <col min="6158" max="6399" width="9.140625" style="1"/>
    <col min="6400" max="6400" width="50.85546875" style="1" customWidth="1"/>
    <col min="6401" max="6401" width="7.5703125" style="1" customWidth="1"/>
    <col min="6402" max="6402" width="12.42578125" style="1" customWidth="1"/>
    <col min="6403" max="6403" width="14.42578125" style="1" customWidth="1"/>
    <col min="6404" max="6404" width="16.7109375" style="1" customWidth="1"/>
    <col min="6405" max="6405" width="16.5703125" style="1" customWidth="1"/>
    <col min="6406" max="6406" width="16.28515625" style="1" customWidth="1"/>
    <col min="6407" max="6407" width="16.5703125" style="1" customWidth="1"/>
    <col min="6408" max="6408" width="16.85546875" style="1" customWidth="1"/>
    <col min="6409" max="6409" width="9.140625" style="1"/>
    <col min="6410" max="6410" width="15.7109375" style="1" customWidth="1"/>
    <col min="6411" max="6412" width="9.140625" style="1"/>
    <col min="6413" max="6413" width="12.85546875" style="1" customWidth="1"/>
    <col min="6414" max="6655" width="9.140625" style="1"/>
    <col min="6656" max="6656" width="50.85546875" style="1" customWidth="1"/>
    <col min="6657" max="6657" width="7.5703125" style="1" customWidth="1"/>
    <col min="6658" max="6658" width="12.42578125" style="1" customWidth="1"/>
    <col min="6659" max="6659" width="14.42578125" style="1" customWidth="1"/>
    <col min="6660" max="6660" width="16.7109375" style="1" customWidth="1"/>
    <col min="6661" max="6661" width="16.5703125" style="1" customWidth="1"/>
    <col min="6662" max="6662" width="16.28515625" style="1" customWidth="1"/>
    <col min="6663" max="6663" width="16.5703125" style="1" customWidth="1"/>
    <col min="6664" max="6664" width="16.85546875" style="1" customWidth="1"/>
    <col min="6665" max="6665" width="9.140625" style="1"/>
    <col min="6666" max="6666" width="15.7109375" style="1" customWidth="1"/>
    <col min="6667" max="6668" width="9.140625" style="1"/>
    <col min="6669" max="6669" width="12.85546875" style="1" customWidth="1"/>
    <col min="6670" max="6911" width="9.140625" style="1"/>
    <col min="6912" max="6912" width="50.85546875" style="1" customWidth="1"/>
    <col min="6913" max="6913" width="7.5703125" style="1" customWidth="1"/>
    <col min="6914" max="6914" width="12.42578125" style="1" customWidth="1"/>
    <col min="6915" max="6915" width="14.42578125" style="1" customWidth="1"/>
    <col min="6916" max="6916" width="16.7109375" style="1" customWidth="1"/>
    <col min="6917" max="6917" width="16.5703125" style="1" customWidth="1"/>
    <col min="6918" max="6918" width="16.28515625" style="1" customWidth="1"/>
    <col min="6919" max="6919" width="16.5703125" style="1" customWidth="1"/>
    <col min="6920" max="6920" width="16.85546875" style="1" customWidth="1"/>
    <col min="6921" max="6921" width="9.140625" style="1"/>
    <col min="6922" max="6922" width="15.7109375" style="1" customWidth="1"/>
    <col min="6923" max="6924" width="9.140625" style="1"/>
    <col min="6925" max="6925" width="12.85546875" style="1" customWidth="1"/>
    <col min="6926" max="7167" width="9.140625" style="1"/>
    <col min="7168" max="7168" width="50.85546875" style="1" customWidth="1"/>
    <col min="7169" max="7169" width="7.5703125" style="1" customWidth="1"/>
    <col min="7170" max="7170" width="12.42578125" style="1" customWidth="1"/>
    <col min="7171" max="7171" width="14.42578125" style="1" customWidth="1"/>
    <col min="7172" max="7172" width="16.7109375" style="1" customWidth="1"/>
    <col min="7173" max="7173" width="16.5703125" style="1" customWidth="1"/>
    <col min="7174" max="7174" width="16.28515625" style="1" customWidth="1"/>
    <col min="7175" max="7175" width="16.5703125" style="1" customWidth="1"/>
    <col min="7176" max="7176" width="16.85546875" style="1" customWidth="1"/>
    <col min="7177" max="7177" width="9.140625" style="1"/>
    <col min="7178" max="7178" width="15.7109375" style="1" customWidth="1"/>
    <col min="7179" max="7180" width="9.140625" style="1"/>
    <col min="7181" max="7181" width="12.85546875" style="1" customWidth="1"/>
    <col min="7182" max="7423" width="9.140625" style="1"/>
    <col min="7424" max="7424" width="50.85546875" style="1" customWidth="1"/>
    <col min="7425" max="7425" width="7.5703125" style="1" customWidth="1"/>
    <col min="7426" max="7426" width="12.42578125" style="1" customWidth="1"/>
    <col min="7427" max="7427" width="14.42578125" style="1" customWidth="1"/>
    <col min="7428" max="7428" width="16.7109375" style="1" customWidth="1"/>
    <col min="7429" max="7429" width="16.5703125" style="1" customWidth="1"/>
    <col min="7430" max="7430" width="16.28515625" style="1" customWidth="1"/>
    <col min="7431" max="7431" width="16.5703125" style="1" customWidth="1"/>
    <col min="7432" max="7432" width="16.85546875" style="1" customWidth="1"/>
    <col min="7433" max="7433" width="9.140625" style="1"/>
    <col min="7434" max="7434" width="15.7109375" style="1" customWidth="1"/>
    <col min="7435" max="7436" width="9.140625" style="1"/>
    <col min="7437" max="7437" width="12.85546875" style="1" customWidth="1"/>
    <col min="7438" max="7679" width="9.140625" style="1"/>
    <col min="7680" max="7680" width="50.85546875" style="1" customWidth="1"/>
    <col min="7681" max="7681" width="7.5703125" style="1" customWidth="1"/>
    <col min="7682" max="7682" width="12.42578125" style="1" customWidth="1"/>
    <col min="7683" max="7683" width="14.42578125" style="1" customWidth="1"/>
    <col min="7684" max="7684" width="16.7109375" style="1" customWidth="1"/>
    <col min="7685" max="7685" width="16.5703125" style="1" customWidth="1"/>
    <col min="7686" max="7686" width="16.28515625" style="1" customWidth="1"/>
    <col min="7687" max="7687" width="16.5703125" style="1" customWidth="1"/>
    <col min="7688" max="7688" width="16.85546875" style="1" customWidth="1"/>
    <col min="7689" max="7689" width="9.140625" style="1"/>
    <col min="7690" max="7690" width="15.7109375" style="1" customWidth="1"/>
    <col min="7691" max="7692" width="9.140625" style="1"/>
    <col min="7693" max="7693" width="12.85546875" style="1" customWidth="1"/>
    <col min="7694" max="7935" width="9.140625" style="1"/>
    <col min="7936" max="7936" width="50.85546875" style="1" customWidth="1"/>
    <col min="7937" max="7937" width="7.5703125" style="1" customWidth="1"/>
    <col min="7938" max="7938" width="12.42578125" style="1" customWidth="1"/>
    <col min="7939" max="7939" width="14.42578125" style="1" customWidth="1"/>
    <col min="7940" max="7940" width="16.7109375" style="1" customWidth="1"/>
    <col min="7941" max="7941" width="16.5703125" style="1" customWidth="1"/>
    <col min="7942" max="7942" width="16.28515625" style="1" customWidth="1"/>
    <col min="7943" max="7943" width="16.5703125" style="1" customWidth="1"/>
    <col min="7944" max="7944" width="16.85546875" style="1" customWidth="1"/>
    <col min="7945" max="7945" width="9.140625" style="1"/>
    <col min="7946" max="7946" width="15.7109375" style="1" customWidth="1"/>
    <col min="7947" max="7948" width="9.140625" style="1"/>
    <col min="7949" max="7949" width="12.85546875" style="1" customWidth="1"/>
    <col min="7950" max="8191" width="9.140625" style="1"/>
    <col min="8192" max="8192" width="50.85546875" style="1" customWidth="1"/>
    <col min="8193" max="8193" width="7.5703125" style="1" customWidth="1"/>
    <col min="8194" max="8194" width="12.42578125" style="1" customWidth="1"/>
    <col min="8195" max="8195" width="14.42578125" style="1" customWidth="1"/>
    <col min="8196" max="8196" width="16.7109375" style="1" customWidth="1"/>
    <col min="8197" max="8197" width="16.5703125" style="1" customWidth="1"/>
    <col min="8198" max="8198" width="16.28515625" style="1" customWidth="1"/>
    <col min="8199" max="8199" width="16.5703125" style="1" customWidth="1"/>
    <col min="8200" max="8200" width="16.85546875" style="1" customWidth="1"/>
    <col min="8201" max="8201" width="9.140625" style="1"/>
    <col min="8202" max="8202" width="15.7109375" style="1" customWidth="1"/>
    <col min="8203" max="8204" width="9.140625" style="1"/>
    <col min="8205" max="8205" width="12.85546875" style="1" customWidth="1"/>
    <col min="8206" max="8447" width="9.140625" style="1"/>
    <col min="8448" max="8448" width="50.85546875" style="1" customWidth="1"/>
    <col min="8449" max="8449" width="7.5703125" style="1" customWidth="1"/>
    <col min="8450" max="8450" width="12.42578125" style="1" customWidth="1"/>
    <col min="8451" max="8451" width="14.42578125" style="1" customWidth="1"/>
    <col min="8452" max="8452" width="16.7109375" style="1" customWidth="1"/>
    <col min="8453" max="8453" width="16.5703125" style="1" customWidth="1"/>
    <col min="8454" max="8454" width="16.28515625" style="1" customWidth="1"/>
    <col min="8455" max="8455" width="16.5703125" style="1" customWidth="1"/>
    <col min="8456" max="8456" width="16.85546875" style="1" customWidth="1"/>
    <col min="8457" max="8457" width="9.140625" style="1"/>
    <col min="8458" max="8458" width="15.7109375" style="1" customWidth="1"/>
    <col min="8459" max="8460" width="9.140625" style="1"/>
    <col min="8461" max="8461" width="12.85546875" style="1" customWidth="1"/>
    <col min="8462" max="8703" width="9.140625" style="1"/>
    <col min="8704" max="8704" width="50.85546875" style="1" customWidth="1"/>
    <col min="8705" max="8705" width="7.5703125" style="1" customWidth="1"/>
    <col min="8706" max="8706" width="12.42578125" style="1" customWidth="1"/>
    <col min="8707" max="8707" width="14.42578125" style="1" customWidth="1"/>
    <col min="8708" max="8708" width="16.7109375" style="1" customWidth="1"/>
    <col min="8709" max="8709" width="16.5703125" style="1" customWidth="1"/>
    <col min="8710" max="8710" width="16.28515625" style="1" customWidth="1"/>
    <col min="8711" max="8711" width="16.5703125" style="1" customWidth="1"/>
    <col min="8712" max="8712" width="16.85546875" style="1" customWidth="1"/>
    <col min="8713" max="8713" width="9.140625" style="1"/>
    <col min="8714" max="8714" width="15.7109375" style="1" customWidth="1"/>
    <col min="8715" max="8716" width="9.140625" style="1"/>
    <col min="8717" max="8717" width="12.85546875" style="1" customWidth="1"/>
    <col min="8718" max="8959" width="9.140625" style="1"/>
    <col min="8960" max="8960" width="50.85546875" style="1" customWidth="1"/>
    <col min="8961" max="8961" width="7.5703125" style="1" customWidth="1"/>
    <col min="8962" max="8962" width="12.42578125" style="1" customWidth="1"/>
    <col min="8963" max="8963" width="14.42578125" style="1" customWidth="1"/>
    <col min="8964" max="8964" width="16.7109375" style="1" customWidth="1"/>
    <col min="8965" max="8965" width="16.5703125" style="1" customWidth="1"/>
    <col min="8966" max="8966" width="16.28515625" style="1" customWidth="1"/>
    <col min="8967" max="8967" width="16.5703125" style="1" customWidth="1"/>
    <col min="8968" max="8968" width="16.85546875" style="1" customWidth="1"/>
    <col min="8969" max="8969" width="9.140625" style="1"/>
    <col min="8970" max="8970" width="15.7109375" style="1" customWidth="1"/>
    <col min="8971" max="8972" width="9.140625" style="1"/>
    <col min="8973" max="8973" width="12.85546875" style="1" customWidth="1"/>
    <col min="8974" max="9215" width="9.140625" style="1"/>
    <col min="9216" max="9216" width="50.85546875" style="1" customWidth="1"/>
    <col min="9217" max="9217" width="7.5703125" style="1" customWidth="1"/>
    <col min="9218" max="9218" width="12.42578125" style="1" customWidth="1"/>
    <col min="9219" max="9219" width="14.42578125" style="1" customWidth="1"/>
    <col min="9220" max="9220" width="16.7109375" style="1" customWidth="1"/>
    <col min="9221" max="9221" width="16.5703125" style="1" customWidth="1"/>
    <col min="9222" max="9222" width="16.28515625" style="1" customWidth="1"/>
    <col min="9223" max="9223" width="16.5703125" style="1" customWidth="1"/>
    <col min="9224" max="9224" width="16.85546875" style="1" customWidth="1"/>
    <col min="9225" max="9225" width="9.140625" style="1"/>
    <col min="9226" max="9226" width="15.7109375" style="1" customWidth="1"/>
    <col min="9227" max="9228" width="9.140625" style="1"/>
    <col min="9229" max="9229" width="12.85546875" style="1" customWidth="1"/>
    <col min="9230" max="9471" width="9.140625" style="1"/>
    <col min="9472" max="9472" width="50.85546875" style="1" customWidth="1"/>
    <col min="9473" max="9473" width="7.5703125" style="1" customWidth="1"/>
    <col min="9474" max="9474" width="12.42578125" style="1" customWidth="1"/>
    <col min="9475" max="9475" width="14.42578125" style="1" customWidth="1"/>
    <col min="9476" max="9476" width="16.7109375" style="1" customWidth="1"/>
    <col min="9477" max="9477" width="16.5703125" style="1" customWidth="1"/>
    <col min="9478" max="9478" width="16.28515625" style="1" customWidth="1"/>
    <col min="9479" max="9479" width="16.5703125" style="1" customWidth="1"/>
    <col min="9480" max="9480" width="16.85546875" style="1" customWidth="1"/>
    <col min="9481" max="9481" width="9.140625" style="1"/>
    <col min="9482" max="9482" width="15.7109375" style="1" customWidth="1"/>
    <col min="9483" max="9484" width="9.140625" style="1"/>
    <col min="9485" max="9485" width="12.85546875" style="1" customWidth="1"/>
    <col min="9486" max="9727" width="9.140625" style="1"/>
    <col min="9728" max="9728" width="50.85546875" style="1" customWidth="1"/>
    <col min="9729" max="9729" width="7.5703125" style="1" customWidth="1"/>
    <col min="9730" max="9730" width="12.42578125" style="1" customWidth="1"/>
    <col min="9731" max="9731" width="14.42578125" style="1" customWidth="1"/>
    <col min="9732" max="9732" width="16.7109375" style="1" customWidth="1"/>
    <col min="9733" max="9733" width="16.5703125" style="1" customWidth="1"/>
    <col min="9734" max="9734" width="16.28515625" style="1" customWidth="1"/>
    <col min="9735" max="9735" width="16.5703125" style="1" customWidth="1"/>
    <col min="9736" max="9736" width="16.85546875" style="1" customWidth="1"/>
    <col min="9737" max="9737" width="9.140625" style="1"/>
    <col min="9738" max="9738" width="15.7109375" style="1" customWidth="1"/>
    <col min="9739" max="9740" width="9.140625" style="1"/>
    <col min="9741" max="9741" width="12.85546875" style="1" customWidth="1"/>
    <col min="9742" max="9983" width="9.140625" style="1"/>
    <col min="9984" max="9984" width="50.85546875" style="1" customWidth="1"/>
    <col min="9985" max="9985" width="7.5703125" style="1" customWidth="1"/>
    <col min="9986" max="9986" width="12.42578125" style="1" customWidth="1"/>
    <col min="9987" max="9987" width="14.42578125" style="1" customWidth="1"/>
    <col min="9988" max="9988" width="16.7109375" style="1" customWidth="1"/>
    <col min="9989" max="9989" width="16.5703125" style="1" customWidth="1"/>
    <col min="9990" max="9990" width="16.28515625" style="1" customWidth="1"/>
    <col min="9991" max="9991" width="16.5703125" style="1" customWidth="1"/>
    <col min="9992" max="9992" width="16.85546875" style="1" customWidth="1"/>
    <col min="9993" max="9993" width="9.140625" style="1"/>
    <col min="9994" max="9994" width="15.7109375" style="1" customWidth="1"/>
    <col min="9995" max="9996" width="9.140625" style="1"/>
    <col min="9997" max="9997" width="12.85546875" style="1" customWidth="1"/>
    <col min="9998" max="10239" width="9.140625" style="1"/>
    <col min="10240" max="10240" width="50.85546875" style="1" customWidth="1"/>
    <col min="10241" max="10241" width="7.5703125" style="1" customWidth="1"/>
    <col min="10242" max="10242" width="12.42578125" style="1" customWidth="1"/>
    <col min="10243" max="10243" width="14.42578125" style="1" customWidth="1"/>
    <col min="10244" max="10244" width="16.7109375" style="1" customWidth="1"/>
    <col min="10245" max="10245" width="16.5703125" style="1" customWidth="1"/>
    <col min="10246" max="10246" width="16.28515625" style="1" customWidth="1"/>
    <col min="10247" max="10247" width="16.5703125" style="1" customWidth="1"/>
    <col min="10248" max="10248" width="16.85546875" style="1" customWidth="1"/>
    <col min="10249" max="10249" width="9.140625" style="1"/>
    <col min="10250" max="10250" width="15.7109375" style="1" customWidth="1"/>
    <col min="10251" max="10252" width="9.140625" style="1"/>
    <col min="10253" max="10253" width="12.85546875" style="1" customWidth="1"/>
    <col min="10254" max="10495" width="9.140625" style="1"/>
    <col min="10496" max="10496" width="50.85546875" style="1" customWidth="1"/>
    <col min="10497" max="10497" width="7.5703125" style="1" customWidth="1"/>
    <col min="10498" max="10498" width="12.42578125" style="1" customWidth="1"/>
    <col min="10499" max="10499" width="14.42578125" style="1" customWidth="1"/>
    <col min="10500" max="10500" width="16.7109375" style="1" customWidth="1"/>
    <col min="10501" max="10501" width="16.5703125" style="1" customWidth="1"/>
    <col min="10502" max="10502" width="16.28515625" style="1" customWidth="1"/>
    <col min="10503" max="10503" width="16.5703125" style="1" customWidth="1"/>
    <col min="10504" max="10504" width="16.85546875" style="1" customWidth="1"/>
    <col min="10505" max="10505" width="9.140625" style="1"/>
    <col min="10506" max="10506" width="15.7109375" style="1" customWidth="1"/>
    <col min="10507" max="10508" width="9.140625" style="1"/>
    <col min="10509" max="10509" width="12.85546875" style="1" customWidth="1"/>
    <col min="10510" max="10751" width="9.140625" style="1"/>
    <col min="10752" max="10752" width="50.85546875" style="1" customWidth="1"/>
    <col min="10753" max="10753" width="7.5703125" style="1" customWidth="1"/>
    <col min="10754" max="10754" width="12.42578125" style="1" customWidth="1"/>
    <col min="10755" max="10755" width="14.42578125" style="1" customWidth="1"/>
    <col min="10756" max="10756" width="16.7109375" style="1" customWidth="1"/>
    <col min="10757" max="10757" width="16.5703125" style="1" customWidth="1"/>
    <col min="10758" max="10758" width="16.28515625" style="1" customWidth="1"/>
    <col min="10759" max="10759" width="16.5703125" style="1" customWidth="1"/>
    <col min="10760" max="10760" width="16.85546875" style="1" customWidth="1"/>
    <col min="10761" max="10761" width="9.140625" style="1"/>
    <col min="10762" max="10762" width="15.7109375" style="1" customWidth="1"/>
    <col min="10763" max="10764" width="9.140625" style="1"/>
    <col min="10765" max="10765" width="12.85546875" style="1" customWidth="1"/>
    <col min="10766" max="11007" width="9.140625" style="1"/>
    <col min="11008" max="11008" width="50.85546875" style="1" customWidth="1"/>
    <col min="11009" max="11009" width="7.5703125" style="1" customWidth="1"/>
    <col min="11010" max="11010" width="12.42578125" style="1" customWidth="1"/>
    <col min="11011" max="11011" width="14.42578125" style="1" customWidth="1"/>
    <col min="11012" max="11012" width="16.7109375" style="1" customWidth="1"/>
    <col min="11013" max="11013" width="16.5703125" style="1" customWidth="1"/>
    <col min="11014" max="11014" width="16.28515625" style="1" customWidth="1"/>
    <col min="11015" max="11015" width="16.5703125" style="1" customWidth="1"/>
    <col min="11016" max="11016" width="16.85546875" style="1" customWidth="1"/>
    <col min="11017" max="11017" width="9.140625" style="1"/>
    <col min="11018" max="11018" width="15.7109375" style="1" customWidth="1"/>
    <col min="11019" max="11020" width="9.140625" style="1"/>
    <col min="11021" max="11021" width="12.85546875" style="1" customWidth="1"/>
    <col min="11022" max="11263" width="9.140625" style="1"/>
    <col min="11264" max="11264" width="50.85546875" style="1" customWidth="1"/>
    <col min="11265" max="11265" width="7.5703125" style="1" customWidth="1"/>
    <col min="11266" max="11266" width="12.42578125" style="1" customWidth="1"/>
    <col min="11267" max="11267" width="14.42578125" style="1" customWidth="1"/>
    <col min="11268" max="11268" width="16.7109375" style="1" customWidth="1"/>
    <col min="11269" max="11269" width="16.5703125" style="1" customWidth="1"/>
    <col min="11270" max="11270" width="16.28515625" style="1" customWidth="1"/>
    <col min="11271" max="11271" width="16.5703125" style="1" customWidth="1"/>
    <col min="11272" max="11272" width="16.85546875" style="1" customWidth="1"/>
    <col min="11273" max="11273" width="9.140625" style="1"/>
    <col min="11274" max="11274" width="15.7109375" style="1" customWidth="1"/>
    <col min="11275" max="11276" width="9.140625" style="1"/>
    <col min="11277" max="11277" width="12.85546875" style="1" customWidth="1"/>
    <col min="11278" max="11519" width="9.140625" style="1"/>
    <col min="11520" max="11520" width="50.85546875" style="1" customWidth="1"/>
    <col min="11521" max="11521" width="7.5703125" style="1" customWidth="1"/>
    <col min="11522" max="11522" width="12.42578125" style="1" customWidth="1"/>
    <col min="11523" max="11523" width="14.42578125" style="1" customWidth="1"/>
    <col min="11524" max="11524" width="16.7109375" style="1" customWidth="1"/>
    <col min="11525" max="11525" width="16.5703125" style="1" customWidth="1"/>
    <col min="11526" max="11526" width="16.28515625" style="1" customWidth="1"/>
    <col min="11527" max="11527" width="16.5703125" style="1" customWidth="1"/>
    <col min="11528" max="11528" width="16.85546875" style="1" customWidth="1"/>
    <col min="11529" max="11529" width="9.140625" style="1"/>
    <col min="11530" max="11530" width="15.7109375" style="1" customWidth="1"/>
    <col min="11531" max="11532" width="9.140625" style="1"/>
    <col min="11533" max="11533" width="12.85546875" style="1" customWidth="1"/>
    <col min="11534" max="11775" width="9.140625" style="1"/>
    <col min="11776" max="11776" width="50.85546875" style="1" customWidth="1"/>
    <col min="11777" max="11777" width="7.5703125" style="1" customWidth="1"/>
    <col min="11778" max="11778" width="12.42578125" style="1" customWidth="1"/>
    <col min="11779" max="11779" width="14.42578125" style="1" customWidth="1"/>
    <col min="11780" max="11780" width="16.7109375" style="1" customWidth="1"/>
    <col min="11781" max="11781" width="16.5703125" style="1" customWidth="1"/>
    <col min="11782" max="11782" width="16.28515625" style="1" customWidth="1"/>
    <col min="11783" max="11783" width="16.5703125" style="1" customWidth="1"/>
    <col min="11784" max="11784" width="16.85546875" style="1" customWidth="1"/>
    <col min="11785" max="11785" width="9.140625" style="1"/>
    <col min="11786" max="11786" width="15.7109375" style="1" customWidth="1"/>
    <col min="11787" max="11788" width="9.140625" style="1"/>
    <col min="11789" max="11789" width="12.85546875" style="1" customWidth="1"/>
    <col min="11790" max="12031" width="9.140625" style="1"/>
    <col min="12032" max="12032" width="50.85546875" style="1" customWidth="1"/>
    <col min="12033" max="12033" width="7.5703125" style="1" customWidth="1"/>
    <col min="12034" max="12034" width="12.42578125" style="1" customWidth="1"/>
    <col min="12035" max="12035" width="14.42578125" style="1" customWidth="1"/>
    <col min="12036" max="12036" width="16.7109375" style="1" customWidth="1"/>
    <col min="12037" max="12037" width="16.5703125" style="1" customWidth="1"/>
    <col min="12038" max="12038" width="16.28515625" style="1" customWidth="1"/>
    <col min="12039" max="12039" width="16.5703125" style="1" customWidth="1"/>
    <col min="12040" max="12040" width="16.85546875" style="1" customWidth="1"/>
    <col min="12041" max="12041" width="9.140625" style="1"/>
    <col min="12042" max="12042" width="15.7109375" style="1" customWidth="1"/>
    <col min="12043" max="12044" width="9.140625" style="1"/>
    <col min="12045" max="12045" width="12.85546875" style="1" customWidth="1"/>
    <col min="12046" max="12287" width="9.140625" style="1"/>
    <col min="12288" max="12288" width="50.85546875" style="1" customWidth="1"/>
    <col min="12289" max="12289" width="7.5703125" style="1" customWidth="1"/>
    <col min="12290" max="12290" width="12.42578125" style="1" customWidth="1"/>
    <col min="12291" max="12291" width="14.42578125" style="1" customWidth="1"/>
    <col min="12292" max="12292" width="16.7109375" style="1" customWidth="1"/>
    <col min="12293" max="12293" width="16.5703125" style="1" customWidth="1"/>
    <col min="12294" max="12294" width="16.28515625" style="1" customWidth="1"/>
    <col min="12295" max="12295" width="16.5703125" style="1" customWidth="1"/>
    <col min="12296" max="12296" width="16.85546875" style="1" customWidth="1"/>
    <col min="12297" max="12297" width="9.140625" style="1"/>
    <col min="12298" max="12298" width="15.7109375" style="1" customWidth="1"/>
    <col min="12299" max="12300" width="9.140625" style="1"/>
    <col min="12301" max="12301" width="12.85546875" style="1" customWidth="1"/>
    <col min="12302" max="12543" width="9.140625" style="1"/>
    <col min="12544" max="12544" width="50.85546875" style="1" customWidth="1"/>
    <col min="12545" max="12545" width="7.5703125" style="1" customWidth="1"/>
    <col min="12546" max="12546" width="12.42578125" style="1" customWidth="1"/>
    <col min="12547" max="12547" width="14.42578125" style="1" customWidth="1"/>
    <col min="12548" max="12548" width="16.7109375" style="1" customWidth="1"/>
    <col min="12549" max="12549" width="16.5703125" style="1" customWidth="1"/>
    <col min="12550" max="12550" width="16.28515625" style="1" customWidth="1"/>
    <col min="12551" max="12551" width="16.5703125" style="1" customWidth="1"/>
    <col min="12552" max="12552" width="16.85546875" style="1" customWidth="1"/>
    <col min="12553" max="12553" width="9.140625" style="1"/>
    <col min="12554" max="12554" width="15.7109375" style="1" customWidth="1"/>
    <col min="12555" max="12556" width="9.140625" style="1"/>
    <col min="12557" max="12557" width="12.85546875" style="1" customWidth="1"/>
    <col min="12558" max="12799" width="9.140625" style="1"/>
    <col min="12800" max="12800" width="50.85546875" style="1" customWidth="1"/>
    <col min="12801" max="12801" width="7.5703125" style="1" customWidth="1"/>
    <col min="12802" max="12802" width="12.42578125" style="1" customWidth="1"/>
    <col min="12803" max="12803" width="14.42578125" style="1" customWidth="1"/>
    <col min="12804" max="12804" width="16.7109375" style="1" customWidth="1"/>
    <col min="12805" max="12805" width="16.5703125" style="1" customWidth="1"/>
    <col min="12806" max="12806" width="16.28515625" style="1" customWidth="1"/>
    <col min="12807" max="12807" width="16.5703125" style="1" customWidth="1"/>
    <col min="12808" max="12808" width="16.85546875" style="1" customWidth="1"/>
    <col min="12809" max="12809" width="9.140625" style="1"/>
    <col min="12810" max="12810" width="15.7109375" style="1" customWidth="1"/>
    <col min="12811" max="12812" width="9.140625" style="1"/>
    <col min="12813" max="12813" width="12.85546875" style="1" customWidth="1"/>
    <col min="12814" max="13055" width="9.140625" style="1"/>
    <col min="13056" max="13056" width="50.85546875" style="1" customWidth="1"/>
    <col min="13057" max="13057" width="7.5703125" style="1" customWidth="1"/>
    <col min="13058" max="13058" width="12.42578125" style="1" customWidth="1"/>
    <col min="13059" max="13059" width="14.42578125" style="1" customWidth="1"/>
    <col min="13060" max="13060" width="16.7109375" style="1" customWidth="1"/>
    <col min="13061" max="13061" width="16.5703125" style="1" customWidth="1"/>
    <col min="13062" max="13062" width="16.28515625" style="1" customWidth="1"/>
    <col min="13063" max="13063" width="16.5703125" style="1" customWidth="1"/>
    <col min="13064" max="13064" width="16.85546875" style="1" customWidth="1"/>
    <col min="13065" max="13065" width="9.140625" style="1"/>
    <col min="13066" max="13066" width="15.7109375" style="1" customWidth="1"/>
    <col min="13067" max="13068" width="9.140625" style="1"/>
    <col min="13069" max="13069" width="12.85546875" style="1" customWidth="1"/>
    <col min="13070" max="13311" width="9.140625" style="1"/>
    <col min="13312" max="13312" width="50.85546875" style="1" customWidth="1"/>
    <col min="13313" max="13313" width="7.5703125" style="1" customWidth="1"/>
    <col min="13314" max="13314" width="12.42578125" style="1" customWidth="1"/>
    <col min="13315" max="13315" width="14.42578125" style="1" customWidth="1"/>
    <col min="13316" max="13316" width="16.7109375" style="1" customWidth="1"/>
    <col min="13317" max="13317" width="16.5703125" style="1" customWidth="1"/>
    <col min="13318" max="13318" width="16.28515625" style="1" customWidth="1"/>
    <col min="13319" max="13319" width="16.5703125" style="1" customWidth="1"/>
    <col min="13320" max="13320" width="16.85546875" style="1" customWidth="1"/>
    <col min="13321" max="13321" width="9.140625" style="1"/>
    <col min="13322" max="13322" width="15.7109375" style="1" customWidth="1"/>
    <col min="13323" max="13324" width="9.140625" style="1"/>
    <col min="13325" max="13325" width="12.85546875" style="1" customWidth="1"/>
    <col min="13326" max="13567" width="9.140625" style="1"/>
    <col min="13568" max="13568" width="50.85546875" style="1" customWidth="1"/>
    <col min="13569" max="13569" width="7.5703125" style="1" customWidth="1"/>
    <col min="13570" max="13570" width="12.42578125" style="1" customWidth="1"/>
    <col min="13571" max="13571" width="14.42578125" style="1" customWidth="1"/>
    <col min="13572" max="13572" width="16.7109375" style="1" customWidth="1"/>
    <col min="13573" max="13573" width="16.5703125" style="1" customWidth="1"/>
    <col min="13574" max="13574" width="16.28515625" style="1" customWidth="1"/>
    <col min="13575" max="13575" width="16.5703125" style="1" customWidth="1"/>
    <col min="13576" max="13576" width="16.85546875" style="1" customWidth="1"/>
    <col min="13577" max="13577" width="9.140625" style="1"/>
    <col min="13578" max="13578" width="15.7109375" style="1" customWidth="1"/>
    <col min="13579" max="13580" width="9.140625" style="1"/>
    <col min="13581" max="13581" width="12.85546875" style="1" customWidth="1"/>
    <col min="13582" max="13823" width="9.140625" style="1"/>
    <col min="13824" max="13824" width="50.85546875" style="1" customWidth="1"/>
    <col min="13825" max="13825" width="7.5703125" style="1" customWidth="1"/>
    <col min="13826" max="13826" width="12.42578125" style="1" customWidth="1"/>
    <col min="13827" max="13827" width="14.42578125" style="1" customWidth="1"/>
    <col min="13828" max="13828" width="16.7109375" style="1" customWidth="1"/>
    <col min="13829" max="13829" width="16.5703125" style="1" customWidth="1"/>
    <col min="13830" max="13830" width="16.28515625" style="1" customWidth="1"/>
    <col min="13831" max="13831" width="16.5703125" style="1" customWidth="1"/>
    <col min="13832" max="13832" width="16.85546875" style="1" customWidth="1"/>
    <col min="13833" max="13833" width="9.140625" style="1"/>
    <col min="13834" max="13834" width="15.7109375" style="1" customWidth="1"/>
    <col min="13835" max="13836" width="9.140625" style="1"/>
    <col min="13837" max="13837" width="12.85546875" style="1" customWidth="1"/>
    <col min="13838" max="14079" width="9.140625" style="1"/>
    <col min="14080" max="14080" width="50.85546875" style="1" customWidth="1"/>
    <col min="14081" max="14081" width="7.5703125" style="1" customWidth="1"/>
    <col min="14082" max="14082" width="12.42578125" style="1" customWidth="1"/>
    <col min="14083" max="14083" width="14.42578125" style="1" customWidth="1"/>
    <col min="14084" max="14084" width="16.7109375" style="1" customWidth="1"/>
    <col min="14085" max="14085" width="16.5703125" style="1" customWidth="1"/>
    <col min="14086" max="14086" width="16.28515625" style="1" customWidth="1"/>
    <col min="14087" max="14087" width="16.5703125" style="1" customWidth="1"/>
    <col min="14088" max="14088" width="16.85546875" style="1" customWidth="1"/>
    <col min="14089" max="14089" width="9.140625" style="1"/>
    <col min="14090" max="14090" width="15.7109375" style="1" customWidth="1"/>
    <col min="14091" max="14092" width="9.140625" style="1"/>
    <col min="14093" max="14093" width="12.85546875" style="1" customWidth="1"/>
    <col min="14094" max="14335" width="9.140625" style="1"/>
    <col min="14336" max="14336" width="50.85546875" style="1" customWidth="1"/>
    <col min="14337" max="14337" width="7.5703125" style="1" customWidth="1"/>
    <col min="14338" max="14338" width="12.42578125" style="1" customWidth="1"/>
    <col min="14339" max="14339" width="14.42578125" style="1" customWidth="1"/>
    <col min="14340" max="14340" width="16.7109375" style="1" customWidth="1"/>
    <col min="14341" max="14341" width="16.5703125" style="1" customWidth="1"/>
    <col min="14342" max="14342" width="16.28515625" style="1" customWidth="1"/>
    <col min="14343" max="14343" width="16.5703125" style="1" customWidth="1"/>
    <col min="14344" max="14344" width="16.85546875" style="1" customWidth="1"/>
    <col min="14345" max="14345" width="9.140625" style="1"/>
    <col min="14346" max="14346" width="15.7109375" style="1" customWidth="1"/>
    <col min="14347" max="14348" width="9.140625" style="1"/>
    <col min="14349" max="14349" width="12.85546875" style="1" customWidth="1"/>
    <col min="14350" max="14591" width="9.140625" style="1"/>
    <col min="14592" max="14592" width="50.85546875" style="1" customWidth="1"/>
    <col min="14593" max="14593" width="7.5703125" style="1" customWidth="1"/>
    <col min="14594" max="14594" width="12.42578125" style="1" customWidth="1"/>
    <col min="14595" max="14595" width="14.42578125" style="1" customWidth="1"/>
    <col min="14596" max="14596" width="16.7109375" style="1" customWidth="1"/>
    <col min="14597" max="14597" width="16.5703125" style="1" customWidth="1"/>
    <col min="14598" max="14598" width="16.28515625" style="1" customWidth="1"/>
    <col min="14599" max="14599" width="16.5703125" style="1" customWidth="1"/>
    <col min="14600" max="14600" width="16.85546875" style="1" customWidth="1"/>
    <col min="14601" max="14601" width="9.140625" style="1"/>
    <col min="14602" max="14602" width="15.7109375" style="1" customWidth="1"/>
    <col min="14603" max="14604" width="9.140625" style="1"/>
    <col min="14605" max="14605" width="12.85546875" style="1" customWidth="1"/>
    <col min="14606" max="14847" width="9.140625" style="1"/>
    <col min="14848" max="14848" width="50.85546875" style="1" customWidth="1"/>
    <col min="14849" max="14849" width="7.5703125" style="1" customWidth="1"/>
    <col min="14850" max="14850" width="12.42578125" style="1" customWidth="1"/>
    <col min="14851" max="14851" width="14.42578125" style="1" customWidth="1"/>
    <col min="14852" max="14852" width="16.7109375" style="1" customWidth="1"/>
    <col min="14853" max="14853" width="16.5703125" style="1" customWidth="1"/>
    <col min="14854" max="14854" width="16.28515625" style="1" customWidth="1"/>
    <col min="14855" max="14855" width="16.5703125" style="1" customWidth="1"/>
    <col min="14856" max="14856" width="16.85546875" style="1" customWidth="1"/>
    <col min="14857" max="14857" width="9.140625" style="1"/>
    <col min="14858" max="14858" width="15.7109375" style="1" customWidth="1"/>
    <col min="14859" max="14860" width="9.140625" style="1"/>
    <col min="14861" max="14861" width="12.85546875" style="1" customWidth="1"/>
    <col min="14862" max="15103" width="9.140625" style="1"/>
    <col min="15104" max="15104" width="50.85546875" style="1" customWidth="1"/>
    <col min="15105" max="15105" width="7.5703125" style="1" customWidth="1"/>
    <col min="15106" max="15106" width="12.42578125" style="1" customWidth="1"/>
    <col min="15107" max="15107" width="14.42578125" style="1" customWidth="1"/>
    <col min="15108" max="15108" width="16.7109375" style="1" customWidth="1"/>
    <col min="15109" max="15109" width="16.5703125" style="1" customWidth="1"/>
    <col min="15110" max="15110" width="16.28515625" style="1" customWidth="1"/>
    <col min="15111" max="15111" width="16.5703125" style="1" customWidth="1"/>
    <col min="15112" max="15112" width="16.85546875" style="1" customWidth="1"/>
    <col min="15113" max="15113" width="9.140625" style="1"/>
    <col min="15114" max="15114" width="15.7109375" style="1" customWidth="1"/>
    <col min="15115" max="15116" width="9.140625" style="1"/>
    <col min="15117" max="15117" width="12.85546875" style="1" customWidth="1"/>
    <col min="15118" max="15359" width="9.140625" style="1"/>
    <col min="15360" max="15360" width="50.85546875" style="1" customWidth="1"/>
    <col min="15361" max="15361" width="7.5703125" style="1" customWidth="1"/>
    <col min="15362" max="15362" width="12.42578125" style="1" customWidth="1"/>
    <col min="15363" max="15363" width="14.42578125" style="1" customWidth="1"/>
    <col min="15364" max="15364" width="16.7109375" style="1" customWidth="1"/>
    <col min="15365" max="15365" width="16.5703125" style="1" customWidth="1"/>
    <col min="15366" max="15366" width="16.28515625" style="1" customWidth="1"/>
    <col min="15367" max="15367" width="16.5703125" style="1" customWidth="1"/>
    <col min="15368" max="15368" width="16.85546875" style="1" customWidth="1"/>
    <col min="15369" max="15369" width="9.140625" style="1"/>
    <col min="15370" max="15370" width="15.7109375" style="1" customWidth="1"/>
    <col min="15371" max="15372" width="9.140625" style="1"/>
    <col min="15373" max="15373" width="12.85546875" style="1" customWidth="1"/>
    <col min="15374" max="15615" width="9.140625" style="1"/>
    <col min="15616" max="15616" width="50.85546875" style="1" customWidth="1"/>
    <col min="15617" max="15617" width="7.5703125" style="1" customWidth="1"/>
    <col min="15618" max="15618" width="12.42578125" style="1" customWidth="1"/>
    <col min="15619" max="15619" width="14.42578125" style="1" customWidth="1"/>
    <col min="15620" max="15620" width="16.7109375" style="1" customWidth="1"/>
    <col min="15621" max="15621" width="16.5703125" style="1" customWidth="1"/>
    <col min="15622" max="15622" width="16.28515625" style="1" customWidth="1"/>
    <col min="15623" max="15623" width="16.5703125" style="1" customWidth="1"/>
    <col min="15624" max="15624" width="16.85546875" style="1" customWidth="1"/>
    <col min="15625" max="15625" width="9.140625" style="1"/>
    <col min="15626" max="15626" width="15.7109375" style="1" customWidth="1"/>
    <col min="15627" max="15628" width="9.140625" style="1"/>
    <col min="15629" max="15629" width="12.85546875" style="1" customWidth="1"/>
    <col min="15630" max="15871" width="9.140625" style="1"/>
    <col min="15872" max="15872" width="50.85546875" style="1" customWidth="1"/>
    <col min="15873" max="15873" width="7.5703125" style="1" customWidth="1"/>
    <col min="15874" max="15874" width="12.42578125" style="1" customWidth="1"/>
    <col min="15875" max="15875" width="14.42578125" style="1" customWidth="1"/>
    <col min="15876" max="15876" width="16.7109375" style="1" customWidth="1"/>
    <col min="15877" max="15877" width="16.5703125" style="1" customWidth="1"/>
    <col min="15878" max="15878" width="16.28515625" style="1" customWidth="1"/>
    <col min="15879" max="15879" width="16.5703125" style="1" customWidth="1"/>
    <col min="15880" max="15880" width="16.85546875" style="1" customWidth="1"/>
    <col min="15881" max="15881" width="9.140625" style="1"/>
    <col min="15882" max="15882" width="15.7109375" style="1" customWidth="1"/>
    <col min="15883" max="15884" width="9.140625" style="1"/>
    <col min="15885" max="15885" width="12.85546875" style="1" customWidth="1"/>
    <col min="15886" max="16127" width="9.140625" style="1"/>
    <col min="16128" max="16128" width="50.85546875" style="1" customWidth="1"/>
    <col min="16129" max="16129" width="7.5703125" style="1" customWidth="1"/>
    <col min="16130" max="16130" width="12.42578125" style="1" customWidth="1"/>
    <col min="16131" max="16131" width="14.42578125" style="1" customWidth="1"/>
    <col min="16132" max="16132" width="16.7109375" style="1" customWidth="1"/>
    <col min="16133" max="16133" width="16.5703125" style="1" customWidth="1"/>
    <col min="16134" max="16134" width="16.28515625" style="1" customWidth="1"/>
    <col min="16135" max="16135" width="16.5703125" style="1" customWidth="1"/>
    <col min="16136" max="16136" width="16.85546875" style="1" customWidth="1"/>
    <col min="16137" max="16137" width="9.140625" style="1"/>
    <col min="16138" max="16138" width="15.7109375" style="1" customWidth="1"/>
    <col min="16139" max="16140" width="9.140625" style="1"/>
    <col min="16141" max="16141" width="12.85546875" style="1" customWidth="1"/>
    <col min="16142" max="16384" width="9.140625" style="1"/>
  </cols>
  <sheetData>
    <row r="1" spans="1:15" s="5" customFormat="1" ht="15" customHeight="1" x14ac:dyDescent="0.25">
      <c r="A1" s="88" t="s">
        <v>154</v>
      </c>
      <c r="B1" s="89"/>
      <c r="C1" s="89"/>
      <c r="D1" s="89"/>
      <c r="E1" s="89"/>
      <c r="F1" s="89"/>
      <c r="G1" s="89"/>
      <c r="H1" s="89"/>
      <c r="I1" s="89"/>
      <c r="J1" s="89"/>
      <c r="K1" s="90"/>
      <c r="L1" s="3" t="s">
        <v>2</v>
      </c>
    </row>
    <row r="2" spans="1:15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2"/>
      <c r="J2" s="92"/>
      <c r="K2" s="93"/>
      <c r="L2" s="45" t="s">
        <v>88</v>
      </c>
    </row>
    <row r="3" spans="1:15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94"/>
      <c r="G3" s="87"/>
      <c r="H3" s="86" t="s">
        <v>34</v>
      </c>
      <c r="I3" s="87"/>
      <c r="J3" s="78"/>
      <c r="K3" s="46" t="s">
        <v>35</v>
      </c>
      <c r="L3" s="46" t="s">
        <v>45</v>
      </c>
    </row>
    <row r="4" spans="1:15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95"/>
      <c r="G4" s="85"/>
      <c r="H4" s="84"/>
      <c r="I4" s="85"/>
      <c r="J4" s="80"/>
      <c r="K4" s="47">
        <v>45035</v>
      </c>
      <c r="L4" s="47" t="s">
        <v>79</v>
      </c>
    </row>
    <row r="5" spans="1:15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94"/>
      <c r="G5" s="87"/>
      <c r="H5" s="46" t="s">
        <v>39</v>
      </c>
      <c r="I5" s="133" t="s">
        <v>40</v>
      </c>
      <c r="J5" s="134"/>
      <c r="K5" s="86" t="s">
        <v>41</v>
      </c>
      <c r="L5" s="87"/>
    </row>
    <row r="6" spans="1:15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32"/>
      <c r="G6" s="115"/>
      <c r="H6" s="47">
        <v>45035</v>
      </c>
      <c r="I6" s="135" t="s">
        <v>82</v>
      </c>
      <c r="J6" s="136"/>
      <c r="K6" s="116">
        <v>46035</v>
      </c>
      <c r="L6" s="117"/>
    </row>
    <row r="7" spans="1:15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133" t="s">
        <v>43</v>
      </c>
      <c r="G7" s="134"/>
      <c r="H7" s="133" t="s">
        <v>5</v>
      </c>
      <c r="I7" s="142"/>
      <c r="J7" s="134"/>
      <c r="K7" s="118" t="s">
        <v>6</v>
      </c>
      <c r="L7" s="119"/>
      <c r="M7" s="70">
        <f>F8/M8</f>
        <v>0.86539999999999995</v>
      </c>
    </row>
    <row r="8" spans="1:15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137">
        <v>9562787.7799999993</v>
      </c>
      <c r="G8" s="138"/>
      <c r="H8" s="139">
        <f>'BM 02.Aditivo'!$K$28</f>
        <v>419995.01</v>
      </c>
      <c r="I8" s="140"/>
      <c r="J8" s="141"/>
      <c r="K8" s="116" t="s">
        <v>161</v>
      </c>
      <c r="L8" s="117"/>
      <c r="M8" s="71">
        <v>11050541.890000001</v>
      </c>
    </row>
    <row r="9" spans="1:15" s="5" customFormat="1" ht="7.5" customHeight="1" x14ac:dyDescent="0.25">
      <c r="A9" s="4"/>
      <c r="E9" s="1"/>
      <c r="F9" s="1"/>
      <c r="L9" s="2"/>
    </row>
    <row r="10" spans="1:15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6"/>
      <c r="I10" s="97" t="s">
        <v>7</v>
      </c>
      <c r="J10" s="96"/>
      <c r="K10" s="96"/>
      <c r="L10" s="98"/>
    </row>
    <row r="11" spans="1:15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9"/>
      <c r="G11" s="11" t="s">
        <v>11</v>
      </c>
      <c r="H11" s="42" t="s">
        <v>12</v>
      </c>
      <c r="I11" s="10"/>
      <c r="J11" s="10"/>
      <c r="K11" s="11" t="s">
        <v>30</v>
      </c>
      <c r="L11" s="11" t="s">
        <v>13</v>
      </c>
    </row>
    <row r="12" spans="1:15" s="5" customFormat="1" x14ac:dyDescent="0.25">
      <c r="A12" s="99"/>
      <c r="B12" s="100"/>
      <c r="C12" s="101"/>
      <c r="D12" s="102"/>
      <c r="E12" s="9" t="s">
        <v>155</v>
      </c>
      <c r="F12" s="9" t="s">
        <v>160</v>
      </c>
      <c r="G12" s="11" t="s">
        <v>15</v>
      </c>
      <c r="H12" s="42" t="s">
        <v>16</v>
      </c>
      <c r="I12" s="10" t="s">
        <v>14</v>
      </c>
      <c r="J12" s="9" t="s">
        <v>160</v>
      </c>
      <c r="K12" s="11" t="s">
        <v>15</v>
      </c>
      <c r="L12" s="11" t="s">
        <v>17</v>
      </c>
    </row>
    <row r="13" spans="1:15" s="5" customFormat="1" x14ac:dyDescent="0.25">
      <c r="A13" s="12"/>
      <c r="B13" s="11"/>
      <c r="C13" s="43"/>
      <c r="D13" s="27"/>
      <c r="E13" s="9" t="s">
        <v>156</v>
      </c>
      <c r="F13" s="9"/>
      <c r="G13" s="11" t="s">
        <v>18</v>
      </c>
      <c r="H13" s="42" t="s">
        <v>18</v>
      </c>
      <c r="I13" s="13"/>
      <c r="J13" s="13"/>
      <c r="K13" s="13" t="s">
        <v>6</v>
      </c>
      <c r="L13" s="13" t="s">
        <v>18</v>
      </c>
    </row>
    <row r="14" spans="1:15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6"/>
      <c r="H14" s="37"/>
      <c r="I14" s="38">
        <f>SUM(I15:I19)</f>
        <v>589723.16</v>
      </c>
      <c r="J14" s="38">
        <f>SUM(J15:J19)</f>
        <v>609924.03</v>
      </c>
      <c r="K14" s="38">
        <f>SUM(K15:K19)</f>
        <v>124290.47</v>
      </c>
      <c r="L14" s="38">
        <f>SUM(L15:L19)</f>
        <v>609924.03</v>
      </c>
    </row>
    <row r="15" spans="1:15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10196.549999999999</v>
      </c>
      <c r="F15" s="30">
        <f>H15</f>
        <v>6190.08</v>
      </c>
      <c r="G15" s="32">
        <f>'Memória 02 Aditivo'!E7</f>
        <v>6190.08</v>
      </c>
      <c r="H15" s="30">
        <f>G15+'BM 01.Aditivo'!G15</f>
        <v>6190.08</v>
      </c>
      <c r="I15" s="39">
        <f>E15*D15</f>
        <v>3772.72</v>
      </c>
      <c r="J15" s="39">
        <f>ROUND(D15*F15,2)</f>
        <v>2290.33</v>
      </c>
      <c r="K15" s="40">
        <f>ROUND(D15*G15,2)</f>
        <v>2290.33</v>
      </c>
      <c r="L15" s="39">
        <f>ROUND(D15*H15,2)</f>
        <v>2290.33</v>
      </c>
      <c r="M15" s="75">
        <f>H15/F15</f>
        <v>1</v>
      </c>
    </row>
    <row r="16" spans="1:15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2720.48</v>
      </c>
      <c r="F16" s="30">
        <v>2828.65</v>
      </c>
      <c r="G16" s="32">
        <v>548.54</v>
      </c>
      <c r="H16" s="30">
        <f>G16+'BM 01.Aditivo'!G16</f>
        <v>2828.65</v>
      </c>
      <c r="I16" s="39">
        <f t="shared" ref="I16:I25" si="0">E16*D16</f>
        <v>501738.13</v>
      </c>
      <c r="J16" s="39">
        <f t="shared" ref="J16:J27" si="1">ROUND(D16*F16,2)</f>
        <v>521687.92</v>
      </c>
      <c r="K16" s="40">
        <f t="shared" ref="K16:K19" si="2">ROUND(D16*G16,2)</f>
        <v>101167.23</v>
      </c>
      <c r="L16" s="39">
        <f t="shared" ref="L16:L19" si="3">ROUND(D16*H16,2)</f>
        <v>521687.92</v>
      </c>
      <c r="M16" s="75">
        <f>H16/F16</f>
        <v>1</v>
      </c>
      <c r="N16" s="76"/>
      <c r="O16" s="76"/>
    </row>
    <row r="17" spans="1:15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8944.57</v>
      </c>
      <c r="F17" s="30">
        <f>H17</f>
        <v>7107.21</v>
      </c>
      <c r="G17" s="32">
        <f>'Memória 02 Aditivo'!E9</f>
        <v>3119.11</v>
      </c>
      <c r="H17" s="30">
        <f>G17+'BM 01.Aditivo'!G17</f>
        <v>7107.21</v>
      </c>
      <c r="I17" s="39">
        <f t="shared" si="0"/>
        <v>8586.7900000000009</v>
      </c>
      <c r="J17" s="39">
        <f t="shared" si="1"/>
        <v>6822.92</v>
      </c>
      <c r="K17" s="40">
        <f t="shared" si="2"/>
        <v>2994.35</v>
      </c>
      <c r="L17" s="39">
        <f t="shared" si="3"/>
        <v>6822.92</v>
      </c>
      <c r="M17" s="75">
        <f>H17/F17</f>
        <v>1</v>
      </c>
      <c r="N17" s="76"/>
    </row>
    <row r="18" spans="1:15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62813.16</v>
      </c>
      <c r="F18" s="30">
        <f>H18</f>
        <v>65992.56</v>
      </c>
      <c r="G18" s="32">
        <f>'Memória 02 Aditivo'!E10</f>
        <v>16216.87</v>
      </c>
      <c r="H18" s="30">
        <f>G18+'BM 01.Aditivo'!G18</f>
        <v>65992.56</v>
      </c>
      <c r="I18" s="39">
        <f t="shared" si="0"/>
        <v>69094.48</v>
      </c>
      <c r="J18" s="39">
        <f t="shared" si="1"/>
        <v>72591.820000000007</v>
      </c>
      <c r="K18" s="40">
        <f t="shared" si="2"/>
        <v>17838.560000000001</v>
      </c>
      <c r="L18" s="39">
        <f t="shared" si="3"/>
        <v>72591.820000000007</v>
      </c>
      <c r="M18" s="75">
        <f>H18/F18</f>
        <v>1</v>
      </c>
      <c r="N18" s="76"/>
      <c r="O18" s="76"/>
    </row>
    <row r="19" spans="1:15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18141.79</v>
      </c>
      <c r="F19" s="30">
        <f>H19</f>
        <v>18141.79</v>
      </c>
      <c r="G19" s="32">
        <f>'Memória 02 Aditivo'!E11</f>
        <v>0</v>
      </c>
      <c r="H19" s="30">
        <f>G19+'BM 01.Aditivo'!G19</f>
        <v>18141.79</v>
      </c>
      <c r="I19" s="39">
        <f t="shared" si="0"/>
        <v>6531.04</v>
      </c>
      <c r="J19" s="39">
        <f t="shared" si="1"/>
        <v>6531.04</v>
      </c>
      <c r="K19" s="40">
        <f t="shared" si="2"/>
        <v>0</v>
      </c>
      <c r="L19" s="39">
        <f t="shared" si="3"/>
        <v>6531.04</v>
      </c>
      <c r="M19" s="75">
        <f>H19/F19</f>
        <v>1</v>
      </c>
      <c r="N19" s="76"/>
    </row>
    <row r="20" spans="1:15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6"/>
      <c r="I20" s="38">
        <f>I21</f>
        <v>30765.86</v>
      </c>
      <c r="J20" s="38">
        <f>SUM(J21:J21)</f>
        <v>0</v>
      </c>
      <c r="K20" s="38">
        <f>SUM(K21:K21)</f>
        <v>0</v>
      </c>
      <c r="L20" s="38">
        <f>SUM(L21:L21)</f>
        <v>0</v>
      </c>
    </row>
    <row r="21" spans="1:15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1236.57</v>
      </c>
      <c r="F21" s="30">
        <f>H21</f>
        <v>0</v>
      </c>
      <c r="G21" s="32">
        <f>'Memória 02 Aditivo'!E13</f>
        <v>0</v>
      </c>
      <c r="H21" s="30">
        <f>G21+'BM 01.Aditivo'!G21</f>
        <v>0</v>
      </c>
      <c r="I21" s="39">
        <f t="shared" si="0"/>
        <v>30765.86</v>
      </c>
      <c r="J21" s="39">
        <f t="shared" si="1"/>
        <v>0</v>
      </c>
      <c r="K21" s="40">
        <f>ROUND(D21*G21,2)</f>
        <v>0</v>
      </c>
      <c r="L21" s="39">
        <f>ROUND(D21*H21,2)</f>
        <v>0</v>
      </c>
      <c r="M21" s="75" t="e">
        <f>H21/F21</f>
        <v>#DIV/0!</v>
      </c>
    </row>
    <row r="22" spans="1:15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6"/>
      <c r="I22" s="38">
        <f>SUM(I23:I25)</f>
        <v>1060063.3799999999</v>
      </c>
      <c r="J22" s="38">
        <f t="shared" ref="J22:L22" si="4">SUM(J23:J25)</f>
        <v>1070627.8799999999</v>
      </c>
      <c r="K22" s="38">
        <f t="shared" si="4"/>
        <v>295704.53999999998</v>
      </c>
      <c r="L22" s="38">
        <f t="shared" si="4"/>
        <v>1070627.8799999999</v>
      </c>
    </row>
    <row r="23" spans="1:15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12.24</v>
      </c>
      <c r="F23" s="30">
        <f>H23</f>
        <v>7.43</v>
      </c>
      <c r="G23" s="32">
        <f>'Memória 02 Aditivo'!E15</f>
        <v>7.43</v>
      </c>
      <c r="H23" s="30">
        <f>G23+'BM 01.Aditivo'!G23</f>
        <v>7.43</v>
      </c>
      <c r="I23" s="39">
        <f t="shared" si="0"/>
        <v>92556.55</v>
      </c>
      <c r="J23" s="39">
        <f t="shared" si="1"/>
        <v>56184.25</v>
      </c>
      <c r="K23" s="40">
        <f t="shared" ref="K23:K25" si="5">ROUND(D23*G23,2)</f>
        <v>56184.25</v>
      </c>
      <c r="L23" s="39">
        <f t="shared" ref="L23:L25" si="6">ROUND(D23*H23,2)</f>
        <v>56184.25</v>
      </c>
      <c r="M23" s="75">
        <f>H23/F23</f>
        <v>1</v>
      </c>
    </row>
    <row r="24" spans="1:15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149.63</v>
      </c>
      <c r="F24" s="30">
        <f>H24</f>
        <v>157.19999999999999</v>
      </c>
      <c r="G24" s="32">
        <f>'Memória 02 Aditivo'!E16</f>
        <v>38.630000000000003</v>
      </c>
      <c r="H24" s="30">
        <f>G24+'BM 01.Aditivo'!G24</f>
        <v>157.19999999999999</v>
      </c>
      <c r="I24" s="39">
        <f t="shared" si="0"/>
        <v>927761.36</v>
      </c>
      <c r="J24" s="39">
        <f t="shared" si="1"/>
        <v>974698.16</v>
      </c>
      <c r="K24" s="40">
        <f t="shared" si="5"/>
        <v>239520.29</v>
      </c>
      <c r="L24" s="39">
        <f t="shared" si="6"/>
        <v>974698.16</v>
      </c>
      <c r="M24" s="75">
        <f t="shared" ref="M24:M25" si="7">H24/F24</f>
        <v>1</v>
      </c>
      <c r="N24" s="76"/>
      <c r="O24" s="76"/>
    </row>
    <row r="25" spans="1:15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9.07</v>
      </c>
      <c r="F25" s="30">
        <f>H25</f>
        <v>9.07</v>
      </c>
      <c r="G25" s="32">
        <f>'Memória 02 Aditivo'!E17</f>
        <v>0</v>
      </c>
      <c r="H25" s="30">
        <f>G25+'BM 01.Aditivo'!G25</f>
        <v>9.07</v>
      </c>
      <c r="I25" s="39">
        <f t="shared" si="0"/>
        <v>39745.47</v>
      </c>
      <c r="J25" s="39">
        <f t="shared" si="1"/>
        <v>39745.47</v>
      </c>
      <c r="K25" s="40">
        <f t="shared" si="5"/>
        <v>0</v>
      </c>
      <c r="L25" s="39">
        <f t="shared" si="6"/>
        <v>39745.47</v>
      </c>
      <c r="M25" s="75">
        <f t="shared" si="7"/>
        <v>1</v>
      </c>
    </row>
    <row r="26" spans="1:15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6"/>
      <c r="I26" s="38">
        <f>I27</f>
        <v>0</v>
      </c>
      <c r="J26" s="38">
        <f>SUM(J27:J27)</f>
        <v>0</v>
      </c>
      <c r="K26" s="38">
        <f>SUM(K27:K27)</f>
        <v>0</v>
      </c>
      <c r="L26" s="38">
        <f>SUM(L27:L27)</f>
        <v>0</v>
      </c>
    </row>
    <row r="27" spans="1:15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/>
      <c r="F27" s="30">
        <f>H27</f>
        <v>0</v>
      </c>
      <c r="G27" s="32">
        <f>'Memória 02 Aditivo'!E19</f>
        <v>0</v>
      </c>
      <c r="H27" s="30">
        <f>G27+'BM 01.Aditivo'!G27</f>
        <v>0</v>
      </c>
      <c r="I27" s="39">
        <f>ROUND(E27*D27,2)</f>
        <v>0</v>
      </c>
      <c r="J27" s="39">
        <f t="shared" si="1"/>
        <v>0</v>
      </c>
      <c r="K27" s="40">
        <f>ROUND(D27*G27,2)</f>
        <v>0</v>
      </c>
      <c r="L27" s="39">
        <f>ROUND(D27*H27,2)</f>
        <v>0</v>
      </c>
      <c r="M27" s="75" t="e">
        <f t="shared" ref="M27" si="8">H27/E27</f>
        <v>#DIV/0!</v>
      </c>
    </row>
    <row r="28" spans="1:15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4"/>
      <c r="H28" s="105"/>
      <c r="I28" s="41">
        <f>I14+I20+I22+I26</f>
        <v>1680552.4</v>
      </c>
      <c r="J28" s="41">
        <f>J14+J20+J22+J26</f>
        <v>1680551.91</v>
      </c>
      <c r="K28" s="41">
        <f>K14+K20+K22+K26</f>
        <v>419995.01</v>
      </c>
      <c r="L28" s="41">
        <f>L14+L20+L22+L26</f>
        <v>1680551.91</v>
      </c>
      <c r="M28" s="70">
        <f>L28/I28</f>
        <v>1</v>
      </c>
      <c r="N28" s="77">
        <f>I28-J28</f>
        <v>0.49</v>
      </c>
    </row>
    <row r="29" spans="1:15" s="5" customFormat="1" ht="6" customHeight="1" x14ac:dyDescent="0.25">
      <c r="A29" s="14"/>
      <c r="B29" s="14"/>
      <c r="C29" s="14"/>
      <c r="D29" s="14"/>
      <c r="E29" s="14"/>
      <c r="F29" s="14"/>
      <c r="G29" s="15"/>
      <c r="H29" s="15"/>
      <c r="I29" s="16"/>
      <c r="J29" s="16"/>
      <c r="K29" s="16"/>
      <c r="L29" s="16"/>
    </row>
    <row r="30" spans="1:15" ht="22.5" customHeight="1" x14ac:dyDescent="0.25">
      <c r="A30" s="106" t="s">
        <v>27</v>
      </c>
      <c r="B30" s="106"/>
      <c r="C30" s="106"/>
      <c r="D30" s="107">
        <f>K28</f>
        <v>419995.01</v>
      </c>
      <c r="E30" s="107"/>
      <c r="F30" s="79"/>
      <c r="G30" s="108"/>
      <c r="H30" s="108"/>
      <c r="I30" s="108"/>
      <c r="J30" s="108"/>
      <c r="K30" s="108"/>
      <c r="L30" s="108"/>
      <c r="M30" s="72"/>
      <c r="N30" s="72"/>
    </row>
    <row r="31" spans="1:15" ht="8.25" customHeight="1" x14ac:dyDescent="0.25">
      <c r="C31" s="18"/>
      <c r="E31" s="19"/>
      <c r="F31" s="19"/>
      <c r="G31" s="19"/>
    </row>
    <row r="32" spans="1:15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</row>
    <row r="33" spans="1:12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</row>
    <row r="39" spans="1:12" ht="15" x14ac:dyDescent="0.25">
      <c r="B39" s="62" t="s">
        <v>138</v>
      </c>
      <c r="D39" t="s">
        <v>139</v>
      </c>
      <c r="E39"/>
      <c r="F39"/>
      <c r="G39"/>
      <c r="H39"/>
      <c r="I39" s="131" t="s">
        <v>140</v>
      </c>
      <c r="J39" s="131"/>
      <c r="K39" s="131"/>
      <c r="L39" s="131"/>
    </row>
    <row r="40" spans="1:12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/>
      <c r="I40" s="131" t="s">
        <v>143</v>
      </c>
      <c r="J40" s="131"/>
      <c r="K40" s="131"/>
      <c r="L40" s="131"/>
    </row>
    <row r="41" spans="1:12" x14ac:dyDescent="0.25">
      <c r="L41" s="44"/>
    </row>
  </sheetData>
  <mergeCells count="42">
    <mergeCell ref="I39:L39"/>
    <mergeCell ref="C40:H40"/>
    <mergeCell ref="I40:L40"/>
    <mergeCell ref="F7:G7"/>
    <mergeCell ref="F8:G8"/>
    <mergeCell ref="H8:J8"/>
    <mergeCell ref="H7:J7"/>
    <mergeCell ref="A28:H28"/>
    <mergeCell ref="A30:C30"/>
    <mergeCell ref="D30:E30"/>
    <mergeCell ref="G30:L30"/>
    <mergeCell ref="A32:L32"/>
    <mergeCell ref="A33:L33"/>
    <mergeCell ref="E10:H10"/>
    <mergeCell ref="I10:L10"/>
    <mergeCell ref="A11:A12"/>
    <mergeCell ref="B11:B12"/>
    <mergeCell ref="C11:C12"/>
    <mergeCell ref="D11:D12"/>
    <mergeCell ref="A7:B7"/>
    <mergeCell ref="C7:E7"/>
    <mergeCell ref="K7:L7"/>
    <mergeCell ref="A8:B8"/>
    <mergeCell ref="C8:E8"/>
    <mergeCell ref="K8:L8"/>
    <mergeCell ref="A5:B5"/>
    <mergeCell ref="C5:D5"/>
    <mergeCell ref="E5:G5"/>
    <mergeCell ref="K5:L5"/>
    <mergeCell ref="A6:B6"/>
    <mergeCell ref="C6:D6"/>
    <mergeCell ref="E6:G6"/>
    <mergeCell ref="K6:L6"/>
    <mergeCell ref="I5:J5"/>
    <mergeCell ref="I6:J6"/>
    <mergeCell ref="A1:K2"/>
    <mergeCell ref="A3:B3"/>
    <mergeCell ref="C3:G3"/>
    <mergeCell ref="H3:I3"/>
    <mergeCell ref="A4:B4"/>
    <mergeCell ref="C4:G4"/>
    <mergeCell ref="H4:I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68" orientation="landscape" horizontalDpi="300" verticalDpi="300" r:id="rId1"/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DBF9C-FD3A-49B0-B697-6036DB3C11B2}">
  <dimension ref="A1:H21"/>
  <sheetViews>
    <sheetView view="pageBreakPreview" zoomScale="90" zoomScaleNormal="100" zoomScaleSheetLayoutView="90" workbookViewId="0">
      <selection activeCell="E7" sqref="E7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162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ht="4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159</v>
      </c>
      <c r="E7" s="49">
        <f>2239.03+1966.65+1984.4</f>
        <v>6190.08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150</v>
      </c>
      <c r="E8" s="49">
        <f>(((E11+E7)*0.05))*2.4</f>
        <v>742.81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(E17+E15)*419.8</f>
        <v>3119.11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16216.87</v>
      </c>
    </row>
    <row r="11" spans="1:8" x14ac:dyDescent="0.25">
      <c r="A11" s="59" t="s">
        <v>128</v>
      </c>
      <c r="B11" s="60" t="s">
        <v>129</v>
      </c>
      <c r="C11" s="61" t="s">
        <v>63</v>
      </c>
      <c r="D11" s="53"/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7.43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38.630000000000003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0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B1E4B-62F3-4DA8-BAD1-4E389D04A417}">
  <sheetPr codeName="Plan29"/>
  <dimension ref="A1:L41"/>
  <sheetViews>
    <sheetView view="pageBreakPreview" topLeftCell="B7" zoomScaleNormal="100" zoomScaleSheetLayoutView="100" workbookViewId="0">
      <selection activeCell="K12" sqref="K12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12" width="12" style="1" bestFit="1" customWidth="1"/>
    <col min="13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2" s="5" customFormat="1" ht="15" customHeight="1" x14ac:dyDescent="0.25">
      <c r="A1" s="88" t="s">
        <v>127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2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163</v>
      </c>
    </row>
    <row r="3" spans="1:12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2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2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2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46136</v>
      </c>
      <c r="J6" s="117"/>
    </row>
    <row r="7" spans="1:12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2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BM.11!$I$28</f>
        <v>368177.48</v>
      </c>
      <c r="H8" s="126"/>
      <c r="I8" s="116" t="s">
        <v>164</v>
      </c>
      <c r="J8" s="117"/>
      <c r="K8" s="71">
        <v>11050541.890000001</v>
      </c>
    </row>
    <row r="9" spans="1:12" s="5" customFormat="1" ht="7.5" customHeight="1" x14ac:dyDescent="0.25">
      <c r="A9" s="4"/>
      <c r="E9" s="1"/>
      <c r="J9" s="2"/>
    </row>
    <row r="10" spans="1:12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2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 t="s">
        <v>14</v>
      </c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2" s="5" customFormat="1" x14ac:dyDescent="0.25">
      <c r="A12" s="99"/>
      <c r="B12" s="100"/>
      <c r="C12" s="101"/>
      <c r="D12" s="102"/>
      <c r="E12" s="9" t="s">
        <v>130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2" s="5" customFormat="1" x14ac:dyDescent="0.25">
      <c r="A13" s="12"/>
      <c r="B13" s="11"/>
      <c r="C13" s="43"/>
      <c r="D13" s="27"/>
      <c r="E13" s="9" t="s">
        <v>131</v>
      </c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2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SUM(H15:H19)</f>
        <v>3348172.49</v>
      </c>
      <c r="I14" s="38">
        <f>SUM(I15:I19)</f>
        <v>139875.85999999999</v>
      </c>
      <c r="J14" s="38">
        <f>SUM(J15:J19)</f>
        <v>3348172.49</v>
      </c>
    </row>
    <row r="15" spans="1:12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102164.49</v>
      </c>
      <c r="F15" s="32">
        <f>'Memória 11'!E7</f>
        <v>665</v>
      </c>
      <c r="G15" s="30">
        <f>F15+BM.10!G15</f>
        <v>102164.49</v>
      </c>
      <c r="H15" s="39">
        <f>E15*D15</f>
        <v>37800.86</v>
      </c>
      <c r="I15" s="40">
        <f>ROUND(D15*F15,2)</f>
        <v>246.05</v>
      </c>
      <c r="J15" s="39">
        <f>ROUND(D15*G15,2)</f>
        <v>37800.86</v>
      </c>
      <c r="K15" s="75">
        <f>G15/E15</f>
        <v>1</v>
      </c>
    </row>
    <row r="16" spans="1:12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15459.4</v>
      </c>
      <c r="F16" s="32">
        <f>'Memória 11'!E8</f>
        <v>657.11</v>
      </c>
      <c r="G16" s="30">
        <f>F16+BM.10!G16</f>
        <v>15459.4</v>
      </c>
      <c r="H16" s="39">
        <f t="shared" ref="H16:H25" si="0">E16*D16</f>
        <v>2851177.14</v>
      </c>
      <c r="I16" s="40">
        <f t="shared" ref="I16:I19" si="1">ROUND(D16*F16,2)</f>
        <v>121190.8</v>
      </c>
      <c r="J16" s="39">
        <f t="shared" ref="J16:J19" si="2">ROUND(D16*G16,2)</f>
        <v>2851177.14</v>
      </c>
      <c r="K16" s="75">
        <f t="shared" ref="K16:K27" si="3">G16/E16</f>
        <v>1</v>
      </c>
      <c r="L16" s="76"/>
    </row>
    <row r="17" spans="1:12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60476.39</v>
      </c>
      <c r="F17" s="32">
        <f>'Memória 11'!E9</f>
        <v>994.93</v>
      </c>
      <c r="G17" s="30">
        <f>F17+BM.10!G17</f>
        <v>60476.39</v>
      </c>
      <c r="H17" s="39">
        <f t="shared" si="0"/>
        <v>58057.33</v>
      </c>
      <c r="I17" s="40">
        <f t="shared" si="1"/>
        <v>955.13</v>
      </c>
      <c r="J17" s="39">
        <f t="shared" si="2"/>
        <v>58057.33</v>
      </c>
      <c r="K17" s="75">
        <f t="shared" si="3"/>
        <v>1</v>
      </c>
    </row>
    <row r="18" spans="1:12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350104.81</v>
      </c>
      <c r="F18" s="32">
        <f>'Memória 11'!E10</f>
        <v>14344.57</v>
      </c>
      <c r="G18" s="30">
        <f>F18+BM.10!G18</f>
        <v>350104.81</v>
      </c>
      <c r="H18" s="39">
        <f t="shared" si="0"/>
        <v>385115.29</v>
      </c>
      <c r="I18" s="40">
        <f t="shared" si="1"/>
        <v>15779.03</v>
      </c>
      <c r="J18" s="39">
        <f t="shared" si="2"/>
        <v>385115.29</v>
      </c>
      <c r="K18" s="75">
        <f t="shared" si="3"/>
        <v>1</v>
      </c>
      <c r="L18" s="77">
        <f>H18-J18</f>
        <v>0</v>
      </c>
    </row>
    <row r="19" spans="1:12" s="5" customFormat="1" ht="30" customHeight="1" x14ac:dyDescent="0.25">
      <c r="A19" s="23" t="s">
        <v>128</v>
      </c>
      <c r="B19" s="25" t="s">
        <v>129</v>
      </c>
      <c r="C19" s="23" t="s">
        <v>63</v>
      </c>
      <c r="D19" s="24">
        <v>0.36</v>
      </c>
      <c r="E19" s="24">
        <v>44505.19</v>
      </c>
      <c r="F19" s="32">
        <f>'Memória 11'!E11</f>
        <v>4735.6899999999996</v>
      </c>
      <c r="G19" s="30">
        <f>F19+BM.10!G19</f>
        <v>44505.19</v>
      </c>
      <c r="H19" s="39">
        <f t="shared" si="0"/>
        <v>16021.87</v>
      </c>
      <c r="I19" s="40">
        <f t="shared" si="1"/>
        <v>1704.85</v>
      </c>
      <c r="J19" s="39">
        <f t="shared" si="2"/>
        <v>16021.87</v>
      </c>
      <c r="K19" s="75">
        <f t="shared" si="3"/>
        <v>1</v>
      </c>
      <c r="L19" s="76"/>
    </row>
    <row r="20" spans="1:12" s="5" customFormat="1" ht="30" customHeight="1" x14ac:dyDescent="0.25">
      <c r="A20" s="33" t="s">
        <v>24</v>
      </c>
      <c r="B20" s="34" t="s">
        <v>56</v>
      </c>
      <c r="C20" s="35"/>
      <c r="D20" s="36"/>
      <c r="E20" s="36"/>
      <c r="F20" s="36"/>
      <c r="G20" s="36"/>
      <c r="H20" s="38">
        <f>H21</f>
        <v>17310.259999999998</v>
      </c>
      <c r="I20" s="38">
        <f>SUM(I21:I21)</f>
        <v>0</v>
      </c>
      <c r="J20" s="38">
        <f>SUM(J21:J21)</f>
        <v>17036.330000000002</v>
      </c>
    </row>
    <row r="21" spans="1:12" s="5" customFormat="1" ht="30" customHeight="1" x14ac:dyDescent="0.25">
      <c r="A21" s="23" t="s">
        <v>26</v>
      </c>
      <c r="B21" s="25" t="s">
        <v>57</v>
      </c>
      <c r="C21" s="23" t="s">
        <v>63</v>
      </c>
      <c r="D21" s="24">
        <v>24.88</v>
      </c>
      <c r="E21" s="24">
        <v>695.75</v>
      </c>
      <c r="F21" s="32">
        <f>'Memória 11'!E13</f>
        <v>0</v>
      </c>
      <c r="G21" s="30">
        <f>F21+BM.10!G21</f>
        <v>684.74</v>
      </c>
      <c r="H21" s="39">
        <f t="shared" si="0"/>
        <v>17310.259999999998</v>
      </c>
      <c r="I21" s="40">
        <f>ROUND(D21*F21,2)</f>
        <v>0</v>
      </c>
      <c r="J21" s="39">
        <f>ROUND(D21*G21,2)</f>
        <v>17036.330000000002</v>
      </c>
      <c r="K21" s="75">
        <f t="shared" si="3"/>
        <v>0.98</v>
      </c>
      <c r="L21" s="77">
        <f>H21-J21</f>
        <v>273.93</v>
      </c>
    </row>
    <row r="22" spans="1:12" s="5" customFormat="1" ht="30" customHeight="1" x14ac:dyDescent="0.25">
      <c r="A22" s="33" t="s">
        <v>28</v>
      </c>
      <c r="B22" s="34" t="s">
        <v>58</v>
      </c>
      <c r="C22" s="35"/>
      <c r="D22" s="36"/>
      <c r="E22" s="36"/>
      <c r="F22" s="36"/>
      <c r="G22" s="36"/>
      <c r="H22" s="38">
        <f>SUM(H23:H25)</f>
        <v>6195639.3700000001</v>
      </c>
      <c r="I22" s="38">
        <f t="shared" ref="I22" si="4">SUM(I23:I25)</f>
        <v>228301.62</v>
      </c>
      <c r="J22" s="38">
        <f>SUM(J23:J25)</f>
        <v>6195639.3700000001</v>
      </c>
    </row>
    <row r="23" spans="1:12" s="5" customFormat="1" ht="30" customHeight="1" x14ac:dyDescent="0.25">
      <c r="A23" s="23" t="s">
        <v>25</v>
      </c>
      <c r="B23" s="25" t="s">
        <v>59</v>
      </c>
      <c r="C23" s="23" t="s">
        <v>64</v>
      </c>
      <c r="D23" s="24">
        <v>7561.81</v>
      </c>
      <c r="E23" s="24">
        <v>122.61</v>
      </c>
      <c r="F23" s="32">
        <f>'Memória 11'!E15</f>
        <v>0.8</v>
      </c>
      <c r="G23" s="30">
        <f>F23+BM.10!G23</f>
        <v>122.61</v>
      </c>
      <c r="H23" s="39">
        <f t="shared" si="0"/>
        <v>927153.52</v>
      </c>
      <c r="I23" s="40">
        <f t="shared" ref="I23:I25" si="5">ROUND(D23*F23,2)</f>
        <v>6049.45</v>
      </c>
      <c r="J23" s="39">
        <f t="shared" ref="J23:J25" si="6">ROUND(D23*G23,2)</f>
        <v>927153.52</v>
      </c>
      <c r="K23" s="75">
        <f t="shared" si="3"/>
        <v>1</v>
      </c>
    </row>
    <row r="24" spans="1:12" s="5" customFormat="1" ht="30" customHeight="1" x14ac:dyDescent="0.25">
      <c r="A24" s="23" t="s">
        <v>29</v>
      </c>
      <c r="B24" s="25" t="s">
        <v>60</v>
      </c>
      <c r="C24" s="23" t="s">
        <v>64</v>
      </c>
      <c r="D24" s="24">
        <v>6200.37</v>
      </c>
      <c r="E24" s="24">
        <v>833.98</v>
      </c>
      <c r="F24" s="32">
        <f>'Memória 11'!E16</f>
        <v>34.17</v>
      </c>
      <c r="G24" s="30">
        <f>F24+BM.10!G24</f>
        <v>833.98</v>
      </c>
      <c r="H24" s="39">
        <f t="shared" si="0"/>
        <v>5170984.57</v>
      </c>
      <c r="I24" s="40">
        <f t="shared" si="5"/>
        <v>211866.64</v>
      </c>
      <c r="J24" s="39">
        <f t="shared" si="6"/>
        <v>5170984.57</v>
      </c>
      <c r="K24" s="75">
        <f t="shared" si="3"/>
        <v>1</v>
      </c>
      <c r="L24" s="77">
        <f>H24-J24</f>
        <v>0</v>
      </c>
    </row>
    <row r="25" spans="1:12" s="5" customFormat="1" ht="30" customHeight="1" x14ac:dyDescent="0.25">
      <c r="A25" s="74" t="s">
        <v>132</v>
      </c>
      <c r="B25" s="25" t="s">
        <v>133</v>
      </c>
      <c r="C25" s="23" t="s">
        <v>64</v>
      </c>
      <c r="D25" s="24">
        <v>4382.08</v>
      </c>
      <c r="E25" s="24">
        <v>22.25</v>
      </c>
      <c r="F25" s="32">
        <f>'Memória 11'!E17</f>
        <v>2.37</v>
      </c>
      <c r="G25" s="30">
        <f>F25+BM.10!G25</f>
        <v>22.25</v>
      </c>
      <c r="H25" s="39">
        <f t="shared" si="0"/>
        <v>97501.28</v>
      </c>
      <c r="I25" s="40">
        <f t="shared" si="5"/>
        <v>10385.530000000001</v>
      </c>
      <c r="J25" s="39">
        <f t="shared" si="6"/>
        <v>97501.28</v>
      </c>
      <c r="K25" s="75">
        <f t="shared" si="3"/>
        <v>1</v>
      </c>
    </row>
    <row r="26" spans="1:12" s="5" customFormat="1" ht="30" customHeight="1" x14ac:dyDescent="0.25">
      <c r="A26" s="33" t="s">
        <v>49</v>
      </c>
      <c r="B26" s="34" t="s">
        <v>61</v>
      </c>
      <c r="C26" s="35"/>
      <c r="D26" s="36"/>
      <c r="E26" s="36"/>
      <c r="F26" s="36"/>
      <c r="G26" s="36"/>
      <c r="H26" s="38">
        <f>H27</f>
        <v>1505.03</v>
      </c>
      <c r="I26" s="38">
        <f>SUM(I27:I27)</f>
        <v>0</v>
      </c>
      <c r="J26" s="38">
        <f>SUM(J27:J27)</f>
        <v>0</v>
      </c>
    </row>
    <row r="27" spans="1:12" s="5" customFormat="1" ht="30" customHeight="1" x14ac:dyDescent="0.25">
      <c r="A27" s="23" t="s">
        <v>50</v>
      </c>
      <c r="B27" s="25" t="s">
        <v>62</v>
      </c>
      <c r="C27" s="23" t="s">
        <v>63</v>
      </c>
      <c r="D27" s="24">
        <v>334.45</v>
      </c>
      <c r="E27" s="24">
        <v>4.5</v>
      </c>
      <c r="F27" s="32">
        <f>'Memória 11'!E19</f>
        <v>0</v>
      </c>
      <c r="G27" s="30">
        <f>F27+BM.10!G27</f>
        <v>0</v>
      </c>
      <c r="H27" s="39">
        <f>ROUND(E27*D27,2)</f>
        <v>1505.03</v>
      </c>
      <c r="I27" s="40">
        <f>ROUND(D27*F27,2)</f>
        <v>0</v>
      </c>
      <c r="J27" s="39">
        <f>ROUND(D27*G27,2)</f>
        <v>0</v>
      </c>
      <c r="K27" s="75">
        <f t="shared" si="3"/>
        <v>0</v>
      </c>
      <c r="L27" s="77">
        <f>H27-J27</f>
        <v>1505.03</v>
      </c>
    </row>
    <row r="28" spans="1:12" s="5" customFormat="1" ht="30" customHeight="1" x14ac:dyDescent="0.25">
      <c r="A28" s="103" t="s">
        <v>73</v>
      </c>
      <c r="B28" s="104"/>
      <c r="C28" s="104"/>
      <c r="D28" s="104"/>
      <c r="E28" s="104"/>
      <c r="F28" s="104"/>
      <c r="G28" s="105"/>
      <c r="H28" s="41">
        <f>H14+H20+H22+H26</f>
        <v>9562627.1500000004</v>
      </c>
      <c r="I28" s="41">
        <f>I14+I20+I22+I26</f>
        <v>368177.48</v>
      </c>
      <c r="J28" s="41">
        <f>J14+J20+J22+J26</f>
        <v>9560848.1899999995</v>
      </c>
      <c r="K28" s="70">
        <f>J28/H28</f>
        <v>0.99980000000000002</v>
      </c>
      <c r="L28" s="77">
        <f>H28-J28</f>
        <v>1778.96</v>
      </c>
    </row>
    <row r="29" spans="1:12" s="5" customFormat="1" ht="6" customHeight="1" x14ac:dyDescent="0.25">
      <c r="A29" s="14"/>
      <c r="B29" s="14"/>
      <c r="C29" s="14"/>
      <c r="D29" s="14"/>
      <c r="E29" s="14"/>
      <c r="F29" s="15"/>
      <c r="G29" s="15"/>
      <c r="H29" s="16"/>
      <c r="I29" s="16"/>
      <c r="J29" s="16"/>
    </row>
    <row r="30" spans="1:12" ht="22.5" customHeight="1" x14ac:dyDescent="0.25">
      <c r="A30" s="106" t="s">
        <v>27</v>
      </c>
      <c r="B30" s="106"/>
      <c r="C30" s="106"/>
      <c r="D30" s="107">
        <f>I28</f>
        <v>368177.48</v>
      </c>
      <c r="E30" s="107"/>
      <c r="F30" s="108"/>
      <c r="G30" s="108"/>
      <c r="H30" s="108"/>
      <c r="I30" s="108"/>
      <c r="J30" s="108"/>
      <c r="K30" s="72"/>
      <c r="L30" s="72"/>
    </row>
    <row r="31" spans="1:12" ht="8.25" customHeight="1" x14ac:dyDescent="0.25">
      <c r="C31" s="18"/>
      <c r="E31" s="19"/>
      <c r="F31" s="19"/>
    </row>
    <row r="32" spans="1:12" ht="17.2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x14ac:dyDescent="0.25">
      <c r="A33" s="101"/>
      <c r="B33" s="101"/>
      <c r="C33" s="101"/>
      <c r="D33" s="101"/>
      <c r="E33" s="101"/>
      <c r="F33" s="101"/>
      <c r="G33" s="101"/>
      <c r="H33" s="101"/>
      <c r="I33" s="101"/>
      <c r="J33" s="101"/>
    </row>
    <row r="39" spans="1:10" ht="15" x14ac:dyDescent="0.25">
      <c r="B39" s="62" t="s">
        <v>138</v>
      </c>
      <c r="D39" t="s">
        <v>139</v>
      </c>
      <c r="E39"/>
      <c r="F39"/>
      <c r="G39"/>
      <c r="H39" s="131" t="s">
        <v>140</v>
      </c>
      <c r="I39" s="131"/>
      <c r="J39" s="131"/>
    </row>
    <row r="40" spans="1:10" ht="15" x14ac:dyDescent="0.25">
      <c r="B40" s="62" t="s">
        <v>141</v>
      </c>
      <c r="C40" s="131" t="s">
        <v>142</v>
      </c>
      <c r="D40" s="131"/>
      <c r="E40" s="131"/>
      <c r="F40" s="131"/>
      <c r="G40" s="131"/>
      <c r="H40" s="131" t="s">
        <v>143</v>
      </c>
      <c r="I40" s="131"/>
      <c r="J40" s="131"/>
    </row>
    <row r="41" spans="1:10" x14ac:dyDescent="0.25">
      <c r="J41" s="44"/>
    </row>
  </sheetData>
  <mergeCells count="38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H39:J39"/>
    <mergeCell ref="C40:G40"/>
    <mergeCell ref="H40:J40"/>
    <mergeCell ref="A28:G28"/>
    <mergeCell ref="A30:C30"/>
    <mergeCell ref="D30:E30"/>
    <mergeCell ref="F30:J30"/>
    <mergeCell ref="A32:J32"/>
    <mergeCell ref="A33:J33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5FD12-27BE-4D1D-A969-C0B466C7F538}">
  <dimension ref="A1:H21"/>
  <sheetViews>
    <sheetView view="pageBreakPreview" topLeftCell="B2" zoomScale="90" zoomScaleNormal="100" zoomScaleSheetLayoutView="90" workbookViewId="0">
      <selection activeCell="E8" sqref="E8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  <col min="7" max="7" width="14.5703125" bestFit="1" customWidth="1"/>
    <col min="8" max="8" width="10.85546875" customWidth="1"/>
  </cols>
  <sheetData>
    <row r="1" spans="1:8" ht="26.25" x14ac:dyDescent="0.25">
      <c r="A1" s="127" t="s">
        <v>167</v>
      </c>
      <c r="B1" s="128"/>
      <c r="C1" s="128"/>
      <c r="D1" s="129"/>
    </row>
    <row r="3" spans="1:8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8" x14ac:dyDescent="0.25">
      <c r="A4" s="52"/>
      <c r="B4" s="53"/>
      <c r="C4" s="54"/>
      <c r="D4" s="52"/>
    </row>
    <row r="5" spans="1:8" x14ac:dyDescent="0.25">
      <c r="A5" s="130"/>
      <c r="B5" s="130"/>
      <c r="C5" s="130"/>
      <c r="D5" s="130"/>
    </row>
    <row r="6" spans="1:8" x14ac:dyDescent="0.25">
      <c r="A6" s="55" t="s">
        <v>19</v>
      </c>
      <c r="B6" s="56" t="s">
        <v>51</v>
      </c>
      <c r="C6" s="57"/>
      <c r="D6" s="58"/>
      <c r="G6" s="73"/>
      <c r="H6" s="49"/>
    </row>
    <row r="7" spans="1:8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168</v>
      </c>
      <c r="E7" s="49">
        <v>665</v>
      </c>
      <c r="G7" s="62"/>
      <c r="H7" s="49"/>
    </row>
    <row r="8" spans="1:8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166</v>
      </c>
      <c r="E8" s="49">
        <f>(E11*0.05*2.4)+9.03+(E7*0.05*2.4)</f>
        <v>657.11</v>
      </c>
      <c r="F8">
        <f>0.06*(10.7*2+10.2*2+10.4+10.5)</f>
        <v>3.762</v>
      </c>
    </row>
    <row r="9" spans="1:8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135</v>
      </c>
      <c r="E9" s="49">
        <f>E17*419.8</f>
        <v>994.93</v>
      </c>
      <c r="F9">
        <f>F8*2.4</f>
        <v>9.0288000000000004</v>
      </c>
    </row>
    <row r="10" spans="1:8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E16*419.8</f>
        <v>14344.57</v>
      </c>
    </row>
    <row r="11" spans="1:8" x14ac:dyDescent="0.25">
      <c r="A11" s="59" t="s">
        <v>128</v>
      </c>
      <c r="B11" s="60" t="s">
        <v>129</v>
      </c>
      <c r="C11" s="61" t="s">
        <v>63</v>
      </c>
      <c r="D11" s="81" t="s">
        <v>165</v>
      </c>
      <c r="E11" s="49">
        <f>4735.69</f>
        <v>4735.6899999999996</v>
      </c>
    </row>
    <row r="12" spans="1:8" x14ac:dyDescent="0.25">
      <c r="A12" s="55" t="s">
        <v>24</v>
      </c>
      <c r="B12" s="56" t="s">
        <v>56</v>
      </c>
      <c r="C12" s="65"/>
      <c r="D12" s="65"/>
    </row>
    <row r="13" spans="1:8" ht="30" x14ac:dyDescent="0.25">
      <c r="A13" s="59" t="s">
        <v>26</v>
      </c>
      <c r="B13" s="64" t="str">
        <f>BM.01!B20</f>
        <v>SINALIZACAO HORIZONTAL COM TINTA 2 ANOS DURACAO</v>
      </c>
      <c r="C13" s="66" t="s">
        <v>69</v>
      </c>
      <c r="D13" s="53"/>
    </row>
    <row r="14" spans="1:8" x14ac:dyDescent="0.25">
      <c r="A14" s="55" t="s">
        <v>28</v>
      </c>
      <c r="B14" s="56" t="s">
        <v>72</v>
      </c>
      <c r="C14" s="58"/>
      <c r="D14" s="58"/>
    </row>
    <row r="15" spans="1:8" ht="30" x14ac:dyDescent="0.25">
      <c r="A15" s="59" t="s">
        <v>25</v>
      </c>
      <c r="B15" s="64" t="str">
        <f>BM.01!B22</f>
        <v>ASFALTO DILUIDO CM-30 EXCLUSIVE TRANSPORTE</v>
      </c>
      <c r="C15" s="54" t="s">
        <v>70</v>
      </c>
      <c r="D15" s="52" t="s">
        <v>76</v>
      </c>
      <c r="E15" s="49">
        <f>E7*0.0012</f>
        <v>0.8</v>
      </c>
      <c r="F15" s="67"/>
    </row>
    <row r="16" spans="1:8" ht="30" x14ac:dyDescent="0.25">
      <c r="A16" s="59" t="s">
        <v>29</v>
      </c>
      <c r="B16" s="64" t="str">
        <f>BM.01!B23</f>
        <v xml:space="preserve">CIMENTO ASFALTICO CAP 50/70 EXCLUSIVE TRANSPORTE </v>
      </c>
      <c r="C16" s="54" t="s">
        <v>70</v>
      </c>
      <c r="D16" s="53" t="s">
        <v>136</v>
      </c>
      <c r="E16" s="49">
        <f>E8*0.052</f>
        <v>34.17</v>
      </c>
    </row>
    <row r="17" spans="1:5" ht="30" x14ac:dyDescent="0.25">
      <c r="A17" s="59" t="s">
        <v>132</v>
      </c>
      <c r="B17" s="64" t="s">
        <v>133</v>
      </c>
      <c r="C17" s="54" t="s">
        <v>64</v>
      </c>
      <c r="D17" s="53" t="s">
        <v>134</v>
      </c>
      <c r="E17" s="49">
        <f>E11*0.0005</f>
        <v>2.37</v>
      </c>
    </row>
    <row r="18" spans="1:5" x14ac:dyDescent="0.25">
      <c r="A18" s="68" t="s">
        <v>49</v>
      </c>
      <c r="B18" s="56" t="str">
        <f>BM.01!B24</f>
        <v>PLACA DA OBRA</v>
      </c>
      <c r="C18" s="58"/>
      <c r="D18" s="58"/>
    </row>
    <row r="19" spans="1:5" x14ac:dyDescent="0.25">
      <c r="A19" s="59" t="s">
        <v>50</v>
      </c>
      <c r="B19" s="64" t="str">
        <f>BM.01!B25</f>
        <v>PLACA INDICATIVA DE OBRA</v>
      </c>
      <c r="C19" s="66" t="s">
        <v>78</v>
      </c>
      <c r="D19" s="52"/>
    </row>
    <row r="21" spans="1:5" x14ac:dyDescent="0.25">
      <c r="A21" s="69"/>
    </row>
  </sheetData>
  <mergeCells count="2">
    <mergeCell ref="A1:D1"/>
    <mergeCell ref="A5:D5"/>
  </mergeCells>
  <pageMargins left="0.51181102362204722" right="0.51181102362204722" top="0.78740157480314965" bottom="0.78740157480314965" header="0.31496062992125984" footer="0.31496062992125984"/>
  <pageSetup paperSize="9" scale="71" orientation="landscape" verticalDpi="300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2CC5-AAAE-4D55-985B-FA3AD2BAE6D1}">
  <sheetPr codeName="Plan18"/>
  <dimension ref="A1:K36"/>
  <sheetViews>
    <sheetView view="pageBreakPreview" zoomScale="90" zoomScaleNormal="100" zoomScaleSheetLayoutView="90" workbookViewId="0">
      <selection activeCell="F25" sqref="F25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0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0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88</v>
      </c>
    </row>
    <row r="3" spans="1:10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0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0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0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45230</v>
      </c>
      <c r="J6" s="117"/>
    </row>
    <row r="7" spans="1:10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0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BM.02!$I$26</f>
        <v>1336848.75</v>
      </c>
      <c r="H8" s="126"/>
      <c r="I8" s="116" t="s">
        <v>89</v>
      </c>
      <c r="J8" s="117"/>
    </row>
    <row r="9" spans="1:10" s="5" customFormat="1" ht="7.5" customHeight="1" x14ac:dyDescent="0.25">
      <c r="A9" s="4"/>
      <c r="E9" s="1"/>
      <c r="J9" s="2"/>
    </row>
    <row r="10" spans="1:10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0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0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0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0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446543.79</v>
      </c>
      <c r="J14" s="38">
        <f>SUM(J15:J18)</f>
        <v>803085.64</v>
      </c>
    </row>
    <row r="15" spans="1:10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02'!E7</f>
        <v>21024.67</v>
      </c>
      <c r="G15" s="30">
        <f>F15+BM.01!G15</f>
        <v>36096.06</v>
      </c>
      <c r="H15" s="39">
        <f>ROUND(E15*D15,2)</f>
        <v>55554.18</v>
      </c>
      <c r="I15" s="40">
        <f>ROUND(D15*F15,2)</f>
        <v>7779.13</v>
      </c>
      <c r="J15" s="39">
        <f>ROUND(D15*G15,2)</f>
        <v>13355.54</v>
      </c>
    </row>
    <row r="16" spans="1:10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02'!E8</f>
        <v>2042.62</v>
      </c>
      <c r="G16" s="30">
        <f>F16+BM.01!G16</f>
        <v>3680.52</v>
      </c>
      <c r="H16" s="39">
        <f t="shared" ref="H16:H18" si="0">ROUND(E16*D16,2)</f>
        <v>2658385.09</v>
      </c>
      <c r="I16" s="40">
        <f t="shared" ref="I16:I18" si="1">ROUND(D16*F16,2)</f>
        <v>376720.41</v>
      </c>
      <c r="J16" s="39">
        <f t="shared" ref="J16:J18" si="2">ROUND(D16*G16,2)</f>
        <v>678798.3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02'!E9</f>
        <v>10591.55</v>
      </c>
      <c r="G17" s="30">
        <f>F17+BM.01!G17</f>
        <v>18185.73</v>
      </c>
      <c r="H17" s="39">
        <f t="shared" si="0"/>
        <v>72612.259999999995</v>
      </c>
      <c r="I17" s="40">
        <f t="shared" si="1"/>
        <v>10167.89</v>
      </c>
      <c r="J17" s="39">
        <f t="shared" si="2"/>
        <v>17458.3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02'!E10</f>
        <v>47160.33</v>
      </c>
      <c r="G18" s="30">
        <f>F18+BM.01!G18</f>
        <v>84975.91</v>
      </c>
      <c r="H18" s="39">
        <f t="shared" si="0"/>
        <v>366086.81</v>
      </c>
      <c r="I18" s="40">
        <f t="shared" si="1"/>
        <v>51876.36</v>
      </c>
      <c r="J18" s="39">
        <f t="shared" si="2"/>
        <v>93473.5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2970.92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02'!E12</f>
        <v>119.41</v>
      </c>
      <c r="G20" s="30">
        <f>F20+BM.01!G20</f>
        <v>684.74</v>
      </c>
      <c r="H20" s="39">
        <f>ROUND(E20*D20,2)</f>
        <v>130690.16</v>
      </c>
      <c r="I20" s="40">
        <f>ROUND(D20*F20,2)</f>
        <v>2970.92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887334.04</v>
      </c>
      <c r="J21" s="38">
        <f>SUM(J22:J23)</f>
        <v>1582656.51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02'!E14</f>
        <v>25.23</v>
      </c>
      <c r="G22" s="30">
        <f>F22+BM.01!G22</f>
        <v>43.32</v>
      </c>
      <c r="H22" s="39">
        <f>ROUND(E22*D22,2)</f>
        <v>1362486.93</v>
      </c>
      <c r="I22" s="40">
        <f t="shared" ref="I22:I23" si="3">ROUND(D22*F22,2)</f>
        <v>190784.47</v>
      </c>
      <c r="J22" s="39">
        <f t="shared" ref="J22:J23" si="4">ROUND(D22*G22,2)</f>
        <v>327577.61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02'!E15</f>
        <v>112.34</v>
      </c>
      <c r="G23" s="30">
        <f>F23+BM.01!G23</f>
        <v>202.42</v>
      </c>
      <c r="H23" s="39">
        <f>ROUND(E23*D23,2)</f>
        <v>4915467.32</v>
      </c>
      <c r="I23" s="40">
        <f t="shared" si="3"/>
        <v>696549.57</v>
      </c>
      <c r="J23" s="39">
        <f t="shared" si="4"/>
        <v>1255078.8999999999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02'!E17</f>
        <v>0</v>
      </c>
      <c r="G25" s="30">
        <f>F25+BM.01!G25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1336848.75</v>
      </c>
      <c r="J26" s="41">
        <f>J14+J19+J21+J24</f>
        <v>2402778.48</v>
      </c>
      <c r="K26" s="70">
        <f>J26/H26</f>
        <v>0.25130000000000002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1336848.75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7D44C-0571-4CF5-AAB0-815486F453D6}">
  <dimension ref="A1:G19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93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300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90</v>
      </c>
      <c r="E7" s="49">
        <f>2948.03+4048.31+5004.43+9023.9</f>
        <v>21024.67</v>
      </c>
      <c r="F7">
        <f>2601.1+2479.71+1011.97+1093.95+865.21+971.96</f>
        <v>9023.9</v>
      </c>
      <c r="G7" s="62">
        <f>9.4*103.4</f>
        <v>971.96</v>
      </c>
    </row>
    <row r="8" spans="1:7" ht="45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91</v>
      </c>
      <c r="E8" s="49">
        <f>E7*0.04*2.4+24.25</f>
        <v>2042.62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10591.55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47160.33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 t="s">
        <v>92</v>
      </c>
      <c r="E12" s="49">
        <f>119.41</f>
        <v>119.41</v>
      </c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25.23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112.34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67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003BA-AB91-4F57-80E3-665E4AB13C03}">
  <sheetPr codeName="Plan19"/>
  <dimension ref="A1:K36"/>
  <sheetViews>
    <sheetView view="pageBreakPreview" topLeftCell="A2" zoomScale="90" zoomScaleNormal="100" zoomScaleSheetLayoutView="90" workbookViewId="0">
      <selection activeCell="K30" sqref="K30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3.71093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94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45265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BM.03!$I$26</f>
        <v>423010.83</v>
      </c>
      <c r="H8" s="126"/>
      <c r="I8" s="116" t="s">
        <v>95</v>
      </c>
      <c r="J8" s="117"/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141870.93</v>
      </c>
      <c r="J14" s="38">
        <f>SUM(J15:J18)</f>
        <v>944956.58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03'!E7</f>
        <v>6570.98</v>
      </c>
      <c r="G15" s="30">
        <f>F15+BM.02!G15</f>
        <v>42667.040000000001</v>
      </c>
      <c r="H15" s="39">
        <f>ROUND(E15*D15,2)</f>
        <v>55554.18</v>
      </c>
      <c r="I15" s="40">
        <f>ROUND(D15*F15,2)</f>
        <v>2431.2600000000002</v>
      </c>
      <c r="J15" s="39">
        <f>ROUND(D15*G15,2)</f>
        <v>15786.8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03'!E8</f>
        <v>649.38</v>
      </c>
      <c r="G16" s="30">
        <f>F16+BM.02!G16</f>
        <v>4329.8999999999996</v>
      </c>
      <c r="H16" s="39">
        <f t="shared" ref="H16:H18" si="0">ROUND(E16*D16,2)</f>
        <v>2658385.09</v>
      </c>
      <c r="I16" s="40">
        <f t="shared" ref="I16:I18" si="1">ROUND(D16*F16,2)</f>
        <v>119765.15</v>
      </c>
      <c r="J16" s="39">
        <f t="shared" ref="J16:J18" si="2">ROUND(D16*G16,2)</f>
        <v>798563.46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03'!E9</f>
        <v>3312.22</v>
      </c>
      <c r="G17" s="30">
        <f>F17+BM.02!G17</f>
        <v>21497.95</v>
      </c>
      <c r="H17" s="39">
        <f t="shared" si="0"/>
        <v>72612.259999999995</v>
      </c>
      <c r="I17" s="40">
        <f t="shared" si="1"/>
        <v>3179.73</v>
      </c>
      <c r="J17" s="39">
        <f t="shared" si="2"/>
        <v>20638.03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03'!E10</f>
        <v>14995.26</v>
      </c>
      <c r="G18" s="30">
        <f>F18+BM.02!G18</f>
        <v>99971.17</v>
      </c>
      <c r="H18" s="39">
        <f t="shared" si="0"/>
        <v>366086.81</v>
      </c>
      <c r="I18" s="40">
        <f t="shared" si="1"/>
        <v>16494.79</v>
      </c>
      <c r="J18" s="39">
        <f t="shared" si="2"/>
        <v>109968.29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03'!E12</f>
        <v>0</v>
      </c>
      <c r="G20" s="30">
        <f>F20+BM.02!G20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281139.90000000002</v>
      </c>
      <c r="J21" s="38">
        <f>SUM(J22:J23)</f>
        <v>1863796.4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03'!E14</f>
        <v>7.89</v>
      </c>
      <c r="G22" s="30">
        <f>F22+BM.02!G22</f>
        <v>51.21</v>
      </c>
      <c r="H22" s="39">
        <f>ROUND(E22*D22,2)</f>
        <v>1362486.93</v>
      </c>
      <c r="I22" s="40">
        <f t="shared" ref="I22:I23" si="3">ROUND(D22*F22,2)</f>
        <v>59662.68</v>
      </c>
      <c r="J22" s="39">
        <f t="shared" ref="J22:J23" si="4">ROUND(D22*G22,2)</f>
        <v>387240.29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03'!E15</f>
        <v>35.72</v>
      </c>
      <c r="G23" s="30">
        <f>F23+BM.02!G23</f>
        <v>238.14</v>
      </c>
      <c r="H23" s="39">
        <f>ROUND(E23*D23,2)</f>
        <v>4915467.32</v>
      </c>
      <c r="I23" s="40">
        <f t="shared" si="3"/>
        <v>221477.22</v>
      </c>
      <c r="J23" s="39">
        <f t="shared" si="4"/>
        <v>1476556.11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03'!E17</f>
        <v>0</v>
      </c>
      <c r="G25" s="30">
        <f>F25+BM.02!G25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423010.83</v>
      </c>
      <c r="J26" s="41">
        <f>J14+J19+J21+J24</f>
        <v>2825789.31</v>
      </c>
      <c r="K26" s="70">
        <f>J26/H26</f>
        <v>0.29549999999999998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423010.83</v>
      </c>
      <c r="E28" s="107"/>
      <c r="F28" s="108"/>
      <c r="G28" s="108"/>
      <c r="H28" s="108"/>
      <c r="I28" s="108"/>
      <c r="J28" s="108"/>
      <c r="K28" s="72">
        <f>H26-J26</f>
        <v>6736998.4699999997</v>
      </c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  <c r="K30" s="72">
        <f>ROUND(K28*1.0349,2)</f>
        <v>6972119.7199999997</v>
      </c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DC122-6412-4F02-B697-E4DBF7E1522C}">
  <dimension ref="A1:G19"/>
  <sheetViews>
    <sheetView view="pageBreakPreview" topLeftCell="A7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98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10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96</v>
      </c>
      <c r="E7" s="49">
        <f>4509.23+894.22+1167.53</f>
        <v>6570.98</v>
      </c>
      <c r="F7">
        <f>6.05*192.98</f>
        <v>1167.529</v>
      </c>
      <c r="G7" s="62">
        <f>0.1156*9.9 + 0.1507*9.2 + 0.169*9.14 + 0.2058*6.25 + 0.1942*6.97 + 0.1942*5.3</f>
        <v>7.744624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97</v>
      </c>
      <c r="E8" s="49">
        <f>E7*0.04*2.4+18.57</f>
        <v>649.38</v>
      </c>
      <c r="G8">
        <f>7.74*2.4</f>
        <v>18.576000000000001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3312.22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14995.26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7.89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35.72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DD9FD-8176-41EF-ACED-B4D0B56A8008}">
  <sheetPr codeName="Plan20"/>
  <dimension ref="A1:K36"/>
  <sheetViews>
    <sheetView view="pageBreakPreview" zoomScale="90" zoomScaleNormal="100" zoomScaleSheetLayoutView="90" workbookViewId="0">
      <selection activeCell="F15" sqref="F15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2.85546875" style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99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45265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BM.04!$I$26</f>
        <v>571590.37</v>
      </c>
      <c r="H8" s="126"/>
      <c r="I8" s="116" t="s">
        <v>100</v>
      </c>
      <c r="J8" s="117"/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191087.62</v>
      </c>
      <c r="J14" s="38">
        <f>SUM(J15:J18)</f>
        <v>1136044.2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04'!E7</f>
        <v>9100.75</v>
      </c>
      <c r="G15" s="30">
        <f>F15+BM.03!G15</f>
        <v>51767.79</v>
      </c>
      <c r="H15" s="39">
        <f>ROUND(E15*D15,2)</f>
        <v>55554.18</v>
      </c>
      <c r="I15" s="40">
        <f>ROUND(D15*F15,2)</f>
        <v>3367.28</v>
      </c>
      <c r="J15" s="39">
        <f>ROUND(D15*G15,2)</f>
        <v>19154.080000000002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04'!E8</f>
        <v>873.67</v>
      </c>
      <c r="G16" s="30">
        <f>F16+BM.03!G16</f>
        <v>5203.57</v>
      </c>
      <c r="H16" s="39">
        <f t="shared" ref="H16:H18" si="0">ROUND(E16*D16,2)</f>
        <v>2658385.09</v>
      </c>
      <c r="I16" s="40">
        <f t="shared" ref="I16:I18" si="1">ROUND(D16*F16,2)</f>
        <v>161130.96</v>
      </c>
      <c r="J16" s="39">
        <f t="shared" ref="J16:J18" si="2">ROUND(D16*G16,2)</f>
        <v>959694.42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04'!E9</f>
        <v>4584.22</v>
      </c>
      <c r="G17" s="30">
        <f>F17+BM.03!G17</f>
        <v>26082.17</v>
      </c>
      <c r="H17" s="39">
        <f t="shared" si="0"/>
        <v>72612.259999999995</v>
      </c>
      <c r="I17" s="40">
        <f t="shared" si="1"/>
        <v>4400.8500000000004</v>
      </c>
      <c r="J17" s="39">
        <f t="shared" si="2"/>
        <v>25038.880000000001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04'!E10</f>
        <v>20171.39</v>
      </c>
      <c r="G18" s="30">
        <f>F18+BM.03!G18</f>
        <v>120142.56</v>
      </c>
      <c r="H18" s="39">
        <f t="shared" si="0"/>
        <v>366086.81</v>
      </c>
      <c r="I18" s="40">
        <f t="shared" si="1"/>
        <v>22188.53</v>
      </c>
      <c r="J18" s="39">
        <f t="shared" si="2"/>
        <v>132156.82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04'!E12</f>
        <v>0</v>
      </c>
      <c r="G20" s="30">
        <f>F20+BM.03!G20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380502.75</v>
      </c>
      <c r="J21" s="38">
        <f>SUM(J22:J23)</f>
        <v>2244299.15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04'!E14</f>
        <v>10.92</v>
      </c>
      <c r="G22" s="30">
        <f>F22+BM.03!G22</f>
        <v>62.13</v>
      </c>
      <c r="H22" s="39">
        <f>ROUND(E22*D22,2)</f>
        <v>1362486.93</v>
      </c>
      <c r="I22" s="40">
        <f t="shared" ref="I22:I23" si="3">ROUND(D22*F22,2)</f>
        <v>82574.97</v>
      </c>
      <c r="J22" s="39">
        <f t="shared" ref="J22:J23" si="4">ROUND(D22*G22,2)</f>
        <v>469815.26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04'!E15</f>
        <v>48.05</v>
      </c>
      <c r="G23" s="30">
        <f>F23+BM.03!G23</f>
        <v>286.19</v>
      </c>
      <c r="H23" s="39">
        <f>ROUND(E23*D23,2)</f>
        <v>4915467.32</v>
      </c>
      <c r="I23" s="40">
        <f t="shared" si="3"/>
        <v>297927.78000000003</v>
      </c>
      <c r="J23" s="39">
        <f t="shared" si="4"/>
        <v>1774483.89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04'!E17</f>
        <v>0</v>
      </c>
      <c r="G25" s="30">
        <f>F25+BM.03!G25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571590.37</v>
      </c>
      <c r="J26" s="41">
        <f>J14+J19+J21+J24</f>
        <v>3397379.68</v>
      </c>
      <c r="K26" s="70">
        <f>J26/H26</f>
        <v>0.3553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571590.37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F31EB-8F3C-4C0D-8A9B-57D5E213416E}">
  <dimension ref="A1:G19"/>
  <sheetViews>
    <sheetView view="pageBreakPreview" zoomScale="90" zoomScaleNormal="100" zoomScaleSheetLayoutView="90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45.140625" style="69" customWidth="1"/>
    <col min="3" max="3" width="5" style="62" bestFit="1" customWidth="1"/>
    <col min="4" max="4" width="133" customWidth="1"/>
    <col min="5" max="5" width="11.5703125" style="49" customWidth="1"/>
  </cols>
  <sheetData>
    <row r="1" spans="1:7" ht="26.25" x14ac:dyDescent="0.25">
      <c r="A1" s="127" t="s">
        <v>103</v>
      </c>
      <c r="B1" s="128"/>
      <c r="C1" s="128"/>
      <c r="D1" s="129"/>
    </row>
    <row r="3" spans="1:7" x14ac:dyDescent="0.25">
      <c r="A3" s="50" t="s">
        <v>0</v>
      </c>
      <c r="B3" s="51" t="s">
        <v>66</v>
      </c>
      <c r="C3" s="50" t="s">
        <v>67</v>
      </c>
      <c r="D3" s="50" t="s">
        <v>68</v>
      </c>
    </row>
    <row r="4" spans="1:7" x14ac:dyDescent="0.25">
      <c r="A4" s="52"/>
      <c r="B4" s="53"/>
      <c r="C4" s="54"/>
      <c r="D4" s="52"/>
    </row>
    <row r="5" spans="1:7" x14ac:dyDescent="0.25">
      <c r="A5" s="130"/>
      <c r="B5" s="130"/>
      <c r="C5" s="130"/>
      <c r="D5" s="130"/>
    </row>
    <row r="6" spans="1:7" x14ac:dyDescent="0.25">
      <c r="A6" s="55" t="s">
        <v>19</v>
      </c>
      <c r="B6" s="56" t="s">
        <v>51</v>
      </c>
      <c r="C6" s="57"/>
      <c r="D6" s="58"/>
    </row>
    <row r="7" spans="1:7" ht="45" x14ac:dyDescent="0.25">
      <c r="A7" s="59" t="s">
        <v>20</v>
      </c>
      <c r="B7" s="60" t="str">
        <f>BM.01!B15</f>
        <v>IMPRIMACAO EXCLUSIVE LIGANTE</v>
      </c>
      <c r="C7" s="61" t="s">
        <v>69</v>
      </c>
      <c r="D7" s="53" t="s">
        <v>101</v>
      </c>
      <c r="E7" s="49">
        <f>3783.45+256.1+1789.51+198.52+1425.82+425.6+400.52+821.23</f>
        <v>9100.75</v>
      </c>
      <c r="F7">
        <f>6.05*192.98</f>
        <v>1167.529</v>
      </c>
      <c r="G7" s="62">
        <f>0.1156*9.9 + 0.1507*9.2 + 0.169*9.14 + 0.2058*6.25 + 0.1942*6.97 + 0.1942*5.3</f>
        <v>7.744624</v>
      </c>
    </row>
    <row r="8" spans="1:7" ht="30" x14ac:dyDescent="0.25">
      <c r="A8" s="59" t="s">
        <v>21</v>
      </c>
      <c r="B8" s="60" t="str">
        <f>BM.01!B16</f>
        <v>CONCRETO BETUMINOSO USINADO A QUENTE EXC. LIGANTE</v>
      </c>
      <c r="C8" s="61" t="s">
        <v>70</v>
      </c>
      <c r="D8" s="63" t="s">
        <v>102</v>
      </c>
      <c r="E8" s="49">
        <f>E7*0.04*2.4</f>
        <v>873.67</v>
      </c>
      <c r="G8">
        <f>7.74*2.4</f>
        <v>18.576000000000001</v>
      </c>
    </row>
    <row r="9" spans="1:7" x14ac:dyDescent="0.25">
      <c r="A9" s="59" t="s">
        <v>22</v>
      </c>
      <c r="B9" s="60" t="str">
        <f>BM.01!B17</f>
        <v>TRANSPORTE DE MATERIAIS ASFALTICO A FRIO</v>
      </c>
      <c r="C9" s="61" t="s">
        <v>71</v>
      </c>
      <c r="D9" s="52" t="s">
        <v>74</v>
      </c>
      <c r="E9" s="49">
        <f>E14*419.8</f>
        <v>4584.22</v>
      </c>
    </row>
    <row r="10" spans="1:7" ht="30" x14ac:dyDescent="0.25">
      <c r="A10" s="59" t="s">
        <v>23</v>
      </c>
      <c r="B10" s="60" t="str">
        <f>BM.01!B18</f>
        <v>TRANSPORTE DE MATERIAIS ASFALTICO A QUENTE</v>
      </c>
      <c r="C10" s="61" t="s">
        <v>71</v>
      </c>
      <c r="D10" s="53" t="s">
        <v>75</v>
      </c>
      <c r="E10" s="49">
        <f>E15*419.8</f>
        <v>20171.39</v>
      </c>
    </row>
    <row r="11" spans="1:7" x14ac:dyDescent="0.25">
      <c r="A11" s="55" t="s">
        <v>24</v>
      </c>
      <c r="B11" s="56" t="s">
        <v>56</v>
      </c>
      <c r="C11" s="65"/>
      <c r="D11" s="65"/>
    </row>
    <row r="12" spans="1:7" ht="30" x14ac:dyDescent="0.25">
      <c r="A12" s="59" t="s">
        <v>26</v>
      </c>
      <c r="B12" s="64" t="str">
        <f>BM.01!B20</f>
        <v>SINALIZACAO HORIZONTAL COM TINTA 2 ANOS DURACAO</v>
      </c>
      <c r="C12" s="66" t="s">
        <v>69</v>
      </c>
      <c r="D12" s="53"/>
    </row>
    <row r="13" spans="1:7" x14ac:dyDescent="0.25">
      <c r="A13" s="55" t="s">
        <v>28</v>
      </c>
      <c r="B13" s="56" t="s">
        <v>72</v>
      </c>
      <c r="C13" s="58"/>
      <c r="D13" s="58"/>
    </row>
    <row r="14" spans="1:7" ht="30" x14ac:dyDescent="0.25">
      <c r="A14" s="59" t="s">
        <v>25</v>
      </c>
      <c r="B14" s="64" t="str">
        <f>BM.01!B22</f>
        <v>ASFALTO DILUIDO CM-30 EXCLUSIVE TRANSPORTE</v>
      </c>
      <c r="C14" s="54" t="s">
        <v>70</v>
      </c>
      <c r="D14" s="52" t="s">
        <v>76</v>
      </c>
      <c r="E14" s="49">
        <f>E7*0.0012</f>
        <v>10.92</v>
      </c>
      <c r="F14" s="67"/>
    </row>
    <row r="15" spans="1:7" ht="30" x14ac:dyDescent="0.25">
      <c r="A15" s="59" t="s">
        <v>29</v>
      </c>
      <c r="B15" s="64" t="str">
        <f>BM.01!B23</f>
        <v xml:space="preserve">CIMENTO ASFALTICO CAP 50/70 EXCLUSIVE TRANSPORTE </v>
      </c>
      <c r="C15" s="54" t="s">
        <v>70</v>
      </c>
      <c r="D15" s="53" t="s">
        <v>77</v>
      </c>
      <c r="E15" s="49">
        <f>E8*0.055</f>
        <v>48.05</v>
      </c>
    </row>
    <row r="16" spans="1:7" x14ac:dyDescent="0.25">
      <c r="A16" s="68" t="e">
        <f>#REF!</f>
        <v>#REF!</v>
      </c>
      <c r="B16" s="56" t="str">
        <f>BM.01!B24</f>
        <v>PLACA DA OBRA</v>
      </c>
      <c r="C16" s="58"/>
      <c r="D16" s="58"/>
    </row>
    <row r="17" spans="1:4" x14ac:dyDescent="0.25">
      <c r="A17" s="59" t="s">
        <v>50</v>
      </c>
      <c r="B17" s="64" t="str">
        <f>BM.01!B25</f>
        <v>PLACA INDICATIVA DE OBRA</v>
      </c>
      <c r="C17" s="66" t="s">
        <v>78</v>
      </c>
      <c r="D17" s="52"/>
    </row>
    <row r="19" spans="1:4" x14ac:dyDescent="0.25">
      <c r="A19" s="6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2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E699E-B8DF-4150-B91C-98C3E8AA3AFF}">
  <sheetPr codeName="Plan21"/>
  <dimension ref="A1:K36"/>
  <sheetViews>
    <sheetView view="pageBreakPreview" zoomScale="90" zoomScaleNormal="100" zoomScaleSheetLayoutView="90" workbookViewId="0">
      <selection activeCell="K7" sqref="K7"/>
    </sheetView>
  </sheetViews>
  <sheetFormatPr defaultRowHeight="12.75" x14ac:dyDescent="0.25"/>
  <cols>
    <col min="1" max="1" width="9.140625" style="17"/>
    <col min="2" max="2" width="50.85546875" style="1" customWidth="1"/>
    <col min="3" max="3" width="7.5703125" style="17" customWidth="1"/>
    <col min="4" max="4" width="12.42578125" style="1" customWidth="1"/>
    <col min="5" max="5" width="15.140625" style="21" customWidth="1"/>
    <col min="6" max="6" width="16.7109375" style="1" customWidth="1"/>
    <col min="7" max="7" width="16.5703125" style="1" customWidth="1"/>
    <col min="8" max="8" width="17.5703125" style="1" customWidth="1"/>
    <col min="9" max="9" width="16.5703125" style="1" customWidth="1"/>
    <col min="10" max="10" width="16.85546875" style="1" customWidth="1"/>
    <col min="11" max="11" width="14.85546875" style="1" bestFit="1" customWidth="1"/>
    <col min="12" max="253" width="9.140625" style="1"/>
    <col min="254" max="254" width="50.85546875" style="1" customWidth="1"/>
    <col min="255" max="255" width="7.5703125" style="1" customWidth="1"/>
    <col min="256" max="256" width="12.42578125" style="1" customWidth="1"/>
    <col min="257" max="257" width="14.42578125" style="1" customWidth="1"/>
    <col min="258" max="258" width="16.7109375" style="1" customWidth="1"/>
    <col min="259" max="259" width="16.5703125" style="1" customWidth="1"/>
    <col min="260" max="260" width="16.28515625" style="1" customWidth="1"/>
    <col min="261" max="261" width="16.5703125" style="1" customWidth="1"/>
    <col min="262" max="262" width="16.85546875" style="1" customWidth="1"/>
    <col min="263" max="263" width="9.140625" style="1"/>
    <col min="264" max="264" width="15.7109375" style="1" customWidth="1"/>
    <col min="265" max="266" width="9.140625" style="1"/>
    <col min="267" max="267" width="12.85546875" style="1" customWidth="1"/>
    <col min="268" max="509" width="9.140625" style="1"/>
    <col min="510" max="510" width="50.85546875" style="1" customWidth="1"/>
    <col min="511" max="511" width="7.5703125" style="1" customWidth="1"/>
    <col min="512" max="512" width="12.42578125" style="1" customWidth="1"/>
    <col min="513" max="513" width="14.42578125" style="1" customWidth="1"/>
    <col min="514" max="514" width="16.7109375" style="1" customWidth="1"/>
    <col min="515" max="515" width="16.5703125" style="1" customWidth="1"/>
    <col min="516" max="516" width="16.28515625" style="1" customWidth="1"/>
    <col min="517" max="517" width="16.5703125" style="1" customWidth="1"/>
    <col min="518" max="518" width="16.85546875" style="1" customWidth="1"/>
    <col min="519" max="519" width="9.140625" style="1"/>
    <col min="520" max="520" width="15.7109375" style="1" customWidth="1"/>
    <col min="521" max="522" width="9.140625" style="1"/>
    <col min="523" max="523" width="12.85546875" style="1" customWidth="1"/>
    <col min="524" max="765" width="9.140625" style="1"/>
    <col min="766" max="766" width="50.85546875" style="1" customWidth="1"/>
    <col min="767" max="767" width="7.5703125" style="1" customWidth="1"/>
    <col min="768" max="768" width="12.42578125" style="1" customWidth="1"/>
    <col min="769" max="769" width="14.42578125" style="1" customWidth="1"/>
    <col min="770" max="770" width="16.7109375" style="1" customWidth="1"/>
    <col min="771" max="771" width="16.5703125" style="1" customWidth="1"/>
    <col min="772" max="772" width="16.28515625" style="1" customWidth="1"/>
    <col min="773" max="773" width="16.5703125" style="1" customWidth="1"/>
    <col min="774" max="774" width="16.85546875" style="1" customWidth="1"/>
    <col min="775" max="775" width="9.140625" style="1"/>
    <col min="776" max="776" width="15.7109375" style="1" customWidth="1"/>
    <col min="777" max="778" width="9.140625" style="1"/>
    <col min="779" max="779" width="12.85546875" style="1" customWidth="1"/>
    <col min="780" max="1021" width="9.140625" style="1"/>
    <col min="1022" max="1022" width="50.85546875" style="1" customWidth="1"/>
    <col min="1023" max="1023" width="7.5703125" style="1" customWidth="1"/>
    <col min="1024" max="1024" width="12.42578125" style="1" customWidth="1"/>
    <col min="1025" max="1025" width="14.42578125" style="1" customWidth="1"/>
    <col min="1026" max="1026" width="16.7109375" style="1" customWidth="1"/>
    <col min="1027" max="1027" width="16.5703125" style="1" customWidth="1"/>
    <col min="1028" max="1028" width="16.28515625" style="1" customWidth="1"/>
    <col min="1029" max="1029" width="16.5703125" style="1" customWidth="1"/>
    <col min="1030" max="1030" width="16.85546875" style="1" customWidth="1"/>
    <col min="1031" max="1031" width="9.140625" style="1"/>
    <col min="1032" max="1032" width="15.7109375" style="1" customWidth="1"/>
    <col min="1033" max="1034" width="9.140625" style="1"/>
    <col min="1035" max="1035" width="12.85546875" style="1" customWidth="1"/>
    <col min="1036" max="1277" width="9.140625" style="1"/>
    <col min="1278" max="1278" width="50.85546875" style="1" customWidth="1"/>
    <col min="1279" max="1279" width="7.5703125" style="1" customWidth="1"/>
    <col min="1280" max="1280" width="12.42578125" style="1" customWidth="1"/>
    <col min="1281" max="1281" width="14.42578125" style="1" customWidth="1"/>
    <col min="1282" max="1282" width="16.7109375" style="1" customWidth="1"/>
    <col min="1283" max="1283" width="16.5703125" style="1" customWidth="1"/>
    <col min="1284" max="1284" width="16.28515625" style="1" customWidth="1"/>
    <col min="1285" max="1285" width="16.5703125" style="1" customWidth="1"/>
    <col min="1286" max="1286" width="16.85546875" style="1" customWidth="1"/>
    <col min="1287" max="1287" width="9.140625" style="1"/>
    <col min="1288" max="1288" width="15.7109375" style="1" customWidth="1"/>
    <col min="1289" max="1290" width="9.140625" style="1"/>
    <col min="1291" max="1291" width="12.85546875" style="1" customWidth="1"/>
    <col min="1292" max="1533" width="9.140625" style="1"/>
    <col min="1534" max="1534" width="50.85546875" style="1" customWidth="1"/>
    <col min="1535" max="1535" width="7.5703125" style="1" customWidth="1"/>
    <col min="1536" max="1536" width="12.42578125" style="1" customWidth="1"/>
    <col min="1537" max="1537" width="14.42578125" style="1" customWidth="1"/>
    <col min="1538" max="1538" width="16.7109375" style="1" customWidth="1"/>
    <col min="1539" max="1539" width="16.5703125" style="1" customWidth="1"/>
    <col min="1540" max="1540" width="16.28515625" style="1" customWidth="1"/>
    <col min="1541" max="1541" width="16.5703125" style="1" customWidth="1"/>
    <col min="1542" max="1542" width="16.85546875" style="1" customWidth="1"/>
    <col min="1543" max="1543" width="9.140625" style="1"/>
    <col min="1544" max="1544" width="15.7109375" style="1" customWidth="1"/>
    <col min="1545" max="1546" width="9.140625" style="1"/>
    <col min="1547" max="1547" width="12.85546875" style="1" customWidth="1"/>
    <col min="1548" max="1789" width="9.140625" style="1"/>
    <col min="1790" max="1790" width="50.85546875" style="1" customWidth="1"/>
    <col min="1791" max="1791" width="7.5703125" style="1" customWidth="1"/>
    <col min="1792" max="1792" width="12.42578125" style="1" customWidth="1"/>
    <col min="1793" max="1793" width="14.42578125" style="1" customWidth="1"/>
    <col min="1794" max="1794" width="16.7109375" style="1" customWidth="1"/>
    <col min="1795" max="1795" width="16.5703125" style="1" customWidth="1"/>
    <col min="1796" max="1796" width="16.28515625" style="1" customWidth="1"/>
    <col min="1797" max="1797" width="16.5703125" style="1" customWidth="1"/>
    <col min="1798" max="1798" width="16.85546875" style="1" customWidth="1"/>
    <col min="1799" max="1799" width="9.140625" style="1"/>
    <col min="1800" max="1800" width="15.7109375" style="1" customWidth="1"/>
    <col min="1801" max="1802" width="9.140625" style="1"/>
    <col min="1803" max="1803" width="12.85546875" style="1" customWidth="1"/>
    <col min="1804" max="2045" width="9.140625" style="1"/>
    <col min="2046" max="2046" width="50.85546875" style="1" customWidth="1"/>
    <col min="2047" max="2047" width="7.5703125" style="1" customWidth="1"/>
    <col min="2048" max="2048" width="12.42578125" style="1" customWidth="1"/>
    <col min="2049" max="2049" width="14.42578125" style="1" customWidth="1"/>
    <col min="2050" max="2050" width="16.7109375" style="1" customWidth="1"/>
    <col min="2051" max="2051" width="16.5703125" style="1" customWidth="1"/>
    <col min="2052" max="2052" width="16.28515625" style="1" customWidth="1"/>
    <col min="2053" max="2053" width="16.5703125" style="1" customWidth="1"/>
    <col min="2054" max="2054" width="16.85546875" style="1" customWidth="1"/>
    <col min="2055" max="2055" width="9.140625" style="1"/>
    <col min="2056" max="2056" width="15.7109375" style="1" customWidth="1"/>
    <col min="2057" max="2058" width="9.140625" style="1"/>
    <col min="2059" max="2059" width="12.85546875" style="1" customWidth="1"/>
    <col min="2060" max="2301" width="9.140625" style="1"/>
    <col min="2302" max="2302" width="50.85546875" style="1" customWidth="1"/>
    <col min="2303" max="2303" width="7.5703125" style="1" customWidth="1"/>
    <col min="2304" max="2304" width="12.42578125" style="1" customWidth="1"/>
    <col min="2305" max="2305" width="14.42578125" style="1" customWidth="1"/>
    <col min="2306" max="2306" width="16.7109375" style="1" customWidth="1"/>
    <col min="2307" max="2307" width="16.5703125" style="1" customWidth="1"/>
    <col min="2308" max="2308" width="16.28515625" style="1" customWidth="1"/>
    <col min="2309" max="2309" width="16.5703125" style="1" customWidth="1"/>
    <col min="2310" max="2310" width="16.85546875" style="1" customWidth="1"/>
    <col min="2311" max="2311" width="9.140625" style="1"/>
    <col min="2312" max="2312" width="15.7109375" style="1" customWidth="1"/>
    <col min="2313" max="2314" width="9.140625" style="1"/>
    <col min="2315" max="2315" width="12.85546875" style="1" customWidth="1"/>
    <col min="2316" max="2557" width="9.140625" style="1"/>
    <col min="2558" max="2558" width="50.85546875" style="1" customWidth="1"/>
    <col min="2559" max="2559" width="7.5703125" style="1" customWidth="1"/>
    <col min="2560" max="2560" width="12.42578125" style="1" customWidth="1"/>
    <col min="2561" max="2561" width="14.42578125" style="1" customWidth="1"/>
    <col min="2562" max="2562" width="16.7109375" style="1" customWidth="1"/>
    <col min="2563" max="2563" width="16.5703125" style="1" customWidth="1"/>
    <col min="2564" max="2564" width="16.28515625" style="1" customWidth="1"/>
    <col min="2565" max="2565" width="16.5703125" style="1" customWidth="1"/>
    <col min="2566" max="2566" width="16.85546875" style="1" customWidth="1"/>
    <col min="2567" max="2567" width="9.140625" style="1"/>
    <col min="2568" max="2568" width="15.7109375" style="1" customWidth="1"/>
    <col min="2569" max="2570" width="9.140625" style="1"/>
    <col min="2571" max="2571" width="12.85546875" style="1" customWidth="1"/>
    <col min="2572" max="2813" width="9.140625" style="1"/>
    <col min="2814" max="2814" width="50.85546875" style="1" customWidth="1"/>
    <col min="2815" max="2815" width="7.5703125" style="1" customWidth="1"/>
    <col min="2816" max="2816" width="12.42578125" style="1" customWidth="1"/>
    <col min="2817" max="2817" width="14.42578125" style="1" customWidth="1"/>
    <col min="2818" max="2818" width="16.7109375" style="1" customWidth="1"/>
    <col min="2819" max="2819" width="16.5703125" style="1" customWidth="1"/>
    <col min="2820" max="2820" width="16.28515625" style="1" customWidth="1"/>
    <col min="2821" max="2821" width="16.5703125" style="1" customWidth="1"/>
    <col min="2822" max="2822" width="16.85546875" style="1" customWidth="1"/>
    <col min="2823" max="2823" width="9.140625" style="1"/>
    <col min="2824" max="2824" width="15.7109375" style="1" customWidth="1"/>
    <col min="2825" max="2826" width="9.140625" style="1"/>
    <col min="2827" max="2827" width="12.85546875" style="1" customWidth="1"/>
    <col min="2828" max="3069" width="9.140625" style="1"/>
    <col min="3070" max="3070" width="50.85546875" style="1" customWidth="1"/>
    <col min="3071" max="3071" width="7.5703125" style="1" customWidth="1"/>
    <col min="3072" max="3072" width="12.42578125" style="1" customWidth="1"/>
    <col min="3073" max="3073" width="14.42578125" style="1" customWidth="1"/>
    <col min="3074" max="3074" width="16.7109375" style="1" customWidth="1"/>
    <col min="3075" max="3075" width="16.5703125" style="1" customWidth="1"/>
    <col min="3076" max="3076" width="16.28515625" style="1" customWidth="1"/>
    <col min="3077" max="3077" width="16.5703125" style="1" customWidth="1"/>
    <col min="3078" max="3078" width="16.85546875" style="1" customWidth="1"/>
    <col min="3079" max="3079" width="9.140625" style="1"/>
    <col min="3080" max="3080" width="15.7109375" style="1" customWidth="1"/>
    <col min="3081" max="3082" width="9.140625" style="1"/>
    <col min="3083" max="3083" width="12.85546875" style="1" customWidth="1"/>
    <col min="3084" max="3325" width="9.140625" style="1"/>
    <col min="3326" max="3326" width="50.85546875" style="1" customWidth="1"/>
    <col min="3327" max="3327" width="7.5703125" style="1" customWidth="1"/>
    <col min="3328" max="3328" width="12.42578125" style="1" customWidth="1"/>
    <col min="3329" max="3329" width="14.42578125" style="1" customWidth="1"/>
    <col min="3330" max="3330" width="16.7109375" style="1" customWidth="1"/>
    <col min="3331" max="3331" width="16.5703125" style="1" customWidth="1"/>
    <col min="3332" max="3332" width="16.28515625" style="1" customWidth="1"/>
    <col min="3333" max="3333" width="16.5703125" style="1" customWidth="1"/>
    <col min="3334" max="3334" width="16.85546875" style="1" customWidth="1"/>
    <col min="3335" max="3335" width="9.140625" style="1"/>
    <col min="3336" max="3336" width="15.7109375" style="1" customWidth="1"/>
    <col min="3337" max="3338" width="9.140625" style="1"/>
    <col min="3339" max="3339" width="12.85546875" style="1" customWidth="1"/>
    <col min="3340" max="3581" width="9.140625" style="1"/>
    <col min="3582" max="3582" width="50.85546875" style="1" customWidth="1"/>
    <col min="3583" max="3583" width="7.5703125" style="1" customWidth="1"/>
    <col min="3584" max="3584" width="12.42578125" style="1" customWidth="1"/>
    <col min="3585" max="3585" width="14.42578125" style="1" customWidth="1"/>
    <col min="3586" max="3586" width="16.7109375" style="1" customWidth="1"/>
    <col min="3587" max="3587" width="16.5703125" style="1" customWidth="1"/>
    <col min="3588" max="3588" width="16.28515625" style="1" customWidth="1"/>
    <col min="3589" max="3589" width="16.5703125" style="1" customWidth="1"/>
    <col min="3590" max="3590" width="16.85546875" style="1" customWidth="1"/>
    <col min="3591" max="3591" width="9.140625" style="1"/>
    <col min="3592" max="3592" width="15.7109375" style="1" customWidth="1"/>
    <col min="3593" max="3594" width="9.140625" style="1"/>
    <col min="3595" max="3595" width="12.85546875" style="1" customWidth="1"/>
    <col min="3596" max="3837" width="9.140625" style="1"/>
    <col min="3838" max="3838" width="50.85546875" style="1" customWidth="1"/>
    <col min="3839" max="3839" width="7.5703125" style="1" customWidth="1"/>
    <col min="3840" max="3840" width="12.42578125" style="1" customWidth="1"/>
    <col min="3841" max="3841" width="14.42578125" style="1" customWidth="1"/>
    <col min="3842" max="3842" width="16.7109375" style="1" customWidth="1"/>
    <col min="3843" max="3843" width="16.5703125" style="1" customWidth="1"/>
    <col min="3844" max="3844" width="16.28515625" style="1" customWidth="1"/>
    <col min="3845" max="3845" width="16.5703125" style="1" customWidth="1"/>
    <col min="3846" max="3846" width="16.85546875" style="1" customWidth="1"/>
    <col min="3847" max="3847" width="9.140625" style="1"/>
    <col min="3848" max="3848" width="15.7109375" style="1" customWidth="1"/>
    <col min="3849" max="3850" width="9.140625" style="1"/>
    <col min="3851" max="3851" width="12.85546875" style="1" customWidth="1"/>
    <col min="3852" max="4093" width="9.140625" style="1"/>
    <col min="4094" max="4094" width="50.85546875" style="1" customWidth="1"/>
    <col min="4095" max="4095" width="7.5703125" style="1" customWidth="1"/>
    <col min="4096" max="4096" width="12.42578125" style="1" customWidth="1"/>
    <col min="4097" max="4097" width="14.42578125" style="1" customWidth="1"/>
    <col min="4098" max="4098" width="16.7109375" style="1" customWidth="1"/>
    <col min="4099" max="4099" width="16.5703125" style="1" customWidth="1"/>
    <col min="4100" max="4100" width="16.28515625" style="1" customWidth="1"/>
    <col min="4101" max="4101" width="16.5703125" style="1" customWidth="1"/>
    <col min="4102" max="4102" width="16.85546875" style="1" customWidth="1"/>
    <col min="4103" max="4103" width="9.140625" style="1"/>
    <col min="4104" max="4104" width="15.7109375" style="1" customWidth="1"/>
    <col min="4105" max="4106" width="9.140625" style="1"/>
    <col min="4107" max="4107" width="12.85546875" style="1" customWidth="1"/>
    <col min="4108" max="4349" width="9.140625" style="1"/>
    <col min="4350" max="4350" width="50.85546875" style="1" customWidth="1"/>
    <col min="4351" max="4351" width="7.5703125" style="1" customWidth="1"/>
    <col min="4352" max="4352" width="12.42578125" style="1" customWidth="1"/>
    <col min="4353" max="4353" width="14.42578125" style="1" customWidth="1"/>
    <col min="4354" max="4354" width="16.7109375" style="1" customWidth="1"/>
    <col min="4355" max="4355" width="16.5703125" style="1" customWidth="1"/>
    <col min="4356" max="4356" width="16.28515625" style="1" customWidth="1"/>
    <col min="4357" max="4357" width="16.5703125" style="1" customWidth="1"/>
    <col min="4358" max="4358" width="16.85546875" style="1" customWidth="1"/>
    <col min="4359" max="4359" width="9.140625" style="1"/>
    <col min="4360" max="4360" width="15.7109375" style="1" customWidth="1"/>
    <col min="4361" max="4362" width="9.140625" style="1"/>
    <col min="4363" max="4363" width="12.85546875" style="1" customWidth="1"/>
    <col min="4364" max="4605" width="9.140625" style="1"/>
    <col min="4606" max="4606" width="50.85546875" style="1" customWidth="1"/>
    <col min="4607" max="4607" width="7.5703125" style="1" customWidth="1"/>
    <col min="4608" max="4608" width="12.42578125" style="1" customWidth="1"/>
    <col min="4609" max="4609" width="14.42578125" style="1" customWidth="1"/>
    <col min="4610" max="4610" width="16.7109375" style="1" customWidth="1"/>
    <col min="4611" max="4611" width="16.5703125" style="1" customWidth="1"/>
    <col min="4612" max="4612" width="16.28515625" style="1" customWidth="1"/>
    <col min="4613" max="4613" width="16.5703125" style="1" customWidth="1"/>
    <col min="4614" max="4614" width="16.85546875" style="1" customWidth="1"/>
    <col min="4615" max="4615" width="9.140625" style="1"/>
    <col min="4616" max="4616" width="15.7109375" style="1" customWidth="1"/>
    <col min="4617" max="4618" width="9.140625" style="1"/>
    <col min="4619" max="4619" width="12.85546875" style="1" customWidth="1"/>
    <col min="4620" max="4861" width="9.140625" style="1"/>
    <col min="4862" max="4862" width="50.85546875" style="1" customWidth="1"/>
    <col min="4863" max="4863" width="7.5703125" style="1" customWidth="1"/>
    <col min="4864" max="4864" width="12.42578125" style="1" customWidth="1"/>
    <col min="4865" max="4865" width="14.42578125" style="1" customWidth="1"/>
    <col min="4866" max="4866" width="16.7109375" style="1" customWidth="1"/>
    <col min="4867" max="4867" width="16.5703125" style="1" customWidth="1"/>
    <col min="4868" max="4868" width="16.28515625" style="1" customWidth="1"/>
    <col min="4869" max="4869" width="16.5703125" style="1" customWidth="1"/>
    <col min="4870" max="4870" width="16.85546875" style="1" customWidth="1"/>
    <col min="4871" max="4871" width="9.140625" style="1"/>
    <col min="4872" max="4872" width="15.7109375" style="1" customWidth="1"/>
    <col min="4873" max="4874" width="9.140625" style="1"/>
    <col min="4875" max="4875" width="12.85546875" style="1" customWidth="1"/>
    <col min="4876" max="5117" width="9.140625" style="1"/>
    <col min="5118" max="5118" width="50.85546875" style="1" customWidth="1"/>
    <col min="5119" max="5119" width="7.5703125" style="1" customWidth="1"/>
    <col min="5120" max="5120" width="12.42578125" style="1" customWidth="1"/>
    <col min="5121" max="5121" width="14.42578125" style="1" customWidth="1"/>
    <col min="5122" max="5122" width="16.7109375" style="1" customWidth="1"/>
    <col min="5123" max="5123" width="16.5703125" style="1" customWidth="1"/>
    <col min="5124" max="5124" width="16.28515625" style="1" customWidth="1"/>
    <col min="5125" max="5125" width="16.5703125" style="1" customWidth="1"/>
    <col min="5126" max="5126" width="16.85546875" style="1" customWidth="1"/>
    <col min="5127" max="5127" width="9.140625" style="1"/>
    <col min="5128" max="5128" width="15.7109375" style="1" customWidth="1"/>
    <col min="5129" max="5130" width="9.140625" style="1"/>
    <col min="5131" max="5131" width="12.85546875" style="1" customWidth="1"/>
    <col min="5132" max="5373" width="9.140625" style="1"/>
    <col min="5374" max="5374" width="50.85546875" style="1" customWidth="1"/>
    <col min="5375" max="5375" width="7.5703125" style="1" customWidth="1"/>
    <col min="5376" max="5376" width="12.42578125" style="1" customWidth="1"/>
    <col min="5377" max="5377" width="14.42578125" style="1" customWidth="1"/>
    <col min="5378" max="5378" width="16.7109375" style="1" customWidth="1"/>
    <col min="5379" max="5379" width="16.5703125" style="1" customWidth="1"/>
    <col min="5380" max="5380" width="16.28515625" style="1" customWidth="1"/>
    <col min="5381" max="5381" width="16.5703125" style="1" customWidth="1"/>
    <col min="5382" max="5382" width="16.85546875" style="1" customWidth="1"/>
    <col min="5383" max="5383" width="9.140625" style="1"/>
    <col min="5384" max="5384" width="15.7109375" style="1" customWidth="1"/>
    <col min="5385" max="5386" width="9.140625" style="1"/>
    <col min="5387" max="5387" width="12.85546875" style="1" customWidth="1"/>
    <col min="5388" max="5629" width="9.140625" style="1"/>
    <col min="5630" max="5630" width="50.85546875" style="1" customWidth="1"/>
    <col min="5631" max="5631" width="7.5703125" style="1" customWidth="1"/>
    <col min="5632" max="5632" width="12.42578125" style="1" customWidth="1"/>
    <col min="5633" max="5633" width="14.42578125" style="1" customWidth="1"/>
    <col min="5634" max="5634" width="16.7109375" style="1" customWidth="1"/>
    <col min="5635" max="5635" width="16.5703125" style="1" customWidth="1"/>
    <col min="5636" max="5636" width="16.28515625" style="1" customWidth="1"/>
    <col min="5637" max="5637" width="16.5703125" style="1" customWidth="1"/>
    <col min="5638" max="5638" width="16.85546875" style="1" customWidth="1"/>
    <col min="5639" max="5639" width="9.140625" style="1"/>
    <col min="5640" max="5640" width="15.7109375" style="1" customWidth="1"/>
    <col min="5641" max="5642" width="9.140625" style="1"/>
    <col min="5643" max="5643" width="12.85546875" style="1" customWidth="1"/>
    <col min="5644" max="5885" width="9.140625" style="1"/>
    <col min="5886" max="5886" width="50.85546875" style="1" customWidth="1"/>
    <col min="5887" max="5887" width="7.5703125" style="1" customWidth="1"/>
    <col min="5888" max="5888" width="12.42578125" style="1" customWidth="1"/>
    <col min="5889" max="5889" width="14.42578125" style="1" customWidth="1"/>
    <col min="5890" max="5890" width="16.7109375" style="1" customWidth="1"/>
    <col min="5891" max="5891" width="16.5703125" style="1" customWidth="1"/>
    <col min="5892" max="5892" width="16.28515625" style="1" customWidth="1"/>
    <col min="5893" max="5893" width="16.5703125" style="1" customWidth="1"/>
    <col min="5894" max="5894" width="16.85546875" style="1" customWidth="1"/>
    <col min="5895" max="5895" width="9.140625" style="1"/>
    <col min="5896" max="5896" width="15.7109375" style="1" customWidth="1"/>
    <col min="5897" max="5898" width="9.140625" style="1"/>
    <col min="5899" max="5899" width="12.85546875" style="1" customWidth="1"/>
    <col min="5900" max="6141" width="9.140625" style="1"/>
    <col min="6142" max="6142" width="50.85546875" style="1" customWidth="1"/>
    <col min="6143" max="6143" width="7.5703125" style="1" customWidth="1"/>
    <col min="6144" max="6144" width="12.42578125" style="1" customWidth="1"/>
    <col min="6145" max="6145" width="14.42578125" style="1" customWidth="1"/>
    <col min="6146" max="6146" width="16.7109375" style="1" customWidth="1"/>
    <col min="6147" max="6147" width="16.5703125" style="1" customWidth="1"/>
    <col min="6148" max="6148" width="16.28515625" style="1" customWidth="1"/>
    <col min="6149" max="6149" width="16.5703125" style="1" customWidth="1"/>
    <col min="6150" max="6150" width="16.85546875" style="1" customWidth="1"/>
    <col min="6151" max="6151" width="9.140625" style="1"/>
    <col min="6152" max="6152" width="15.7109375" style="1" customWidth="1"/>
    <col min="6153" max="6154" width="9.140625" style="1"/>
    <col min="6155" max="6155" width="12.85546875" style="1" customWidth="1"/>
    <col min="6156" max="6397" width="9.140625" style="1"/>
    <col min="6398" max="6398" width="50.85546875" style="1" customWidth="1"/>
    <col min="6399" max="6399" width="7.5703125" style="1" customWidth="1"/>
    <col min="6400" max="6400" width="12.42578125" style="1" customWidth="1"/>
    <col min="6401" max="6401" width="14.42578125" style="1" customWidth="1"/>
    <col min="6402" max="6402" width="16.7109375" style="1" customWidth="1"/>
    <col min="6403" max="6403" width="16.5703125" style="1" customWidth="1"/>
    <col min="6404" max="6404" width="16.28515625" style="1" customWidth="1"/>
    <col min="6405" max="6405" width="16.5703125" style="1" customWidth="1"/>
    <col min="6406" max="6406" width="16.85546875" style="1" customWidth="1"/>
    <col min="6407" max="6407" width="9.140625" style="1"/>
    <col min="6408" max="6408" width="15.7109375" style="1" customWidth="1"/>
    <col min="6409" max="6410" width="9.140625" style="1"/>
    <col min="6411" max="6411" width="12.85546875" style="1" customWidth="1"/>
    <col min="6412" max="6653" width="9.140625" style="1"/>
    <col min="6654" max="6654" width="50.85546875" style="1" customWidth="1"/>
    <col min="6655" max="6655" width="7.5703125" style="1" customWidth="1"/>
    <col min="6656" max="6656" width="12.42578125" style="1" customWidth="1"/>
    <col min="6657" max="6657" width="14.42578125" style="1" customWidth="1"/>
    <col min="6658" max="6658" width="16.7109375" style="1" customWidth="1"/>
    <col min="6659" max="6659" width="16.5703125" style="1" customWidth="1"/>
    <col min="6660" max="6660" width="16.28515625" style="1" customWidth="1"/>
    <col min="6661" max="6661" width="16.5703125" style="1" customWidth="1"/>
    <col min="6662" max="6662" width="16.85546875" style="1" customWidth="1"/>
    <col min="6663" max="6663" width="9.140625" style="1"/>
    <col min="6664" max="6664" width="15.7109375" style="1" customWidth="1"/>
    <col min="6665" max="6666" width="9.140625" style="1"/>
    <col min="6667" max="6667" width="12.85546875" style="1" customWidth="1"/>
    <col min="6668" max="6909" width="9.140625" style="1"/>
    <col min="6910" max="6910" width="50.85546875" style="1" customWidth="1"/>
    <col min="6911" max="6911" width="7.5703125" style="1" customWidth="1"/>
    <col min="6912" max="6912" width="12.42578125" style="1" customWidth="1"/>
    <col min="6913" max="6913" width="14.42578125" style="1" customWidth="1"/>
    <col min="6914" max="6914" width="16.7109375" style="1" customWidth="1"/>
    <col min="6915" max="6915" width="16.5703125" style="1" customWidth="1"/>
    <col min="6916" max="6916" width="16.28515625" style="1" customWidth="1"/>
    <col min="6917" max="6917" width="16.5703125" style="1" customWidth="1"/>
    <col min="6918" max="6918" width="16.85546875" style="1" customWidth="1"/>
    <col min="6919" max="6919" width="9.140625" style="1"/>
    <col min="6920" max="6920" width="15.7109375" style="1" customWidth="1"/>
    <col min="6921" max="6922" width="9.140625" style="1"/>
    <col min="6923" max="6923" width="12.85546875" style="1" customWidth="1"/>
    <col min="6924" max="7165" width="9.140625" style="1"/>
    <col min="7166" max="7166" width="50.85546875" style="1" customWidth="1"/>
    <col min="7167" max="7167" width="7.5703125" style="1" customWidth="1"/>
    <col min="7168" max="7168" width="12.42578125" style="1" customWidth="1"/>
    <col min="7169" max="7169" width="14.42578125" style="1" customWidth="1"/>
    <col min="7170" max="7170" width="16.7109375" style="1" customWidth="1"/>
    <col min="7171" max="7171" width="16.5703125" style="1" customWidth="1"/>
    <col min="7172" max="7172" width="16.28515625" style="1" customWidth="1"/>
    <col min="7173" max="7173" width="16.5703125" style="1" customWidth="1"/>
    <col min="7174" max="7174" width="16.85546875" style="1" customWidth="1"/>
    <col min="7175" max="7175" width="9.140625" style="1"/>
    <col min="7176" max="7176" width="15.7109375" style="1" customWidth="1"/>
    <col min="7177" max="7178" width="9.140625" style="1"/>
    <col min="7179" max="7179" width="12.85546875" style="1" customWidth="1"/>
    <col min="7180" max="7421" width="9.140625" style="1"/>
    <col min="7422" max="7422" width="50.85546875" style="1" customWidth="1"/>
    <col min="7423" max="7423" width="7.5703125" style="1" customWidth="1"/>
    <col min="7424" max="7424" width="12.42578125" style="1" customWidth="1"/>
    <col min="7425" max="7425" width="14.42578125" style="1" customWidth="1"/>
    <col min="7426" max="7426" width="16.7109375" style="1" customWidth="1"/>
    <col min="7427" max="7427" width="16.5703125" style="1" customWidth="1"/>
    <col min="7428" max="7428" width="16.28515625" style="1" customWidth="1"/>
    <col min="7429" max="7429" width="16.5703125" style="1" customWidth="1"/>
    <col min="7430" max="7430" width="16.85546875" style="1" customWidth="1"/>
    <col min="7431" max="7431" width="9.140625" style="1"/>
    <col min="7432" max="7432" width="15.7109375" style="1" customWidth="1"/>
    <col min="7433" max="7434" width="9.140625" style="1"/>
    <col min="7435" max="7435" width="12.85546875" style="1" customWidth="1"/>
    <col min="7436" max="7677" width="9.140625" style="1"/>
    <col min="7678" max="7678" width="50.85546875" style="1" customWidth="1"/>
    <col min="7679" max="7679" width="7.5703125" style="1" customWidth="1"/>
    <col min="7680" max="7680" width="12.42578125" style="1" customWidth="1"/>
    <col min="7681" max="7681" width="14.42578125" style="1" customWidth="1"/>
    <col min="7682" max="7682" width="16.7109375" style="1" customWidth="1"/>
    <col min="7683" max="7683" width="16.5703125" style="1" customWidth="1"/>
    <col min="7684" max="7684" width="16.28515625" style="1" customWidth="1"/>
    <col min="7685" max="7685" width="16.5703125" style="1" customWidth="1"/>
    <col min="7686" max="7686" width="16.85546875" style="1" customWidth="1"/>
    <col min="7687" max="7687" width="9.140625" style="1"/>
    <col min="7688" max="7688" width="15.7109375" style="1" customWidth="1"/>
    <col min="7689" max="7690" width="9.140625" style="1"/>
    <col min="7691" max="7691" width="12.85546875" style="1" customWidth="1"/>
    <col min="7692" max="7933" width="9.140625" style="1"/>
    <col min="7934" max="7934" width="50.85546875" style="1" customWidth="1"/>
    <col min="7935" max="7935" width="7.5703125" style="1" customWidth="1"/>
    <col min="7936" max="7936" width="12.42578125" style="1" customWidth="1"/>
    <col min="7937" max="7937" width="14.42578125" style="1" customWidth="1"/>
    <col min="7938" max="7938" width="16.7109375" style="1" customWidth="1"/>
    <col min="7939" max="7939" width="16.5703125" style="1" customWidth="1"/>
    <col min="7940" max="7940" width="16.28515625" style="1" customWidth="1"/>
    <col min="7941" max="7941" width="16.5703125" style="1" customWidth="1"/>
    <col min="7942" max="7942" width="16.85546875" style="1" customWidth="1"/>
    <col min="7943" max="7943" width="9.140625" style="1"/>
    <col min="7944" max="7944" width="15.7109375" style="1" customWidth="1"/>
    <col min="7945" max="7946" width="9.140625" style="1"/>
    <col min="7947" max="7947" width="12.85546875" style="1" customWidth="1"/>
    <col min="7948" max="8189" width="9.140625" style="1"/>
    <col min="8190" max="8190" width="50.85546875" style="1" customWidth="1"/>
    <col min="8191" max="8191" width="7.5703125" style="1" customWidth="1"/>
    <col min="8192" max="8192" width="12.42578125" style="1" customWidth="1"/>
    <col min="8193" max="8193" width="14.42578125" style="1" customWidth="1"/>
    <col min="8194" max="8194" width="16.7109375" style="1" customWidth="1"/>
    <col min="8195" max="8195" width="16.5703125" style="1" customWidth="1"/>
    <col min="8196" max="8196" width="16.28515625" style="1" customWidth="1"/>
    <col min="8197" max="8197" width="16.5703125" style="1" customWidth="1"/>
    <col min="8198" max="8198" width="16.85546875" style="1" customWidth="1"/>
    <col min="8199" max="8199" width="9.140625" style="1"/>
    <col min="8200" max="8200" width="15.7109375" style="1" customWidth="1"/>
    <col min="8201" max="8202" width="9.140625" style="1"/>
    <col min="8203" max="8203" width="12.85546875" style="1" customWidth="1"/>
    <col min="8204" max="8445" width="9.140625" style="1"/>
    <col min="8446" max="8446" width="50.85546875" style="1" customWidth="1"/>
    <col min="8447" max="8447" width="7.5703125" style="1" customWidth="1"/>
    <col min="8448" max="8448" width="12.42578125" style="1" customWidth="1"/>
    <col min="8449" max="8449" width="14.42578125" style="1" customWidth="1"/>
    <col min="8450" max="8450" width="16.7109375" style="1" customWidth="1"/>
    <col min="8451" max="8451" width="16.5703125" style="1" customWidth="1"/>
    <col min="8452" max="8452" width="16.28515625" style="1" customWidth="1"/>
    <col min="8453" max="8453" width="16.5703125" style="1" customWidth="1"/>
    <col min="8454" max="8454" width="16.85546875" style="1" customWidth="1"/>
    <col min="8455" max="8455" width="9.140625" style="1"/>
    <col min="8456" max="8456" width="15.7109375" style="1" customWidth="1"/>
    <col min="8457" max="8458" width="9.140625" style="1"/>
    <col min="8459" max="8459" width="12.85546875" style="1" customWidth="1"/>
    <col min="8460" max="8701" width="9.140625" style="1"/>
    <col min="8702" max="8702" width="50.85546875" style="1" customWidth="1"/>
    <col min="8703" max="8703" width="7.5703125" style="1" customWidth="1"/>
    <col min="8704" max="8704" width="12.42578125" style="1" customWidth="1"/>
    <col min="8705" max="8705" width="14.42578125" style="1" customWidth="1"/>
    <col min="8706" max="8706" width="16.7109375" style="1" customWidth="1"/>
    <col min="8707" max="8707" width="16.5703125" style="1" customWidth="1"/>
    <col min="8708" max="8708" width="16.28515625" style="1" customWidth="1"/>
    <col min="8709" max="8709" width="16.5703125" style="1" customWidth="1"/>
    <col min="8710" max="8710" width="16.85546875" style="1" customWidth="1"/>
    <col min="8711" max="8711" width="9.140625" style="1"/>
    <col min="8712" max="8712" width="15.7109375" style="1" customWidth="1"/>
    <col min="8713" max="8714" width="9.140625" style="1"/>
    <col min="8715" max="8715" width="12.85546875" style="1" customWidth="1"/>
    <col min="8716" max="8957" width="9.140625" style="1"/>
    <col min="8958" max="8958" width="50.85546875" style="1" customWidth="1"/>
    <col min="8959" max="8959" width="7.5703125" style="1" customWidth="1"/>
    <col min="8960" max="8960" width="12.42578125" style="1" customWidth="1"/>
    <col min="8961" max="8961" width="14.42578125" style="1" customWidth="1"/>
    <col min="8962" max="8962" width="16.7109375" style="1" customWidth="1"/>
    <col min="8963" max="8963" width="16.5703125" style="1" customWidth="1"/>
    <col min="8964" max="8964" width="16.28515625" style="1" customWidth="1"/>
    <col min="8965" max="8965" width="16.5703125" style="1" customWidth="1"/>
    <col min="8966" max="8966" width="16.85546875" style="1" customWidth="1"/>
    <col min="8967" max="8967" width="9.140625" style="1"/>
    <col min="8968" max="8968" width="15.7109375" style="1" customWidth="1"/>
    <col min="8969" max="8970" width="9.140625" style="1"/>
    <col min="8971" max="8971" width="12.85546875" style="1" customWidth="1"/>
    <col min="8972" max="9213" width="9.140625" style="1"/>
    <col min="9214" max="9214" width="50.85546875" style="1" customWidth="1"/>
    <col min="9215" max="9215" width="7.5703125" style="1" customWidth="1"/>
    <col min="9216" max="9216" width="12.42578125" style="1" customWidth="1"/>
    <col min="9217" max="9217" width="14.42578125" style="1" customWidth="1"/>
    <col min="9218" max="9218" width="16.7109375" style="1" customWidth="1"/>
    <col min="9219" max="9219" width="16.5703125" style="1" customWidth="1"/>
    <col min="9220" max="9220" width="16.28515625" style="1" customWidth="1"/>
    <col min="9221" max="9221" width="16.5703125" style="1" customWidth="1"/>
    <col min="9222" max="9222" width="16.85546875" style="1" customWidth="1"/>
    <col min="9223" max="9223" width="9.140625" style="1"/>
    <col min="9224" max="9224" width="15.7109375" style="1" customWidth="1"/>
    <col min="9225" max="9226" width="9.140625" style="1"/>
    <col min="9227" max="9227" width="12.85546875" style="1" customWidth="1"/>
    <col min="9228" max="9469" width="9.140625" style="1"/>
    <col min="9470" max="9470" width="50.85546875" style="1" customWidth="1"/>
    <col min="9471" max="9471" width="7.5703125" style="1" customWidth="1"/>
    <col min="9472" max="9472" width="12.42578125" style="1" customWidth="1"/>
    <col min="9473" max="9473" width="14.42578125" style="1" customWidth="1"/>
    <col min="9474" max="9474" width="16.7109375" style="1" customWidth="1"/>
    <col min="9475" max="9475" width="16.5703125" style="1" customWidth="1"/>
    <col min="9476" max="9476" width="16.28515625" style="1" customWidth="1"/>
    <col min="9477" max="9477" width="16.5703125" style="1" customWidth="1"/>
    <col min="9478" max="9478" width="16.85546875" style="1" customWidth="1"/>
    <col min="9479" max="9479" width="9.140625" style="1"/>
    <col min="9480" max="9480" width="15.7109375" style="1" customWidth="1"/>
    <col min="9481" max="9482" width="9.140625" style="1"/>
    <col min="9483" max="9483" width="12.85546875" style="1" customWidth="1"/>
    <col min="9484" max="9725" width="9.140625" style="1"/>
    <col min="9726" max="9726" width="50.85546875" style="1" customWidth="1"/>
    <col min="9727" max="9727" width="7.5703125" style="1" customWidth="1"/>
    <col min="9728" max="9728" width="12.42578125" style="1" customWidth="1"/>
    <col min="9729" max="9729" width="14.42578125" style="1" customWidth="1"/>
    <col min="9730" max="9730" width="16.7109375" style="1" customWidth="1"/>
    <col min="9731" max="9731" width="16.5703125" style="1" customWidth="1"/>
    <col min="9732" max="9732" width="16.28515625" style="1" customWidth="1"/>
    <col min="9733" max="9733" width="16.5703125" style="1" customWidth="1"/>
    <col min="9734" max="9734" width="16.85546875" style="1" customWidth="1"/>
    <col min="9735" max="9735" width="9.140625" style="1"/>
    <col min="9736" max="9736" width="15.7109375" style="1" customWidth="1"/>
    <col min="9737" max="9738" width="9.140625" style="1"/>
    <col min="9739" max="9739" width="12.85546875" style="1" customWidth="1"/>
    <col min="9740" max="9981" width="9.140625" style="1"/>
    <col min="9982" max="9982" width="50.85546875" style="1" customWidth="1"/>
    <col min="9983" max="9983" width="7.5703125" style="1" customWidth="1"/>
    <col min="9984" max="9984" width="12.42578125" style="1" customWidth="1"/>
    <col min="9985" max="9985" width="14.42578125" style="1" customWidth="1"/>
    <col min="9986" max="9986" width="16.7109375" style="1" customWidth="1"/>
    <col min="9987" max="9987" width="16.5703125" style="1" customWidth="1"/>
    <col min="9988" max="9988" width="16.28515625" style="1" customWidth="1"/>
    <col min="9989" max="9989" width="16.5703125" style="1" customWidth="1"/>
    <col min="9990" max="9990" width="16.85546875" style="1" customWidth="1"/>
    <col min="9991" max="9991" width="9.140625" style="1"/>
    <col min="9992" max="9992" width="15.7109375" style="1" customWidth="1"/>
    <col min="9993" max="9994" width="9.140625" style="1"/>
    <col min="9995" max="9995" width="12.85546875" style="1" customWidth="1"/>
    <col min="9996" max="10237" width="9.140625" style="1"/>
    <col min="10238" max="10238" width="50.85546875" style="1" customWidth="1"/>
    <col min="10239" max="10239" width="7.5703125" style="1" customWidth="1"/>
    <col min="10240" max="10240" width="12.42578125" style="1" customWidth="1"/>
    <col min="10241" max="10241" width="14.42578125" style="1" customWidth="1"/>
    <col min="10242" max="10242" width="16.7109375" style="1" customWidth="1"/>
    <col min="10243" max="10243" width="16.5703125" style="1" customWidth="1"/>
    <col min="10244" max="10244" width="16.28515625" style="1" customWidth="1"/>
    <col min="10245" max="10245" width="16.5703125" style="1" customWidth="1"/>
    <col min="10246" max="10246" width="16.85546875" style="1" customWidth="1"/>
    <col min="10247" max="10247" width="9.140625" style="1"/>
    <col min="10248" max="10248" width="15.7109375" style="1" customWidth="1"/>
    <col min="10249" max="10250" width="9.140625" style="1"/>
    <col min="10251" max="10251" width="12.85546875" style="1" customWidth="1"/>
    <col min="10252" max="10493" width="9.140625" style="1"/>
    <col min="10494" max="10494" width="50.85546875" style="1" customWidth="1"/>
    <col min="10495" max="10495" width="7.5703125" style="1" customWidth="1"/>
    <col min="10496" max="10496" width="12.42578125" style="1" customWidth="1"/>
    <col min="10497" max="10497" width="14.42578125" style="1" customWidth="1"/>
    <col min="10498" max="10498" width="16.7109375" style="1" customWidth="1"/>
    <col min="10499" max="10499" width="16.5703125" style="1" customWidth="1"/>
    <col min="10500" max="10500" width="16.28515625" style="1" customWidth="1"/>
    <col min="10501" max="10501" width="16.5703125" style="1" customWidth="1"/>
    <col min="10502" max="10502" width="16.85546875" style="1" customWidth="1"/>
    <col min="10503" max="10503" width="9.140625" style="1"/>
    <col min="10504" max="10504" width="15.7109375" style="1" customWidth="1"/>
    <col min="10505" max="10506" width="9.140625" style="1"/>
    <col min="10507" max="10507" width="12.85546875" style="1" customWidth="1"/>
    <col min="10508" max="10749" width="9.140625" style="1"/>
    <col min="10750" max="10750" width="50.85546875" style="1" customWidth="1"/>
    <col min="10751" max="10751" width="7.5703125" style="1" customWidth="1"/>
    <col min="10752" max="10752" width="12.42578125" style="1" customWidth="1"/>
    <col min="10753" max="10753" width="14.42578125" style="1" customWidth="1"/>
    <col min="10754" max="10754" width="16.7109375" style="1" customWidth="1"/>
    <col min="10755" max="10755" width="16.5703125" style="1" customWidth="1"/>
    <col min="10756" max="10756" width="16.28515625" style="1" customWidth="1"/>
    <col min="10757" max="10757" width="16.5703125" style="1" customWidth="1"/>
    <col min="10758" max="10758" width="16.85546875" style="1" customWidth="1"/>
    <col min="10759" max="10759" width="9.140625" style="1"/>
    <col min="10760" max="10760" width="15.7109375" style="1" customWidth="1"/>
    <col min="10761" max="10762" width="9.140625" style="1"/>
    <col min="10763" max="10763" width="12.85546875" style="1" customWidth="1"/>
    <col min="10764" max="11005" width="9.140625" style="1"/>
    <col min="11006" max="11006" width="50.85546875" style="1" customWidth="1"/>
    <col min="11007" max="11007" width="7.5703125" style="1" customWidth="1"/>
    <col min="11008" max="11008" width="12.42578125" style="1" customWidth="1"/>
    <col min="11009" max="11009" width="14.42578125" style="1" customWidth="1"/>
    <col min="11010" max="11010" width="16.7109375" style="1" customWidth="1"/>
    <col min="11011" max="11011" width="16.5703125" style="1" customWidth="1"/>
    <col min="11012" max="11012" width="16.28515625" style="1" customWidth="1"/>
    <col min="11013" max="11013" width="16.5703125" style="1" customWidth="1"/>
    <col min="11014" max="11014" width="16.85546875" style="1" customWidth="1"/>
    <col min="11015" max="11015" width="9.140625" style="1"/>
    <col min="11016" max="11016" width="15.7109375" style="1" customWidth="1"/>
    <col min="11017" max="11018" width="9.140625" style="1"/>
    <col min="11019" max="11019" width="12.85546875" style="1" customWidth="1"/>
    <col min="11020" max="11261" width="9.140625" style="1"/>
    <col min="11262" max="11262" width="50.85546875" style="1" customWidth="1"/>
    <col min="11263" max="11263" width="7.5703125" style="1" customWidth="1"/>
    <col min="11264" max="11264" width="12.42578125" style="1" customWidth="1"/>
    <col min="11265" max="11265" width="14.42578125" style="1" customWidth="1"/>
    <col min="11266" max="11266" width="16.7109375" style="1" customWidth="1"/>
    <col min="11267" max="11267" width="16.5703125" style="1" customWidth="1"/>
    <col min="11268" max="11268" width="16.28515625" style="1" customWidth="1"/>
    <col min="11269" max="11269" width="16.5703125" style="1" customWidth="1"/>
    <col min="11270" max="11270" width="16.85546875" style="1" customWidth="1"/>
    <col min="11271" max="11271" width="9.140625" style="1"/>
    <col min="11272" max="11272" width="15.7109375" style="1" customWidth="1"/>
    <col min="11273" max="11274" width="9.140625" style="1"/>
    <col min="11275" max="11275" width="12.85546875" style="1" customWidth="1"/>
    <col min="11276" max="11517" width="9.140625" style="1"/>
    <col min="11518" max="11518" width="50.85546875" style="1" customWidth="1"/>
    <col min="11519" max="11519" width="7.5703125" style="1" customWidth="1"/>
    <col min="11520" max="11520" width="12.42578125" style="1" customWidth="1"/>
    <col min="11521" max="11521" width="14.42578125" style="1" customWidth="1"/>
    <col min="11522" max="11522" width="16.7109375" style="1" customWidth="1"/>
    <col min="11523" max="11523" width="16.5703125" style="1" customWidth="1"/>
    <col min="11524" max="11524" width="16.28515625" style="1" customWidth="1"/>
    <col min="11525" max="11525" width="16.5703125" style="1" customWidth="1"/>
    <col min="11526" max="11526" width="16.85546875" style="1" customWidth="1"/>
    <col min="11527" max="11527" width="9.140625" style="1"/>
    <col min="11528" max="11528" width="15.7109375" style="1" customWidth="1"/>
    <col min="11529" max="11530" width="9.140625" style="1"/>
    <col min="11531" max="11531" width="12.85546875" style="1" customWidth="1"/>
    <col min="11532" max="11773" width="9.140625" style="1"/>
    <col min="11774" max="11774" width="50.85546875" style="1" customWidth="1"/>
    <col min="11775" max="11775" width="7.5703125" style="1" customWidth="1"/>
    <col min="11776" max="11776" width="12.42578125" style="1" customWidth="1"/>
    <col min="11777" max="11777" width="14.42578125" style="1" customWidth="1"/>
    <col min="11778" max="11778" width="16.7109375" style="1" customWidth="1"/>
    <col min="11779" max="11779" width="16.5703125" style="1" customWidth="1"/>
    <col min="11780" max="11780" width="16.28515625" style="1" customWidth="1"/>
    <col min="11781" max="11781" width="16.5703125" style="1" customWidth="1"/>
    <col min="11782" max="11782" width="16.85546875" style="1" customWidth="1"/>
    <col min="11783" max="11783" width="9.140625" style="1"/>
    <col min="11784" max="11784" width="15.7109375" style="1" customWidth="1"/>
    <col min="11785" max="11786" width="9.140625" style="1"/>
    <col min="11787" max="11787" width="12.85546875" style="1" customWidth="1"/>
    <col min="11788" max="12029" width="9.140625" style="1"/>
    <col min="12030" max="12030" width="50.85546875" style="1" customWidth="1"/>
    <col min="12031" max="12031" width="7.5703125" style="1" customWidth="1"/>
    <col min="12032" max="12032" width="12.42578125" style="1" customWidth="1"/>
    <col min="12033" max="12033" width="14.42578125" style="1" customWidth="1"/>
    <col min="12034" max="12034" width="16.7109375" style="1" customWidth="1"/>
    <col min="12035" max="12035" width="16.5703125" style="1" customWidth="1"/>
    <col min="12036" max="12036" width="16.28515625" style="1" customWidth="1"/>
    <col min="12037" max="12037" width="16.5703125" style="1" customWidth="1"/>
    <col min="12038" max="12038" width="16.85546875" style="1" customWidth="1"/>
    <col min="12039" max="12039" width="9.140625" style="1"/>
    <col min="12040" max="12040" width="15.7109375" style="1" customWidth="1"/>
    <col min="12041" max="12042" width="9.140625" style="1"/>
    <col min="12043" max="12043" width="12.85546875" style="1" customWidth="1"/>
    <col min="12044" max="12285" width="9.140625" style="1"/>
    <col min="12286" max="12286" width="50.85546875" style="1" customWidth="1"/>
    <col min="12287" max="12287" width="7.5703125" style="1" customWidth="1"/>
    <col min="12288" max="12288" width="12.42578125" style="1" customWidth="1"/>
    <col min="12289" max="12289" width="14.42578125" style="1" customWidth="1"/>
    <col min="12290" max="12290" width="16.7109375" style="1" customWidth="1"/>
    <col min="12291" max="12291" width="16.5703125" style="1" customWidth="1"/>
    <col min="12292" max="12292" width="16.28515625" style="1" customWidth="1"/>
    <col min="12293" max="12293" width="16.5703125" style="1" customWidth="1"/>
    <col min="12294" max="12294" width="16.85546875" style="1" customWidth="1"/>
    <col min="12295" max="12295" width="9.140625" style="1"/>
    <col min="12296" max="12296" width="15.7109375" style="1" customWidth="1"/>
    <col min="12297" max="12298" width="9.140625" style="1"/>
    <col min="12299" max="12299" width="12.85546875" style="1" customWidth="1"/>
    <col min="12300" max="12541" width="9.140625" style="1"/>
    <col min="12542" max="12542" width="50.85546875" style="1" customWidth="1"/>
    <col min="12543" max="12543" width="7.5703125" style="1" customWidth="1"/>
    <col min="12544" max="12544" width="12.42578125" style="1" customWidth="1"/>
    <col min="12545" max="12545" width="14.42578125" style="1" customWidth="1"/>
    <col min="12546" max="12546" width="16.7109375" style="1" customWidth="1"/>
    <col min="12547" max="12547" width="16.5703125" style="1" customWidth="1"/>
    <col min="12548" max="12548" width="16.28515625" style="1" customWidth="1"/>
    <col min="12549" max="12549" width="16.5703125" style="1" customWidth="1"/>
    <col min="12550" max="12550" width="16.85546875" style="1" customWidth="1"/>
    <col min="12551" max="12551" width="9.140625" style="1"/>
    <col min="12552" max="12552" width="15.7109375" style="1" customWidth="1"/>
    <col min="12553" max="12554" width="9.140625" style="1"/>
    <col min="12555" max="12555" width="12.85546875" style="1" customWidth="1"/>
    <col min="12556" max="12797" width="9.140625" style="1"/>
    <col min="12798" max="12798" width="50.85546875" style="1" customWidth="1"/>
    <col min="12799" max="12799" width="7.5703125" style="1" customWidth="1"/>
    <col min="12800" max="12800" width="12.42578125" style="1" customWidth="1"/>
    <col min="12801" max="12801" width="14.42578125" style="1" customWidth="1"/>
    <col min="12802" max="12802" width="16.7109375" style="1" customWidth="1"/>
    <col min="12803" max="12803" width="16.5703125" style="1" customWidth="1"/>
    <col min="12804" max="12804" width="16.28515625" style="1" customWidth="1"/>
    <col min="12805" max="12805" width="16.5703125" style="1" customWidth="1"/>
    <col min="12806" max="12806" width="16.85546875" style="1" customWidth="1"/>
    <col min="12807" max="12807" width="9.140625" style="1"/>
    <col min="12808" max="12808" width="15.7109375" style="1" customWidth="1"/>
    <col min="12809" max="12810" width="9.140625" style="1"/>
    <col min="12811" max="12811" width="12.85546875" style="1" customWidth="1"/>
    <col min="12812" max="13053" width="9.140625" style="1"/>
    <col min="13054" max="13054" width="50.85546875" style="1" customWidth="1"/>
    <col min="13055" max="13055" width="7.5703125" style="1" customWidth="1"/>
    <col min="13056" max="13056" width="12.42578125" style="1" customWidth="1"/>
    <col min="13057" max="13057" width="14.42578125" style="1" customWidth="1"/>
    <col min="13058" max="13058" width="16.7109375" style="1" customWidth="1"/>
    <col min="13059" max="13059" width="16.5703125" style="1" customWidth="1"/>
    <col min="13060" max="13060" width="16.28515625" style="1" customWidth="1"/>
    <col min="13061" max="13061" width="16.5703125" style="1" customWidth="1"/>
    <col min="13062" max="13062" width="16.85546875" style="1" customWidth="1"/>
    <col min="13063" max="13063" width="9.140625" style="1"/>
    <col min="13064" max="13064" width="15.7109375" style="1" customWidth="1"/>
    <col min="13065" max="13066" width="9.140625" style="1"/>
    <col min="13067" max="13067" width="12.85546875" style="1" customWidth="1"/>
    <col min="13068" max="13309" width="9.140625" style="1"/>
    <col min="13310" max="13310" width="50.85546875" style="1" customWidth="1"/>
    <col min="13311" max="13311" width="7.5703125" style="1" customWidth="1"/>
    <col min="13312" max="13312" width="12.42578125" style="1" customWidth="1"/>
    <col min="13313" max="13313" width="14.42578125" style="1" customWidth="1"/>
    <col min="13314" max="13314" width="16.7109375" style="1" customWidth="1"/>
    <col min="13315" max="13315" width="16.5703125" style="1" customWidth="1"/>
    <col min="13316" max="13316" width="16.28515625" style="1" customWidth="1"/>
    <col min="13317" max="13317" width="16.5703125" style="1" customWidth="1"/>
    <col min="13318" max="13318" width="16.85546875" style="1" customWidth="1"/>
    <col min="13319" max="13319" width="9.140625" style="1"/>
    <col min="13320" max="13320" width="15.7109375" style="1" customWidth="1"/>
    <col min="13321" max="13322" width="9.140625" style="1"/>
    <col min="13323" max="13323" width="12.85546875" style="1" customWidth="1"/>
    <col min="13324" max="13565" width="9.140625" style="1"/>
    <col min="13566" max="13566" width="50.85546875" style="1" customWidth="1"/>
    <col min="13567" max="13567" width="7.5703125" style="1" customWidth="1"/>
    <col min="13568" max="13568" width="12.42578125" style="1" customWidth="1"/>
    <col min="13569" max="13569" width="14.42578125" style="1" customWidth="1"/>
    <col min="13570" max="13570" width="16.7109375" style="1" customWidth="1"/>
    <col min="13571" max="13571" width="16.5703125" style="1" customWidth="1"/>
    <col min="13572" max="13572" width="16.28515625" style="1" customWidth="1"/>
    <col min="13573" max="13573" width="16.5703125" style="1" customWidth="1"/>
    <col min="13574" max="13574" width="16.85546875" style="1" customWidth="1"/>
    <col min="13575" max="13575" width="9.140625" style="1"/>
    <col min="13576" max="13576" width="15.7109375" style="1" customWidth="1"/>
    <col min="13577" max="13578" width="9.140625" style="1"/>
    <col min="13579" max="13579" width="12.85546875" style="1" customWidth="1"/>
    <col min="13580" max="13821" width="9.140625" style="1"/>
    <col min="13822" max="13822" width="50.85546875" style="1" customWidth="1"/>
    <col min="13823" max="13823" width="7.5703125" style="1" customWidth="1"/>
    <col min="13824" max="13824" width="12.42578125" style="1" customWidth="1"/>
    <col min="13825" max="13825" width="14.42578125" style="1" customWidth="1"/>
    <col min="13826" max="13826" width="16.7109375" style="1" customWidth="1"/>
    <col min="13827" max="13827" width="16.5703125" style="1" customWidth="1"/>
    <col min="13828" max="13828" width="16.28515625" style="1" customWidth="1"/>
    <col min="13829" max="13829" width="16.5703125" style="1" customWidth="1"/>
    <col min="13830" max="13830" width="16.85546875" style="1" customWidth="1"/>
    <col min="13831" max="13831" width="9.140625" style="1"/>
    <col min="13832" max="13832" width="15.7109375" style="1" customWidth="1"/>
    <col min="13833" max="13834" width="9.140625" style="1"/>
    <col min="13835" max="13835" width="12.85546875" style="1" customWidth="1"/>
    <col min="13836" max="14077" width="9.140625" style="1"/>
    <col min="14078" max="14078" width="50.85546875" style="1" customWidth="1"/>
    <col min="14079" max="14079" width="7.5703125" style="1" customWidth="1"/>
    <col min="14080" max="14080" width="12.42578125" style="1" customWidth="1"/>
    <col min="14081" max="14081" width="14.42578125" style="1" customWidth="1"/>
    <col min="14082" max="14082" width="16.7109375" style="1" customWidth="1"/>
    <col min="14083" max="14083" width="16.5703125" style="1" customWidth="1"/>
    <col min="14084" max="14084" width="16.28515625" style="1" customWidth="1"/>
    <col min="14085" max="14085" width="16.5703125" style="1" customWidth="1"/>
    <col min="14086" max="14086" width="16.85546875" style="1" customWidth="1"/>
    <col min="14087" max="14087" width="9.140625" style="1"/>
    <col min="14088" max="14088" width="15.7109375" style="1" customWidth="1"/>
    <col min="14089" max="14090" width="9.140625" style="1"/>
    <col min="14091" max="14091" width="12.85546875" style="1" customWidth="1"/>
    <col min="14092" max="14333" width="9.140625" style="1"/>
    <col min="14334" max="14334" width="50.85546875" style="1" customWidth="1"/>
    <col min="14335" max="14335" width="7.5703125" style="1" customWidth="1"/>
    <col min="14336" max="14336" width="12.42578125" style="1" customWidth="1"/>
    <col min="14337" max="14337" width="14.42578125" style="1" customWidth="1"/>
    <col min="14338" max="14338" width="16.7109375" style="1" customWidth="1"/>
    <col min="14339" max="14339" width="16.5703125" style="1" customWidth="1"/>
    <col min="14340" max="14340" width="16.28515625" style="1" customWidth="1"/>
    <col min="14341" max="14341" width="16.5703125" style="1" customWidth="1"/>
    <col min="14342" max="14342" width="16.85546875" style="1" customWidth="1"/>
    <col min="14343" max="14343" width="9.140625" style="1"/>
    <col min="14344" max="14344" width="15.7109375" style="1" customWidth="1"/>
    <col min="14345" max="14346" width="9.140625" style="1"/>
    <col min="14347" max="14347" width="12.85546875" style="1" customWidth="1"/>
    <col min="14348" max="14589" width="9.140625" style="1"/>
    <col min="14590" max="14590" width="50.85546875" style="1" customWidth="1"/>
    <col min="14591" max="14591" width="7.5703125" style="1" customWidth="1"/>
    <col min="14592" max="14592" width="12.42578125" style="1" customWidth="1"/>
    <col min="14593" max="14593" width="14.42578125" style="1" customWidth="1"/>
    <col min="14594" max="14594" width="16.7109375" style="1" customWidth="1"/>
    <col min="14595" max="14595" width="16.5703125" style="1" customWidth="1"/>
    <col min="14596" max="14596" width="16.28515625" style="1" customWidth="1"/>
    <col min="14597" max="14597" width="16.5703125" style="1" customWidth="1"/>
    <col min="14598" max="14598" width="16.85546875" style="1" customWidth="1"/>
    <col min="14599" max="14599" width="9.140625" style="1"/>
    <col min="14600" max="14600" width="15.7109375" style="1" customWidth="1"/>
    <col min="14601" max="14602" width="9.140625" style="1"/>
    <col min="14603" max="14603" width="12.85546875" style="1" customWidth="1"/>
    <col min="14604" max="14845" width="9.140625" style="1"/>
    <col min="14846" max="14846" width="50.85546875" style="1" customWidth="1"/>
    <col min="14847" max="14847" width="7.5703125" style="1" customWidth="1"/>
    <col min="14848" max="14848" width="12.42578125" style="1" customWidth="1"/>
    <col min="14849" max="14849" width="14.42578125" style="1" customWidth="1"/>
    <col min="14850" max="14850" width="16.7109375" style="1" customWidth="1"/>
    <col min="14851" max="14851" width="16.5703125" style="1" customWidth="1"/>
    <col min="14852" max="14852" width="16.28515625" style="1" customWidth="1"/>
    <col min="14853" max="14853" width="16.5703125" style="1" customWidth="1"/>
    <col min="14854" max="14854" width="16.85546875" style="1" customWidth="1"/>
    <col min="14855" max="14855" width="9.140625" style="1"/>
    <col min="14856" max="14856" width="15.7109375" style="1" customWidth="1"/>
    <col min="14857" max="14858" width="9.140625" style="1"/>
    <col min="14859" max="14859" width="12.85546875" style="1" customWidth="1"/>
    <col min="14860" max="15101" width="9.140625" style="1"/>
    <col min="15102" max="15102" width="50.85546875" style="1" customWidth="1"/>
    <col min="15103" max="15103" width="7.5703125" style="1" customWidth="1"/>
    <col min="15104" max="15104" width="12.42578125" style="1" customWidth="1"/>
    <col min="15105" max="15105" width="14.42578125" style="1" customWidth="1"/>
    <col min="15106" max="15106" width="16.7109375" style="1" customWidth="1"/>
    <col min="15107" max="15107" width="16.5703125" style="1" customWidth="1"/>
    <col min="15108" max="15108" width="16.28515625" style="1" customWidth="1"/>
    <col min="15109" max="15109" width="16.5703125" style="1" customWidth="1"/>
    <col min="15110" max="15110" width="16.85546875" style="1" customWidth="1"/>
    <col min="15111" max="15111" width="9.140625" style="1"/>
    <col min="15112" max="15112" width="15.7109375" style="1" customWidth="1"/>
    <col min="15113" max="15114" width="9.140625" style="1"/>
    <col min="15115" max="15115" width="12.85546875" style="1" customWidth="1"/>
    <col min="15116" max="15357" width="9.140625" style="1"/>
    <col min="15358" max="15358" width="50.85546875" style="1" customWidth="1"/>
    <col min="15359" max="15359" width="7.5703125" style="1" customWidth="1"/>
    <col min="15360" max="15360" width="12.42578125" style="1" customWidth="1"/>
    <col min="15361" max="15361" width="14.42578125" style="1" customWidth="1"/>
    <col min="15362" max="15362" width="16.7109375" style="1" customWidth="1"/>
    <col min="15363" max="15363" width="16.5703125" style="1" customWidth="1"/>
    <col min="15364" max="15364" width="16.28515625" style="1" customWidth="1"/>
    <col min="15365" max="15365" width="16.5703125" style="1" customWidth="1"/>
    <col min="15366" max="15366" width="16.85546875" style="1" customWidth="1"/>
    <col min="15367" max="15367" width="9.140625" style="1"/>
    <col min="15368" max="15368" width="15.7109375" style="1" customWidth="1"/>
    <col min="15369" max="15370" width="9.140625" style="1"/>
    <col min="15371" max="15371" width="12.85546875" style="1" customWidth="1"/>
    <col min="15372" max="15613" width="9.140625" style="1"/>
    <col min="15614" max="15614" width="50.85546875" style="1" customWidth="1"/>
    <col min="15615" max="15615" width="7.5703125" style="1" customWidth="1"/>
    <col min="15616" max="15616" width="12.42578125" style="1" customWidth="1"/>
    <col min="15617" max="15617" width="14.42578125" style="1" customWidth="1"/>
    <col min="15618" max="15618" width="16.7109375" style="1" customWidth="1"/>
    <col min="15619" max="15619" width="16.5703125" style="1" customWidth="1"/>
    <col min="15620" max="15620" width="16.28515625" style="1" customWidth="1"/>
    <col min="15621" max="15621" width="16.5703125" style="1" customWidth="1"/>
    <col min="15622" max="15622" width="16.85546875" style="1" customWidth="1"/>
    <col min="15623" max="15623" width="9.140625" style="1"/>
    <col min="15624" max="15624" width="15.7109375" style="1" customWidth="1"/>
    <col min="15625" max="15626" width="9.140625" style="1"/>
    <col min="15627" max="15627" width="12.85546875" style="1" customWidth="1"/>
    <col min="15628" max="15869" width="9.140625" style="1"/>
    <col min="15870" max="15870" width="50.85546875" style="1" customWidth="1"/>
    <col min="15871" max="15871" width="7.5703125" style="1" customWidth="1"/>
    <col min="15872" max="15872" width="12.42578125" style="1" customWidth="1"/>
    <col min="15873" max="15873" width="14.42578125" style="1" customWidth="1"/>
    <col min="15874" max="15874" width="16.7109375" style="1" customWidth="1"/>
    <col min="15875" max="15875" width="16.5703125" style="1" customWidth="1"/>
    <col min="15876" max="15876" width="16.28515625" style="1" customWidth="1"/>
    <col min="15877" max="15877" width="16.5703125" style="1" customWidth="1"/>
    <col min="15878" max="15878" width="16.85546875" style="1" customWidth="1"/>
    <col min="15879" max="15879" width="9.140625" style="1"/>
    <col min="15880" max="15880" width="15.7109375" style="1" customWidth="1"/>
    <col min="15881" max="15882" width="9.140625" style="1"/>
    <col min="15883" max="15883" width="12.85546875" style="1" customWidth="1"/>
    <col min="15884" max="16125" width="9.140625" style="1"/>
    <col min="16126" max="16126" width="50.85546875" style="1" customWidth="1"/>
    <col min="16127" max="16127" width="7.5703125" style="1" customWidth="1"/>
    <col min="16128" max="16128" width="12.42578125" style="1" customWidth="1"/>
    <col min="16129" max="16129" width="14.42578125" style="1" customWidth="1"/>
    <col min="16130" max="16130" width="16.7109375" style="1" customWidth="1"/>
    <col min="16131" max="16131" width="16.5703125" style="1" customWidth="1"/>
    <col min="16132" max="16132" width="16.28515625" style="1" customWidth="1"/>
    <col min="16133" max="16133" width="16.5703125" style="1" customWidth="1"/>
    <col min="16134" max="16134" width="16.85546875" style="1" customWidth="1"/>
    <col min="16135" max="16135" width="9.140625" style="1"/>
    <col min="16136" max="16136" width="15.7109375" style="1" customWidth="1"/>
    <col min="16137" max="16138" width="9.140625" style="1"/>
    <col min="16139" max="16139" width="12.85546875" style="1" customWidth="1"/>
    <col min="16140" max="16384" width="9.140625" style="1"/>
  </cols>
  <sheetData>
    <row r="1" spans="1:11" s="5" customFormat="1" ht="15" customHeight="1" x14ac:dyDescent="0.25">
      <c r="A1" s="88" t="s">
        <v>31</v>
      </c>
      <c r="B1" s="89"/>
      <c r="C1" s="89"/>
      <c r="D1" s="89"/>
      <c r="E1" s="89"/>
      <c r="F1" s="89"/>
      <c r="G1" s="89"/>
      <c r="H1" s="89"/>
      <c r="I1" s="90"/>
      <c r="J1" s="3" t="s">
        <v>2</v>
      </c>
    </row>
    <row r="2" spans="1:11" s="5" customFormat="1" ht="16.5" customHeight="1" x14ac:dyDescent="0.25">
      <c r="A2" s="91"/>
      <c r="B2" s="92"/>
      <c r="C2" s="92"/>
      <c r="D2" s="92"/>
      <c r="E2" s="92"/>
      <c r="F2" s="92"/>
      <c r="G2" s="92"/>
      <c r="H2" s="92"/>
      <c r="I2" s="93"/>
      <c r="J2" s="45" t="s">
        <v>105</v>
      </c>
    </row>
    <row r="3" spans="1:11" s="5" customFormat="1" ht="18.75" customHeight="1" x14ac:dyDescent="0.25">
      <c r="A3" s="86" t="s">
        <v>32</v>
      </c>
      <c r="B3" s="87"/>
      <c r="C3" s="86" t="s">
        <v>33</v>
      </c>
      <c r="D3" s="94"/>
      <c r="E3" s="94"/>
      <c r="F3" s="87"/>
      <c r="G3" s="86" t="s">
        <v>34</v>
      </c>
      <c r="H3" s="87"/>
      <c r="I3" s="46" t="s">
        <v>35</v>
      </c>
      <c r="J3" s="46" t="s">
        <v>45</v>
      </c>
    </row>
    <row r="4" spans="1:11" s="5" customFormat="1" ht="21.75" customHeight="1" x14ac:dyDescent="0.25">
      <c r="A4" s="82" t="s">
        <v>44</v>
      </c>
      <c r="B4" s="83"/>
      <c r="C4" s="84" t="s">
        <v>44</v>
      </c>
      <c r="D4" s="95"/>
      <c r="E4" s="95"/>
      <c r="F4" s="85"/>
      <c r="G4" s="84"/>
      <c r="H4" s="85"/>
      <c r="I4" s="47">
        <v>45035</v>
      </c>
      <c r="J4" s="47" t="s">
        <v>79</v>
      </c>
    </row>
    <row r="5" spans="1:11" s="5" customFormat="1" ht="18.75" customHeight="1" x14ac:dyDescent="0.25">
      <c r="A5" s="86" t="s">
        <v>36</v>
      </c>
      <c r="B5" s="87"/>
      <c r="C5" s="86" t="s">
        <v>37</v>
      </c>
      <c r="D5" s="87"/>
      <c r="E5" s="86" t="s">
        <v>38</v>
      </c>
      <c r="F5" s="87"/>
      <c r="G5" s="46" t="s">
        <v>39</v>
      </c>
      <c r="H5" s="46" t="s">
        <v>40</v>
      </c>
      <c r="I5" s="86" t="s">
        <v>41</v>
      </c>
      <c r="J5" s="87"/>
    </row>
    <row r="6" spans="1:11" s="5" customFormat="1" ht="24" customHeight="1" x14ac:dyDescent="0.25">
      <c r="A6" s="110" t="s">
        <v>46</v>
      </c>
      <c r="B6" s="111"/>
      <c r="C6" s="112" t="s">
        <v>80</v>
      </c>
      <c r="D6" s="113"/>
      <c r="E6" s="114" t="s">
        <v>81</v>
      </c>
      <c r="F6" s="115"/>
      <c r="G6" s="47">
        <v>45035</v>
      </c>
      <c r="H6" s="47" t="s">
        <v>82</v>
      </c>
      <c r="I6" s="116">
        <v>45474</v>
      </c>
      <c r="J6" s="117"/>
    </row>
    <row r="7" spans="1:11" s="5" customFormat="1" ht="18.75" customHeight="1" x14ac:dyDescent="0.25">
      <c r="A7" s="118" t="s">
        <v>4</v>
      </c>
      <c r="B7" s="119"/>
      <c r="C7" s="86" t="s">
        <v>42</v>
      </c>
      <c r="D7" s="94"/>
      <c r="E7" s="87"/>
      <c r="F7" s="26" t="s">
        <v>43</v>
      </c>
      <c r="G7" s="86" t="s">
        <v>5</v>
      </c>
      <c r="H7" s="87"/>
      <c r="I7" s="118" t="s">
        <v>6</v>
      </c>
      <c r="J7" s="119"/>
      <c r="K7" s="70">
        <f>F8/K8</f>
        <v>0.86539999999999995</v>
      </c>
    </row>
    <row r="8" spans="1:11" s="5" customFormat="1" ht="32.25" customHeight="1" x14ac:dyDescent="0.25">
      <c r="A8" s="120" t="s">
        <v>47</v>
      </c>
      <c r="B8" s="121"/>
      <c r="C8" s="122" t="s">
        <v>48</v>
      </c>
      <c r="D8" s="123"/>
      <c r="E8" s="124"/>
      <c r="F8" s="48">
        <v>9562787.7799999993</v>
      </c>
      <c r="G8" s="125">
        <f>BM.05!$I$26</f>
        <v>866153.38</v>
      </c>
      <c r="H8" s="126"/>
      <c r="I8" s="116" t="s">
        <v>106</v>
      </c>
      <c r="J8" s="117"/>
      <c r="K8" s="71">
        <v>11050541.890000001</v>
      </c>
    </row>
    <row r="9" spans="1:11" s="5" customFormat="1" ht="7.5" customHeight="1" x14ac:dyDescent="0.25">
      <c r="A9" s="4"/>
      <c r="E9" s="1"/>
      <c r="J9" s="2"/>
    </row>
    <row r="10" spans="1:11" s="5" customFormat="1" ht="14.25" customHeight="1" x14ac:dyDescent="0.25">
      <c r="A10" s="6"/>
      <c r="B10" s="7"/>
      <c r="C10" s="8"/>
      <c r="D10" s="7"/>
      <c r="E10" s="96" t="s">
        <v>1</v>
      </c>
      <c r="F10" s="96"/>
      <c r="G10" s="96"/>
      <c r="H10" s="97" t="s">
        <v>7</v>
      </c>
      <c r="I10" s="96"/>
      <c r="J10" s="98"/>
    </row>
    <row r="11" spans="1:11" s="5" customFormat="1" x14ac:dyDescent="0.25">
      <c r="A11" s="99" t="s">
        <v>0</v>
      </c>
      <c r="B11" s="100" t="s">
        <v>8</v>
      </c>
      <c r="C11" s="101" t="s">
        <v>9</v>
      </c>
      <c r="D11" s="102" t="s">
        <v>10</v>
      </c>
      <c r="E11" s="9"/>
      <c r="F11" s="11" t="s">
        <v>11</v>
      </c>
      <c r="G11" s="42" t="s">
        <v>12</v>
      </c>
      <c r="H11" s="10"/>
      <c r="I11" s="11" t="s">
        <v>30</v>
      </c>
      <c r="J11" s="11" t="s">
        <v>13</v>
      </c>
    </row>
    <row r="12" spans="1:11" s="5" customFormat="1" x14ac:dyDescent="0.25">
      <c r="A12" s="99"/>
      <c r="B12" s="100"/>
      <c r="C12" s="101"/>
      <c r="D12" s="102"/>
      <c r="E12" s="9" t="s">
        <v>14</v>
      </c>
      <c r="F12" s="11" t="s">
        <v>15</v>
      </c>
      <c r="G12" s="42" t="s">
        <v>16</v>
      </c>
      <c r="H12" s="10" t="s">
        <v>14</v>
      </c>
      <c r="I12" s="11" t="s">
        <v>15</v>
      </c>
      <c r="J12" s="11" t="s">
        <v>17</v>
      </c>
    </row>
    <row r="13" spans="1:11" s="5" customFormat="1" x14ac:dyDescent="0.25">
      <c r="A13" s="12"/>
      <c r="B13" s="11"/>
      <c r="C13" s="43"/>
      <c r="D13" s="27"/>
      <c r="E13" s="9"/>
      <c r="F13" s="11" t="s">
        <v>18</v>
      </c>
      <c r="G13" s="42" t="s">
        <v>18</v>
      </c>
      <c r="H13" s="13"/>
      <c r="I13" s="13" t="s">
        <v>6</v>
      </c>
      <c r="J13" s="13" t="s">
        <v>18</v>
      </c>
    </row>
    <row r="14" spans="1:11" s="5" customFormat="1" ht="30" customHeight="1" x14ac:dyDescent="0.25">
      <c r="A14" s="33" t="s">
        <v>19</v>
      </c>
      <c r="B14" s="34" t="s">
        <v>51</v>
      </c>
      <c r="C14" s="35"/>
      <c r="D14" s="36"/>
      <c r="E14" s="36"/>
      <c r="F14" s="36"/>
      <c r="G14" s="37"/>
      <c r="H14" s="38">
        <f>SUM(H15:H18)</f>
        <v>3152638.34</v>
      </c>
      <c r="I14" s="38">
        <f>SUM(I15:I18)</f>
        <v>290131.25</v>
      </c>
      <c r="J14" s="38">
        <f>SUM(J15:J18)</f>
        <v>1426175.45</v>
      </c>
    </row>
    <row r="15" spans="1:11" s="5" customFormat="1" ht="30" customHeight="1" x14ac:dyDescent="0.25">
      <c r="A15" s="23" t="s">
        <v>20</v>
      </c>
      <c r="B15" s="28" t="s">
        <v>52</v>
      </c>
      <c r="C15" s="29" t="s">
        <v>63</v>
      </c>
      <c r="D15" s="30">
        <v>0.37</v>
      </c>
      <c r="E15" s="30">
        <v>150146.44</v>
      </c>
      <c r="F15" s="32">
        <f>'Memória 05'!E7</f>
        <v>13592.97</v>
      </c>
      <c r="G15" s="30">
        <f>F15+BM.04!G15</f>
        <v>65360.76</v>
      </c>
      <c r="H15" s="39">
        <f>ROUND(E15*D15,2)</f>
        <v>55554.18</v>
      </c>
      <c r="I15" s="40">
        <f>ROUND(D15*F15,2)</f>
        <v>5029.3999999999996</v>
      </c>
      <c r="J15" s="39">
        <f>ROUND(D15*G15,2)</f>
        <v>24183.48</v>
      </c>
      <c r="K15" s="5">
        <f>F8/E15</f>
        <v>63.6897403628085</v>
      </c>
    </row>
    <row r="16" spans="1:11" s="5" customFormat="1" ht="30" customHeight="1" x14ac:dyDescent="0.25">
      <c r="A16" s="23" t="s">
        <v>21</v>
      </c>
      <c r="B16" s="25" t="s">
        <v>53</v>
      </c>
      <c r="C16" s="23" t="s">
        <v>64</v>
      </c>
      <c r="D16" s="24">
        <v>184.43</v>
      </c>
      <c r="E16" s="24">
        <v>14414.06</v>
      </c>
      <c r="F16" s="32">
        <f>'Memória 05'!E8</f>
        <v>1327.41</v>
      </c>
      <c r="G16" s="30">
        <f>F16+BM.04!G16</f>
        <v>6530.98</v>
      </c>
      <c r="H16" s="39">
        <f t="shared" ref="H16:H18" si="0">ROUND(E16*D16,2)</f>
        <v>2658385.09</v>
      </c>
      <c r="I16" s="40">
        <f t="shared" ref="I16:I18" si="1">ROUND(D16*F16,2)</f>
        <v>244814.23</v>
      </c>
      <c r="J16" s="39">
        <f t="shared" ref="J16:J18" si="2">ROUND(D16*G16,2)</f>
        <v>1204508.6399999999</v>
      </c>
    </row>
    <row r="17" spans="1:11" s="5" customFormat="1" ht="30" customHeight="1" x14ac:dyDescent="0.25">
      <c r="A17" s="23" t="s">
        <v>22</v>
      </c>
      <c r="B17" s="25" t="s">
        <v>54</v>
      </c>
      <c r="C17" s="23" t="s">
        <v>65</v>
      </c>
      <c r="D17" s="24">
        <v>0.96</v>
      </c>
      <c r="E17" s="24">
        <v>75637.77</v>
      </c>
      <c r="F17" s="32">
        <f>'Memória 05'!E9</f>
        <v>6846.94</v>
      </c>
      <c r="G17" s="30">
        <f>F17+BM.04!G17</f>
        <v>32929.11</v>
      </c>
      <c r="H17" s="39">
        <f t="shared" si="0"/>
        <v>72612.259999999995</v>
      </c>
      <c r="I17" s="40">
        <f t="shared" si="1"/>
        <v>6573.06</v>
      </c>
      <c r="J17" s="39">
        <f t="shared" si="2"/>
        <v>31611.95</v>
      </c>
    </row>
    <row r="18" spans="1:11" s="5" customFormat="1" ht="30" customHeight="1" x14ac:dyDescent="0.25">
      <c r="A18" s="23" t="s">
        <v>23</v>
      </c>
      <c r="B18" s="25" t="s">
        <v>55</v>
      </c>
      <c r="C18" s="23" t="s">
        <v>65</v>
      </c>
      <c r="D18" s="24">
        <v>1.1000000000000001</v>
      </c>
      <c r="E18" s="24">
        <v>332806.19</v>
      </c>
      <c r="F18" s="32">
        <f>'Memória 05'!E10</f>
        <v>30649.599999999999</v>
      </c>
      <c r="G18" s="30">
        <f>F18+BM.04!G18</f>
        <v>150792.16</v>
      </c>
      <c r="H18" s="39">
        <f t="shared" si="0"/>
        <v>366086.81</v>
      </c>
      <c r="I18" s="40">
        <f t="shared" si="1"/>
        <v>33714.559999999998</v>
      </c>
      <c r="J18" s="39">
        <f t="shared" si="2"/>
        <v>165871.38</v>
      </c>
    </row>
    <row r="19" spans="1:11" s="5" customFormat="1" ht="30" customHeight="1" x14ac:dyDescent="0.25">
      <c r="A19" s="33" t="s">
        <v>24</v>
      </c>
      <c r="B19" s="34" t="s">
        <v>56</v>
      </c>
      <c r="C19" s="35"/>
      <c r="D19" s="36"/>
      <c r="E19" s="36"/>
      <c r="F19" s="36"/>
      <c r="G19" s="36"/>
      <c r="H19" s="38">
        <f>H20</f>
        <v>130690.16</v>
      </c>
      <c r="I19" s="38">
        <f>SUM(I20:I20)</f>
        <v>0</v>
      </c>
      <c r="J19" s="38">
        <f>SUM(J20:J20)</f>
        <v>17036.330000000002</v>
      </c>
    </row>
    <row r="20" spans="1:11" s="5" customFormat="1" ht="30" customHeight="1" x14ac:dyDescent="0.25">
      <c r="A20" s="23" t="s">
        <v>26</v>
      </c>
      <c r="B20" s="25" t="s">
        <v>57</v>
      </c>
      <c r="C20" s="23" t="s">
        <v>63</v>
      </c>
      <c r="D20" s="24">
        <v>24.88</v>
      </c>
      <c r="E20" s="24">
        <v>5252.82</v>
      </c>
      <c r="F20" s="32">
        <f>'Memória 05'!E12</f>
        <v>0</v>
      </c>
      <c r="G20" s="30">
        <f>F20+BM.04!G20</f>
        <v>684.74</v>
      </c>
      <c r="H20" s="39">
        <f>ROUND(E20*D20,2)</f>
        <v>130690.16</v>
      </c>
      <c r="I20" s="40">
        <f>ROUND(D20*F20,2)</f>
        <v>0</v>
      </c>
      <c r="J20" s="39">
        <f>ROUND(D20*G20,2)</f>
        <v>17036.330000000002</v>
      </c>
    </row>
    <row r="21" spans="1:11" s="5" customFormat="1" ht="30" customHeight="1" x14ac:dyDescent="0.25">
      <c r="A21" s="33" t="s">
        <v>28</v>
      </c>
      <c r="B21" s="34" t="s">
        <v>58</v>
      </c>
      <c r="C21" s="35"/>
      <c r="D21" s="36"/>
      <c r="E21" s="36"/>
      <c r="F21" s="36"/>
      <c r="G21" s="36"/>
      <c r="H21" s="38">
        <f>SUM(H22:H23)</f>
        <v>6277954.25</v>
      </c>
      <c r="I21" s="38">
        <f>SUM(I22:I23)</f>
        <v>576022.13</v>
      </c>
      <c r="J21" s="38">
        <f>SUM(J22:J23)</f>
        <v>2820321.2799999998</v>
      </c>
    </row>
    <row r="22" spans="1:11" s="5" customFormat="1" ht="30" customHeight="1" x14ac:dyDescent="0.25">
      <c r="A22" s="23" t="s">
        <v>25</v>
      </c>
      <c r="B22" s="25" t="s">
        <v>59</v>
      </c>
      <c r="C22" s="23" t="s">
        <v>64</v>
      </c>
      <c r="D22" s="24">
        <v>7561.81</v>
      </c>
      <c r="E22" s="24">
        <v>180.18</v>
      </c>
      <c r="F22" s="32">
        <f>'Memória 05'!E14</f>
        <v>16.309999999999999</v>
      </c>
      <c r="G22" s="30">
        <f>F22+BM.04!G22</f>
        <v>78.44</v>
      </c>
      <c r="H22" s="39">
        <f>ROUND(E22*D22,2)</f>
        <v>1362486.93</v>
      </c>
      <c r="I22" s="40">
        <f t="shared" ref="I22:I23" si="3">ROUND(D22*F22,2)</f>
        <v>123333.12</v>
      </c>
      <c r="J22" s="39">
        <f t="shared" ref="J22:J23" si="4">ROUND(D22*G22,2)</f>
        <v>593148.38</v>
      </c>
    </row>
    <row r="23" spans="1:11" s="5" customFormat="1" ht="30" customHeight="1" x14ac:dyDescent="0.25">
      <c r="A23" s="23" t="s">
        <v>29</v>
      </c>
      <c r="B23" s="25" t="s">
        <v>60</v>
      </c>
      <c r="C23" s="23" t="s">
        <v>64</v>
      </c>
      <c r="D23" s="24">
        <v>6200.37</v>
      </c>
      <c r="E23" s="24">
        <v>792.77</v>
      </c>
      <c r="F23" s="32">
        <f>'Memória 05'!E15</f>
        <v>73.010000000000005</v>
      </c>
      <c r="G23" s="30">
        <f>F23+BM.04!G23</f>
        <v>359.2</v>
      </c>
      <c r="H23" s="39">
        <f>ROUND(E23*D23,2)</f>
        <v>4915467.32</v>
      </c>
      <c r="I23" s="40">
        <f t="shared" si="3"/>
        <v>452689.01</v>
      </c>
      <c r="J23" s="39">
        <f t="shared" si="4"/>
        <v>2227172.9</v>
      </c>
    </row>
    <row r="24" spans="1:11" s="5" customFormat="1" ht="30" customHeight="1" x14ac:dyDescent="0.25">
      <c r="A24" s="33" t="s">
        <v>49</v>
      </c>
      <c r="B24" s="34" t="s">
        <v>61</v>
      </c>
      <c r="C24" s="35"/>
      <c r="D24" s="36"/>
      <c r="E24" s="36"/>
      <c r="F24" s="36"/>
      <c r="G24" s="36"/>
      <c r="H24" s="38">
        <f>H25</f>
        <v>1505.03</v>
      </c>
      <c r="I24" s="38">
        <f>SUM(I25:I25)</f>
        <v>0</v>
      </c>
      <c r="J24" s="38">
        <f>SUM(J25:J25)</f>
        <v>0</v>
      </c>
    </row>
    <row r="25" spans="1:11" s="5" customFormat="1" ht="30" customHeight="1" x14ac:dyDescent="0.25">
      <c r="A25" s="23" t="s">
        <v>50</v>
      </c>
      <c r="B25" s="25" t="s">
        <v>62</v>
      </c>
      <c r="C25" s="23" t="s">
        <v>63</v>
      </c>
      <c r="D25" s="24">
        <v>334.45</v>
      </c>
      <c r="E25" s="24">
        <v>4.5</v>
      </c>
      <c r="F25" s="32">
        <f>'Memória 05'!E17</f>
        <v>0</v>
      </c>
      <c r="G25" s="30">
        <f>F25+BM.04!G25</f>
        <v>0</v>
      </c>
      <c r="H25" s="39">
        <f>ROUND(E25*D25,2)</f>
        <v>1505.03</v>
      </c>
      <c r="I25" s="40">
        <f>ROUND(D25*F25,2)</f>
        <v>0</v>
      </c>
      <c r="J25" s="39">
        <f>ROUND(D25*G25,2)</f>
        <v>0</v>
      </c>
    </row>
    <row r="26" spans="1:11" s="5" customFormat="1" ht="30" customHeight="1" x14ac:dyDescent="0.25">
      <c r="A26" s="103" t="s">
        <v>73</v>
      </c>
      <c r="B26" s="104"/>
      <c r="C26" s="104"/>
      <c r="D26" s="104"/>
      <c r="E26" s="104"/>
      <c r="F26" s="104"/>
      <c r="G26" s="105"/>
      <c r="H26" s="41">
        <f>H14+H19+H21+H24</f>
        <v>9562787.7799999993</v>
      </c>
      <c r="I26" s="41">
        <f>I14+I19+I21+I24</f>
        <v>866153.38</v>
      </c>
      <c r="J26" s="41">
        <f>J14+J19+J21+J24</f>
        <v>4263533.0599999996</v>
      </c>
      <c r="K26" s="70">
        <f>J26/H26</f>
        <v>0.44579999999999997</v>
      </c>
    </row>
    <row r="27" spans="1:11" s="5" customFormat="1" ht="6" customHeight="1" x14ac:dyDescent="0.25">
      <c r="A27" s="14"/>
      <c r="B27" s="14"/>
      <c r="C27" s="14"/>
      <c r="D27" s="14"/>
      <c r="E27" s="14"/>
      <c r="F27" s="15"/>
      <c r="G27" s="15"/>
      <c r="H27" s="16"/>
      <c r="I27" s="16"/>
      <c r="J27" s="16"/>
    </row>
    <row r="28" spans="1:11" ht="22.5" customHeight="1" x14ac:dyDescent="0.25">
      <c r="A28" s="106" t="s">
        <v>27</v>
      </c>
      <c r="B28" s="106"/>
      <c r="C28" s="106"/>
      <c r="D28" s="107">
        <f>I26</f>
        <v>866153.38</v>
      </c>
      <c r="E28" s="107"/>
      <c r="F28" s="108"/>
      <c r="G28" s="108"/>
      <c r="H28" s="108"/>
      <c r="I28" s="108"/>
      <c r="J28" s="108"/>
    </row>
    <row r="29" spans="1:11" ht="8.25" customHeight="1" x14ac:dyDescent="0.25">
      <c r="C29" s="18"/>
      <c r="E29" s="19"/>
      <c r="F29" s="19"/>
    </row>
    <row r="30" spans="1:11" ht="17.25" customHeight="1" x14ac:dyDescent="0.25">
      <c r="C30" s="20"/>
      <c r="D30" s="20"/>
      <c r="E30" s="20"/>
      <c r="G30" s="109"/>
      <c r="H30" s="109"/>
      <c r="I30" s="109"/>
      <c r="J30" s="109"/>
    </row>
    <row r="31" spans="1:11" ht="6" customHeight="1" x14ac:dyDescent="0.25"/>
    <row r="34" spans="8:10" x14ac:dyDescent="0.25">
      <c r="H34" s="22"/>
    </row>
    <row r="36" spans="8:10" x14ac:dyDescent="0.25">
      <c r="J36" s="4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26</vt:i4>
      </vt:variant>
      <vt:variant>
        <vt:lpstr>Intervalos Nomeados</vt:lpstr>
      </vt:variant>
      <vt:variant>
        <vt:i4>39</vt:i4>
      </vt:variant>
    </vt:vector>
  </HeadingPairs>
  <TitlesOfParts>
    <vt:vector size="65" baseType="lpstr">
      <vt:lpstr>BM.01</vt:lpstr>
      <vt:lpstr>Memória 01</vt:lpstr>
      <vt:lpstr>BM.02</vt:lpstr>
      <vt:lpstr>Memória 02</vt:lpstr>
      <vt:lpstr>BM.03</vt:lpstr>
      <vt:lpstr>Memória 03</vt:lpstr>
      <vt:lpstr>BM.04</vt:lpstr>
      <vt:lpstr>Memória 04</vt:lpstr>
      <vt:lpstr>BM.05</vt:lpstr>
      <vt:lpstr>Memória 05</vt:lpstr>
      <vt:lpstr>BM.06</vt:lpstr>
      <vt:lpstr>Memória 06</vt:lpstr>
      <vt:lpstr>BM.07</vt:lpstr>
      <vt:lpstr>Memória 07</vt:lpstr>
      <vt:lpstr>BM.08</vt:lpstr>
      <vt:lpstr>Memória 08</vt:lpstr>
      <vt:lpstr>BM.09</vt:lpstr>
      <vt:lpstr>Memória 09</vt:lpstr>
      <vt:lpstr>BM.10</vt:lpstr>
      <vt:lpstr>Memória 10</vt:lpstr>
      <vt:lpstr>BM 01.Aditivo</vt:lpstr>
      <vt:lpstr>Memória 01 Aditivo</vt:lpstr>
      <vt:lpstr>BM 02.Aditivo</vt:lpstr>
      <vt:lpstr>Memória 02 Aditivo</vt:lpstr>
      <vt:lpstr>BM.11</vt:lpstr>
      <vt:lpstr>Memória 11</vt:lpstr>
      <vt:lpstr>'BM 01.Aditivo'!Area_de_impressao</vt:lpstr>
      <vt:lpstr>'BM 02.Aditivo'!Area_de_impressao</vt:lpstr>
      <vt:lpstr>BM.01!Area_de_impressao</vt:lpstr>
      <vt:lpstr>BM.02!Area_de_impressao</vt:lpstr>
      <vt:lpstr>BM.03!Area_de_impressao</vt:lpstr>
      <vt:lpstr>BM.04!Area_de_impressao</vt:lpstr>
      <vt:lpstr>BM.05!Area_de_impressao</vt:lpstr>
      <vt:lpstr>BM.06!Area_de_impressao</vt:lpstr>
      <vt:lpstr>BM.07!Area_de_impressao</vt:lpstr>
      <vt:lpstr>BM.08!Area_de_impressao</vt:lpstr>
      <vt:lpstr>BM.09!Area_de_impressao</vt:lpstr>
      <vt:lpstr>BM.10!Area_de_impressao</vt:lpstr>
      <vt:lpstr>BM.11!Area_de_impressao</vt:lpstr>
      <vt:lpstr>'Memória 01'!Area_de_impressao</vt:lpstr>
      <vt:lpstr>'Memória 01 Aditivo'!Area_de_impressao</vt:lpstr>
      <vt:lpstr>'Memória 02'!Area_de_impressao</vt:lpstr>
      <vt:lpstr>'Memória 02 Aditivo'!Area_de_impressao</vt:lpstr>
      <vt:lpstr>'Memória 03'!Area_de_impressao</vt:lpstr>
      <vt:lpstr>'Memória 04'!Area_de_impressao</vt:lpstr>
      <vt:lpstr>'Memória 05'!Area_de_impressao</vt:lpstr>
      <vt:lpstr>'Memória 06'!Area_de_impressao</vt:lpstr>
      <vt:lpstr>'Memória 07'!Area_de_impressao</vt:lpstr>
      <vt:lpstr>'Memória 08'!Area_de_impressao</vt:lpstr>
      <vt:lpstr>'Memória 09'!Area_de_impressao</vt:lpstr>
      <vt:lpstr>'Memória 10'!Area_de_impressao</vt:lpstr>
      <vt:lpstr>'Memória 11'!Area_de_impressao</vt:lpstr>
      <vt:lpstr>'BM 01.Aditivo'!Titulos_de_impressao</vt:lpstr>
      <vt:lpstr>'BM 02.Aditivo'!Titulos_de_impressao</vt:lpstr>
      <vt:lpstr>BM.01!Titulos_de_impressao</vt:lpstr>
      <vt:lpstr>BM.02!Titulos_de_impressao</vt:lpstr>
      <vt:lpstr>BM.03!Titulos_de_impressao</vt:lpstr>
      <vt:lpstr>BM.04!Titulos_de_impressao</vt:lpstr>
      <vt:lpstr>BM.05!Titulos_de_impressao</vt:lpstr>
      <vt:lpstr>BM.06!Titulos_de_impressao</vt:lpstr>
      <vt:lpstr>BM.07!Titulos_de_impressao</vt:lpstr>
      <vt:lpstr>BM.08!Titulos_de_impressao</vt:lpstr>
      <vt:lpstr>BM.09!Titulos_de_impressao</vt:lpstr>
      <vt:lpstr>BM.10!Titulos_de_impressao</vt:lpstr>
      <vt:lpstr>BM.11!Titulos_de_impressao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Notebook</cp:lastModifiedBy>
  <cp:lastPrinted>2026-01-13T23:11:40Z</cp:lastPrinted>
  <dcterms:created xsi:type="dcterms:W3CDTF">2020-05-27T14:22:35Z</dcterms:created>
  <dcterms:modified xsi:type="dcterms:W3CDTF">2026-08-25T14:24:01Z</dcterms:modified>
</cp:coreProperties>
</file>