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mc:AlternateContent xmlns:mc="http://schemas.openxmlformats.org/markup-compatibility/2006">
    <mc:Choice Requires="x15">
      <x15ac:absPath xmlns:x15ac="http://schemas.microsoft.com/office/spreadsheetml/2010/11/ac" url="D:\Desktop\"/>
    </mc:Choice>
  </mc:AlternateContent>
  <xr:revisionPtr revIDLastSave="0" documentId="13_ncr:1_{04B523D4-168C-40D5-BBA6-7B89897A3C4C}" xr6:coauthVersionLast="47" xr6:coauthVersionMax="47" xr10:uidLastSave="{00000000-0000-0000-0000-000000000000}"/>
  <bookViews>
    <workbookView xWindow="-120" yWindow="-120" windowWidth="20730" windowHeight="11160" firstSheet="2" activeTab="8" xr2:uid="{00000000-000D-0000-FFFF-FFFF00000000}"/>
  </bookViews>
  <sheets>
    <sheet name="Orçamento" sheetId="3" state="hidden" r:id="rId1"/>
    <sheet name="BM_01" sheetId="7" r:id="rId2"/>
    <sheet name="Memorial" sheetId="8" r:id="rId3"/>
    <sheet name="BM_02." sheetId="10" r:id="rId4"/>
    <sheet name="MEM" sheetId="11" r:id="rId5"/>
    <sheet name="BM_03" sheetId="12" r:id="rId6"/>
    <sheet name="MEMÓRIA03" sheetId="13" r:id="rId7"/>
    <sheet name="BM_04" sheetId="14" r:id="rId8"/>
    <sheet name="MEMÓRIA04" sheetId="15" r:id="rId9"/>
    <sheet name="Plan1" sheetId="9" r:id="rId10"/>
  </sheets>
  <externalReferences>
    <externalReference r:id="rId11"/>
    <externalReference r:id="rId12"/>
    <externalReference r:id="rId13"/>
  </externalReferences>
  <definedNames>
    <definedName name="_xlnm.Print_Area" localSheetId="5">BM_03!$A$1:$K$376</definedName>
    <definedName name="_xlnm.Print_Area" localSheetId="7">BM_04!$A$1:$K$376</definedName>
    <definedName name="_xlnm.Print_Area" localSheetId="6">MEMÓRIA03!$A$1:$D$364</definedName>
    <definedName name="_xlnm.Print_Area" localSheetId="8">MEMÓRIA04!$A$1:$D$360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56" i="15" l="1"/>
  <c r="D356" i="15"/>
  <c r="C339" i="15"/>
  <c r="B339" i="15"/>
  <c r="A339" i="15"/>
  <c r="C338" i="15"/>
  <c r="B338" i="15"/>
  <c r="A338" i="15"/>
  <c r="C337" i="15"/>
  <c r="B337" i="15"/>
  <c r="A337" i="15"/>
  <c r="C336" i="15"/>
  <c r="B336" i="15"/>
  <c r="A336" i="15"/>
  <c r="C335" i="15"/>
  <c r="B335" i="15"/>
  <c r="A335" i="15"/>
  <c r="C334" i="15"/>
  <c r="B334" i="15"/>
  <c r="A334" i="15"/>
  <c r="C333" i="15"/>
  <c r="B333" i="15"/>
  <c r="A333" i="15"/>
  <c r="C332" i="15"/>
  <c r="B332" i="15"/>
  <c r="A332" i="15"/>
  <c r="C331" i="15"/>
  <c r="B331" i="15"/>
  <c r="A331" i="15"/>
  <c r="C330" i="15"/>
  <c r="B330" i="15"/>
  <c r="A330" i="15"/>
  <c r="C329" i="15"/>
  <c r="B329" i="15"/>
  <c r="A329" i="15"/>
  <c r="C328" i="15"/>
  <c r="B328" i="15"/>
  <c r="A328" i="15"/>
  <c r="B327" i="15"/>
  <c r="A327" i="15"/>
  <c r="C326" i="15"/>
  <c r="B326" i="15"/>
  <c r="A326" i="15"/>
  <c r="C325" i="15"/>
  <c r="B325" i="15"/>
  <c r="A325" i="15"/>
  <c r="C324" i="15"/>
  <c r="B324" i="15"/>
  <c r="A324" i="15"/>
  <c r="C323" i="15"/>
  <c r="B323" i="15"/>
  <c r="A323" i="15"/>
  <c r="C322" i="15"/>
  <c r="B322" i="15"/>
  <c r="A322" i="15"/>
  <c r="C321" i="15"/>
  <c r="B321" i="15"/>
  <c r="A321" i="15"/>
  <c r="C320" i="15"/>
  <c r="B320" i="15"/>
  <c r="A320" i="15"/>
  <c r="C319" i="15"/>
  <c r="B319" i="15"/>
  <c r="A319" i="15"/>
  <c r="C318" i="15"/>
  <c r="B318" i="15"/>
  <c r="A318" i="15"/>
  <c r="C317" i="15"/>
  <c r="B317" i="15"/>
  <c r="A317" i="15"/>
  <c r="C316" i="15"/>
  <c r="B316" i="15"/>
  <c r="A316" i="15"/>
  <c r="C315" i="15"/>
  <c r="B315" i="15"/>
  <c r="A315" i="15"/>
  <c r="C314" i="15"/>
  <c r="B314" i="15"/>
  <c r="A314" i="15"/>
  <c r="C313" i="15"/>
  <c r="B313" i="15"/>
  <c r="A313" i="15"/>
  <c r="C312" i="15"/>
  <c r="B312" i="15"/>
  <c r="A312" i="15"/>
  <c r="C311" i="15"/>
  <c r="B311" i="15"/>
  <c r="A311" i="15"/>
  <c r="C310" i="15"/>
  <c r="B310" i="15"/>
  <c r="A310" i="15"/>
  <c r="C309" i="15"/>
  <c r="B309" i="15"/>
  <c r="A309" i="15"/>
  <c r="C308" i="15"/>
  <c r="B308" i="15"/>
  <c r="A308" i="15"/>
  <c r="B307" i="15"/>
  <c r="A307" i="15"/>
  <c r="C306" i="15"/>
  <c r="B306" i="15"/>
  <c r="A306" i="15"/>
  <c r="C305" i="15"/>
  <c r="B305" i="15"/>
  <c r="A305" i="15"/>
  <c r="C304" i="15"/>
  <c r="B304" i="15"/>
  <c r="A304" i="15"/>
  <c r="C303" i="15"/>
  <c r="B303" i="15"/>
  <c r="A303" i="15"/>
  <c r="C302" i="15"/>
  <c r="B302" i="15"/>
  <c r="A302" i="15"/>
  <c r="C301" i="15"/>
  <c r="B301" i="15"/>
  <c r="A301" i="15"/>
  <c r="C300" i="15"/>
  <c r="B300" i="15"/>
  <c r="A300" i="15"/>
  <c r="C299" i="15"/>
  <c r="B299" i="15"/>
  <c r="A299" i="15"/>
  <c r="C298" i="15"/>
  <c r="B298" i="15"/>
  <c r="A298" i="15"/>
  <c r="C297" i="15"/>
  <c r="B297" i="15"/>
  <c r="A297" i="15"/>
  <c r="C296" i="15"/>
  <c r="B296" i="15"/>
  <c r="A296" i="15"/>
  <c r="C295" i="15"/>
  <c r="B295" i="15"/>
  <c r="A295" i="15"/>
  <c r="C294" i="15"/>
  <c r="B294" i="15"/>
  <c r="A294" i="15"/>
  <c r="C293" i="15"/>
  <c r="B293" i="15"/>
  <c r="A293" i="15"/>
  <c r="C292" i="15"/>
  <c r="B292" i="15"/>
  <c r="A292" i="15"/>
  <c r="C291" i="15"/>
  <c r="B291" i="15"/>
  <c r="A291" i="15"/>
  <c r="C290" i="15"/>
  <c r="B290" i="15"/>
  <c r="A290" i="15"/>
  <c r="C289" i="15"/>
  <c r="B289" i="15"/>
  <c r="A289" i="15"/>
  <c r="C288" i="15"/>
  <c r="B288" i="15"/>
  <c r="A288" i="15"/>
  <c r="B287" i="15"/>
  <c r="A287" i="15"/>
  <c r="C286" i="15"/>
  <c r="B286" i="15"/>
  <c r="A286" i="15"/>
  <c r="C285" i="15"/>
  <c r="B285" i="15"/>
  <c r="A285" i="15"/>
  <c r="C284" i="15"/>
  <c r="B284" i="15"/>
  <c r="A284" i="15"/>
  <c r="C283" i="15"/>
  <c r="B283" i="15"/>
  <c r="A283" i="15"/>
  <c r="C282" i="15"/>
  <c r="B282" i="15"/>
  <c r="A282" i="15"/>
  <c r="C281" i="15"/>
  <c r="B281" i="15"/>
  <c r="A281" i="15"/>
  <c r="B280" i="15"/>
  <c r="A280" i="15"/>
  <c r="C279" i="15"/>
  <c r="B279" i="15"/>
  <c r="A279" i="15"/>
  <c r="C278" i="15"/>
  <c r="B278" i="15"/>
  <c r="A278" i="15"/>
  <c r="C277" i="15"/>
  <c r="B277" i="15"/>
  <c r="A277" i="15"/>
  <c r="C276" i="15"/>
  <c r="B276" i="15"/>
  <c r="A276" i="15"/>
  <c r="C275" i="15"/>
  <c r="B275" i="15"/>
  <c r="A275" i="15"/>
  <c r="C274" i="15"/>
  <c r="B274" i="15"/>
  <c r="A274" i="15"/>
  <c r="C273" i="15"/>
  <c r="B273" i="15"/>
  <c r="A273" i="15"/>
  <c r="C272" i="15"/>
  <c r="B272" i="15"/>
  <c r="A272" i="15"/>
  <c r="C271" i="15"/>
  <c r="B271" i="15"/>
  <c r="A271" i="15"/>
  <c r="C270" i="15"/>
  <c r="B270" i="15"/>
  <c r="A270" i="15"/>
  <c r="C269" i="15"/>
  <c r="B269" i="15"/>
  <c r="A269" i="15"/>
  <c r="C268" i="15"/>
  <c r="B268" i="15"/>
  <c r="A268" i="15"/>
  <c r="B267" i="15"/>
  <c r="A267" i="15"/>
  <c r="C266" i="15"/>
  <c r="B266" i="15"/>
  <c r="A266" i="15"/>
  <c r="C265" i="15"/>
  <c r="B265" i="15"/>
  <c r="A265" i="15"/>
  <c r="C264" i="15"/>
  <c r="B264" i="15"/>
  <c r="A264" i="15"/>
  <c r="C263" i="15"/>
  <c r="B263" i="15"/>
  <c r="A263" i="15"/>
  <c r="C262" i="15"/>
  <c r="B262" i="15"/>
  <c r="A262" i="15"/>
  <c r="C261" i="15"/>
  <c r="B261" i="15"/>
  <c r="A261" i="15"/>
  <c r="C260" i="15"/>
  <c r="B260" i="15"/>
  <c r="A260" i="15"/>
  <c r="C259" i="15"/>
  <c r="B259" i="15"/>
  <c r="A259" i="15"/>
  <c r="C258" i="15"/>
  <c r="B258" i="15"/>
  <c r="A258" i="15"/>
  <c r="C257" i="15"/>
  <c r="B257" i="15"/>
  <c r="A257" i="15"/>
  <c r="C256" i="15"/>
  <c r="B256" i="15"/>
  <c r="A256" i="15"/>
  <c r="C255" i="15"/>
  <c r="B255" i="15"/>
  <c r="A255" i="15"/>
  <c r="C254" i="15"/>
  <c r="B254" i="15"/>
  <c r="A254" i="15"/>
  <c r="C253" i="15"/>
  <c r="B253" i="15"/>
  <c r="A253" i="15"/>
  <c r="C252" i="15"/>
  <c r="B252" i="15"/>
  <c r="A252" i="15"/>
  <c r="C251" i="15"/>
  <c r="B251" i="15"/>
  <c r="A251" i="15"/>
  <c r="C250" i="15"/>
  <c r="B250" i="15"/>
  <c r="A250" i="15"/>
  <c r="C249" i="15"/>
  <c r="B249" i="15"/>
  <c r="A249" i="15"/>
  <c r="C248" i="15"/>
  <c r="B248" i="15"/>
  <c r="A248" i="15"/>
  <c r="C247" i="15"/>
  <c r="B247" i="15"/>
  <c r="A247" i="15"/>
  <c r="B246" i="15"/>
  <c r="A246" i="15"/>
  <c r="C245" i="15"/>
  <c r="B245" i="15"/>
  <c r="A245" i="15"/>
  <c r="C244" i="15"/>
  <c r="B244" i="15"/>
  <c r="A244" i="15"/>
  <c r="C243" i="15"/>
  <c r="B243" i="15"/>
  <c r="A243" i="15"/>
  <c r="C242" i="15"/>
  <c r="B242" i="15"/>
  <c r="A242" i="15"/>
  <c r="C241" i="15"/>
  <c r="B241" i="15"/>
  <c r="A241" i="15"/>
  <c r="C240" i="15"/>
  <c r="B240" i="15"/>
  <c r="A240" i="15"/>
  <c r="C239" i="15"/>
  <c r="B239" i="15"/>
  <c r="A239" i="15"/>
  <c r="C238" i="15"/>
  <c r="B238" i="15"/>
  <c r="A238" i="15"/>
  <c r="C237" i="15"/>
  <c r="B237" i="15"/>
  <c r="A237" i="15"/>
  <c r="C236" i="15"/>
  <c r="B236" i="15"/>
  <c r="A236" i="15"/>
  <c r="C235" i="15"/>
  <c r="B235" i="15"/>
  <c r="A235" i="15"/>
  <c r="C234" i="15"/>
  <c r="B234" i="15"/>
  <c r="A234" i="15"/>
  <c r="C233" i="15"/>
  <c r="B233" i="15"/>
  <c r="A233" i="15"/>
  <c r="C232" i="15"/>
  <c r="B232" i="15"/>
  <c r="A232" i="15"/>
  <c r="C231" i="15"/>
  <c r="B231" i="15"/>
  <c r="A231" i="15"/>
  <c r="C230" i="15"/>
  <c r="B230" i="15"/>
  <c r="A230" i="15"/>
  <c r="C229" i="15"/>
  <c r="B229" i="15"/>
  <c r="A229" i="15"/>
  <c r="C228" i="15"/>
  <c r="B228" i="15"/>
  <c r="A228" i="15"/>
  <c r="C227" i="15"/>
  <c r="B227" i="15"/>
  <c r="A227" i="15"/>
  <c r="C226" i="15"/>
  <c r="B226" i="15"/>
  <c r="A226" i="15"/>
  <c r="C225" i="15"/>
  <c r="B225" i="15"/>
  <c r="A225" i="15"/>
  <c r="C224" i="15"/>
  <c r="B224" i="15"/>
  <c r="A224" i="15"/>
  <c r="C223" i="15"/>
  <c r="B223" i="15"/>
  <c r="A223" i="15"/>
  <c r="C222" i="15"/>
  <c r="B222" i="15"/>
  <c r="A222" i="15"/>
  <c r="C221" i="15"/>
  <c r="B221" i="15"/>
  <c r="A221" i="15"/>
  <c r="C220" i="15"/>
  <c r="B220" i="15"/>
  <c r="A220" i="15"/>
  <c r="C219" i="15"/>
  <c r="B219" i="15"/>
  <c r="A219" i="15"/>
  <c r="C218" i="15"/>
  <c r="B218" i="15"/>
  <c r="A218" i="15"/>
  <c r="C217" i="15"/>
  <c r="B217" i="15"/>
  <c r="A217" i="15"/>
  <c r="C216" i="15"/>
  <c r="B216" i="15"/>
  <c r="A216" i="15"/>
  <c r="C215" i="15"/>
  <c r="B215" i="15"/>
  <c r="A215" i="15"/>
  <c r="C214" i="15"/>
  <c r="B214" i="15"/>
  <c r="A214" i="15"/>
  <c r="C213" i="15"/>
  <c r="B213" i="15"/>
  <c r="A213" i="15"/>
  <c r="C212" i="15"/>
  <c r="B212" i="15"/>
  <c r="A212" i="15"/>
  <c r="C211" i="15"/>
  <c r="B211" i="15"/>
  <c r="A211" i="15"/>
  <c r="C210" i="15"/>
  <c r="B210" i="15"/>
  <c r="A210" i="15"/>
  <c r="C209" i="15"/>
  <c r="B209" i="15"/>
  <c r="A209" i="15"/>
  <c r="C208" i="15"/>
  <c r="B208" i="15"/>
  <c r="A208" i="15"/>
  <c r="C207" i="15"/>
  <c r="B207" i="15"/>
  <c r="A207" i="15"/>
  <c r="C206" i="15"/>
  <c r="B206" i="15"/>
  <c r="A206" i="15"/>
  <c r="C205" i="15"/>
  <c r="B205" i="15"/>
  <c r="A205" i="15"/>
  <c r="C204" i="15"/>
  <c r="B204" i="15"/>
  <c r="A204" i="15"/>
  <c r="C203" i="15"/>
  <c r="B203" i="15"/>
  <c r="A203" i="15"/>
  <c r="C202" i="15"/>
  <c r="B202" i="15"/>
  <c r="A202" i="15"/>
  <c r="C201" i="15"/>
  <c r="B201" i="15"/>
  <c r="A201" i="15"/>
  <c r="C200" i="15"/>
  <c r="B200" i="15"/>
  <c r="A200" i="15"/>
  <c r="C199" i="15"/>
  <c r="B199" i="15"/>
  <c r="A199" i="15"/>
  <c r="C198" i="15"/>
  <c r="B198" i="15"/>
  <c r="A198" i="15"/>
  <c r="C197" i="15"/>
  <c r="B197" i="15"/>
  <c r="A197" i="15"/>
  <c r="C196" i="15"/>
  <c r="B196" i="15"/>
  <c r="A196" i="15"/>
  <c r="C195" i="15"/>
  <c r="B195" i="15"/>
  <c r="A195" i="15"/>
  <c r="B194" i="15"/>
  <c r="A194" i="15"/>
  <c r="C193" i="15"/>
  <c r="B193" i="15"/>
  <c r="A193" i="15"/>
  <c r="C192" i="15"/>
  <c r="B192" i="15"/>
  <c r="A192" i="15"/>
  <c r="C191" i="15"/>
  <c r="B191" i="15"/>
  <c r="A191" i="15"/>
  <c r="C190" i="15"/>
  <c r="B190" i="15"/>
  <c r="A190" i="15"/>
  <c r="C189" i="15"/>
  <c r="B189" i="15"/>
  <c r="A189" i="15"/>
  <c r="B188" i="15"/>
  <c r="A188" i="15"/>
  <c r="C187" i="15"/>
  <c r="B187" i="15"/>
  <c r="A187" i="15"/>
  <c r="C186" i="15"/>
  <c r="B186" i="15"/>
  <c r="A186" i="15"/>
  <c r="C185" i="15"/>
  <c r="B185" i="15"/>
  <c r="A185" i="15"/>
  <c r="C184" i="15"/>
  <c r="B184" i="15"/>
  <c r="A184" i="15"/>
  <c r="C183" i="15"/>
  <c r="B183" i="15"/>
  <c r="A183" i="15"/>
  <c r="C182" i="15"/>
  <c r="B182" i="15"/>
  <c r="A182" i="15"/>
  <c r="C181" i="15"/>
  <c r="B181" i="15"/>
  <c r="A181" i="15"/>
  <c r="C180" i="15"/>
  <c r="B180" i="15"/>
  <c r="A180" i="15"/>
  <c r="E179" i="15"/>
  <c r="C179" i="15"/>
  <c r="B179" i="15"/>
  <c r="A179" i="15"/>
  <c r="B178" i="15"/>
  <c r="A178" i="15"/>
  <c r="C177" i="15"/>
  <c r="B177" i="15"/>
  <c r="A177" i="15"/>
  <c r="C176" i="15"/>
  <c r="B176" i="15"/>
  <c r="A176" i="15"/>
  <c r="C175" i="15"/>
  <c r="B175" i="15"/>
  <c r="A175" i="15"/>
  <c r="C174" i="15"/>
  <c r="B174" i="15"/>
  <c r="A174" i="15"/>
  <c r="C173" i="15"/>
  <c r="B173" i="15"/>
  <c r="A173" i="15"/>
  <c r="C172" i="15"/>
  <c r="B172" i="15"/>
  <c r="A172" i="15"/>
  <c r="C171" i="15"/>
  <c r="B171" i="15"/>
  <c r="A171" i="15"/>
  <c r="C170" i="15"/>
  <c r="B170" i="15"/>
  <c r="A170" i="15"/>
  <c r="C169" i="15"/>
  <c r="B169" i="15"/>
  <c r="A169" i="15"/>
  <c r="C168" i="15"/>
  <c r="B168" i="15"/>
  <c r="A168" i="15"/>
  <c r="C167" i="15"/>
  <c r="B167" i="15"/>
  <c r="A167" i="15"/>
  <c r="C166" i="15"/>
  <c r="B166" i="15"/>
  <c r="A166" i="15"/>
  <c r="C165" i="15"/>
  <c r="B165" i="15"/>
  <c r="A165" i="15"/>
  <c r="C164" i="15"/>
  <c r="B164" i="15"/>
  <c r="A164" i="15"/>
  <c r="C163" i="15"/>
  <c r="B163" i="15"/>
  <c r="A163" i="15"/>
  <c r="C162" i="15"/>
  <c r="B162" i="15"/>
  <c r="A162" i="15"/>
  <c r="C161" i="15"/>
  <c r="B161" i="15"/>
  <c r="A161" i="15"/>
  <c r="C160" i="15"/>
  <c r="B160" i="15"/>
  <c r="A160" i="15"/>
  <c r="B159" i="15"/>
  <c r="A159" i="15"/>
  <c r="C158" i="15"/>
  <c r="B158" i="15"/>
  <c r="A158" i="15"/>
  <c r="C157" i="15"/>
  <c r="B157" i="15"/>
  <c r="A157" i="15"/>
  <c r="C156" i="15"/>
  <c r="B156" i="15"/>
  <c r="A156" i="15"/>
  <c r="C155" i="15"/>
  <c r="B155" i="15"/>
  <c r="A155" i="15"/>
  <c r="C154" i="15"/>
  <c r="B154" i="15"/>
  <c r="A154" i="15"/>
  <c r="C153" i="15"/>
  <c r="B153" i="15"/>
  <c r="A153" i="15"/>
  <c r="C152" i="15"/>
  <c r="B152" i="15"/>
  <c r="A152" i="15"/>
  <c r="C151" i="15"/>
  <c r="B151" i="15"/>
  <c r="A151" i="15"/>
  <c r="C150" i="15"/>
  <c r="B150" i="15"/>
  <c r="A150" i="15"/>
  <c r="C149" i="15"/>
  <c r="B149" i="15"/>
  <c r="A149" i="15"/>
  <c r="C148" i="15"/>
  <c r="B148" i="15"/>
  <c r="A148" i="15"/>
  <c r="C147" i="15"/>
  <c r="B147" i="15"/>
  <c r="A147" i="15"/>
  <c r="C146" i="15"/>
  <c r="B146" i="15"/>
  <c r="A146" i="15"/>
  <c r="C145" i="15"/>
  <c r="B145" i="15"/>
  <c r="A145" i="15"/>
  <c r="C144" i="15"/>
  <c r="B144" i="15"/>
  <c r="A144" i="15"/>
  <c r="C143" i="15"/>
  <c r="B143" i="15"/>
  <c r="A143" i="15"/>
  <c r="C142" i="15"/>
  <c r="B142" i="15"/>
  <c r="A142" i="15"/>
  <c r="B141" i="15"/>
  <c r="A141" i="15"/>
  <c r="C140" i="15"/>
  <c r="B140" i="15"/>
  <c r="A140" i="15"/>
  <c r="C139" i="15"/>
  <c r="B139" i="15"/>
  <c r="A139" i="15"/>
  <c r="C138" i="15"/>
  <c r="B138" i="15"/>
  <c r="A138" i="15"/>
  <c r="C137" i="15"/>
  <c r="B137" i="15"/>
  <c r="A137" i="15"/>
  <c r="C136" i="15"/>
  <c r="B136" i="15"/>
  <c r="A136" i="15"/>
  <c r="C135" i="15"/>
  <c r="B135" i="15"/>
  <c r="A135" i="15"/>
  <c r="C134" i="15"/>
  <c r="B134" i="15"/>
  <c r="A134" i="15"/>
  <c r="C133" i="15"/>
  <c r="B133" i="15"/>
  <c r="A133" i="15"/>
  <c r="C132" i="15"/>
  <c r="B132" i="15"/>
  <c r="A132" i="15"/>
  <c r="C131" i="15"/>
  <c r="B131" i="15"/>
  <c r="A131" i="15"/>
  <c r="C130" i="15"/>
  <c r="B130" i="15"/>
  <c r="A130" i="15"/>
  <c r="C129" i="15"/>
  <c r="B129" i="15"/>
  <c r="A129" i="15"/>
  <c r="C128" i="15"/>
  <c r="B128" i="15"/>
  <c r="A128" i="15"/>
  <c r="C127" i="15"/>
  <c r="B127" i="15"/>
  <c r="A127" i="15"/>
  <c r="C126" i="15"/>
  <c r="B126" i="15"/>
  <c r="A126" i="15"/>
  <c r="C125" i="15"/>
  <c r="B125" i="15"/>
  <c r="A125" i="15"/>
  <c r="C124" i="15"/>
  <c r="B124" i="15"/>
  <c r="A124" i="15"/>
  <c r="C123" i="15"/>
  <c r="B123" i="15"/>
  <c r="A123" i="15"/>
  <c r="C122" i="15"/>
  <c r="B122" i="15"/>
  <c r="A122" i="15"/>
  <c r="C121" i="15"/>
  <c r="B121" i="15"/>
  <c r="A121" i="15"/>
  <c r="C120" i="15"/>
  <c r="B120" i="15"/>
  <c r="A120" i="15"/>
  <c r="C119" i="15"/>
  <c r="B119" i="15"/>
  <c r="A119" i="15"/>
  <c r="C118" i="15"/>
  <c r="B118" i="15"/>
  <c r="A118" i="15"/>
  <c r="B117" i="15"/>
  <c r="A117" i="15"/>
  <c r="C116" i="15"/>
  <c r="B116" i="15"/>
  <c r="A116" i="15"/>
  <c r="C115" i="15"/>
  <c r="B115" i="15"/>
  <c r="A115" i="15"/>
  <c r="C114" i="15"/>
  <c r="B114" i="15"/>
  <c r="A114" i="15"/>
  <c r="C113" i="15"/>
  <c r="B113" i="15"/>
  <c r="A113" i="15"/>
  <c r="C112" i="15"/>
  <c r="B112" i="15"/>
  <c r="A112" i="15"/>
  <c r="C111" i="15"/>
  <c r="B111" i="15"/>
  <c r="A111" i="15"/>
  <c r="C110" i="15"/>
  <c r="B110" i="15"/>
  <c r="A110" i="15"/>
  <c r="C109" i="15"/>
  <c r="B109" i="15"/>
  <c r="A109" i="15"/>
  <c r="B108" i="15"/>
  <c r="A108" i="15"/>
  <c r="C107" i="15"/>
  <c r="B107" i="15"/>
  <c r="A107" i="15"/>
  <c r="C106" i="15"/>
  <c r="B106" i="15"/>
  <c r="A106" i="15"/>
  <c r="C105" i="15"/>
  <c r="B105" i="15"/>
  <c r="A105" i="15"/>
  <c r="C104" i="15"/>
  <c r="B104" i="15"/>
  <c r="A104" i="15"/>
  <c r="B103" i="15"/>
  <c r="A103" i="15"/>
  <c r="C102" i="15"/>
  <c r="B102" i="15"/>
  <c r="A102" i="15"/>
  <c r="C101" i="15"/>
  <c r="B101" i="15"/>
  <c r="A101" i="15"/>
  <c r="C100" i="15"/>
  <c r="B100" i="15"/>
  <c r="A100" i="15"/>
  <c r="C99" i="15"/>
  <c r="B99" i="15"/>
  <c r="A99" i="15"/>
  <c r="C98" i="15"/>
  <c r="B98" i="15"/>
  <c r="A98" i="15"/>
  <c r="B97" i="15"/>
  <c r="A97" i="15"/>
  <c r="C96" i="15"/>
  <c r="B96" i="15"/>
  <c r="A96" i="15"/>
  <c r="C95" i="15"/>
  <c r="B95" i="15"/>
  <c r="A95" i="15"/>
  <c r="C94" i="15"/>
  <c r="B94" i="15"/>
  <c r="A94" i="15"/>
  <c r="E93" i="15"/>
  <c r="C93" i="15"/>
  <c r="B93" i="15"/>
  <c r="A93" i="15"/>
  <c r="B92" i="15"/>
  <c r="A92" i="15"/>
  <c r="C91" i="15"/>
  <c r="B91" i="15"/>
  <c r="A91" i="15"/>
  <c r="C90" i="15"/>
  <c r="B90" i="15"/>
  <c r="A90" i="15"/>
  <c r="C89" i="15"/>
  <c r="B89" i="15"/>
  <c r="A89" i="15"/>
  <c r="C88" i="15"/>
  <c r="B88" i="15"/>
  <c r="A88" i="15"/>
  <c r="B87" i="15"/>
  <c r="A87" i="15"/>
  <c r="C86" i="15"/>
  <c r="B86" i="15"/>
  <c r="A86" i="15"/>
  <c r="C85" i="15"/>
  <c r="B85" i="15"/>
  <c r="A85" i="15"/>
  <c r="C84" i="15"/>
  <c r="B84" i="15"/>
  <c r="A84" i="15"/>
  <c r="C83" i="15"/>
  <c r="B83" i="15"/>
  <c r="A83" i="15"/>
  <c r="B82" i="15"/>
  <c r="A82" i="15"/>
  <c r="C81" i="15"/>
  <c r="B81" i="15"/>
  <c r="A81" i="15"/>
  <c r="C80" i="15"/>
  <c r="B80" i="15"/>
  <c r="A80" i="15"/>
  <c r="C79" i="15"/>
  <c r="B79" i="15"/>
  <c r="A79" i="15"/>
  <c r="C78" i="15"/>
  <c r="B78" i="15"/>
  <c r="A78" i="15"/>
  <c r="C77" i="15"/>
  <c r="B77" i="15"/>
  <c r="A77" i="15"/>
  <c r="C76" i="15"/>
  <c r="B76" i="15"/>
  <c r="A76" i="15"/>
  <c r="C75" i="15"/>
  <c r="B75" i="15"/>
  <c r="A75" i="15"/>
  <c r="C74" i="15"/>
  <c r="B74" i="15"/>
  <c r="A74" i="15"/>
  <c r="C73" i="15"/>
  <c r="B73" i="15"/>
  <c r="A73" i="15"/>
  <c r="C72" i="15"/>
  <c r="B72" i="15"/>
  <c r="A72" i="15"/>
  <c r="C71" i="15"/>
  <c r="B71" i="15"/>
  <c r="A71" i="15"/>
  <c r="C70" i="15"/>
  <c r="B70" i="15"/>
  <c r="A70" i="15"/>
  <c r="C69" i="15"/>
  <c r="B69" i="15"/>
  <c r="A69" i="15"/>
  <c r="B68" i="15"/>
  <c r="A68" i="15"/>
  <c r="C67" i="15"/>
  <c r="B67" i="15"/>
  <c r="A67" i="15"/>
  <c r="C66" i="15"/>
  <c r="B66" i="15"/>
  <c r="A66" i="15"/>
  <c r="C65" i="15"/>
  <c r="B65" i="15"/>
  <c r="A65" i="15"/>
  <c r="C64" i="15"/>
  <c r="B64" i="15"/>
  <c r="A64" i="15"/>
  <c r="C63" i="15"/>
  <c r="B63" i="15"/>
  <c r="A63" i="15"/>
  <c r="C62" i="15"/>
  <c r="B62" i="15"/>
  <c r="A62" i="15"/>
  <c r="C61" i="15"/>
  <c r="B61" i="15"/>
  <c r="A61" i="15"/>
  <c r="C60" i="15"/>
  <c r="B60" i="15"/>
  <c r="A60" i="15"/>
  <c r="C59" i="15"/>
  <c r="B59" i="15"/>
  <c r="A59" i="15"/>
  <c r="C58" i="15"/>
  <c r="B58" i="15"/>
  <c r="A58" i="15"/>
  <c r="C57" i="15"/>
  <c r="B57" i="15"/>
  <c r="A57" i="15"/>
  <c r="G56" i="15"/>
  <c r="F56" i="15"/>
  <c r="C56" i="15"/>
  <c r="B56" i="15"/>
  <c r="A56" i="15"/>
  <c r="B55" i="15"/>
  <c r="A55" i="15"/>
  <c r="C54" i="15"/>
  <c r="B54" i="15"/>
  <c r="A54" i="15"/>
  <c r="C53" i="15"/>
  <c r="B53" i="15"/>
  <c r="A53" i="15"/>
  <c r="C52" i="15"/>
  <c r="B52" i="15"/>
  <c r="A52" i="15"/>
  <c r="C51" i="15"/>
  <c r="B51" i="15"/>
  <c r="A51" i="15"/>
  <c r="C50" i="15"/>
  <c r="B50" i="15"/>
  <c r="A50" i="15"/>
  <c r="C49" i="15"/>
  <c r="B49" i="15"/>
  <c r="A49" i="15"/>
  <c r="C48" i="15"/>
  <c r="B48" i="15"/>
  <c r="A48" i="15"/>
  <c r="C47" i="15"/>
  <c r="B47" i="15"/>
  <c r="A47" i="15"/>
  <c r="C46" i="15"/>
  <c r="B46" i="15"/>
  <c r="A46" i="15"/>
  <c r="F45" i="15"/>
  <c r="G45" i="15" s="1"/>
  <c r="C45" i="15"/>
  <c r="B45" i="15"/>
  <c r="A45" i="15"/>
  <c r="C44" i="15"/>
  <c r="B44" i="15"/>
  <c r="A44" i="15"/>
  <c r="C43" i="15"/>
  <c r="B43" i="15"/>
  <c r="A43" i="15"/>
  <c r="H42" i="15"/>
  <c r="G42" i="15"/>
  <c r="F42" i="15"/>
  <c r="C42" i="15"/>
  <c r="B42" i="15"/>
  <c r="A42" i="15"/>
  <c r="C41" i="15"/>
  <c r="B41" i="15"/>
  <c r="A41" i="15"/>
  <c r="C40" i="15"/>
  <c r="B40" i="15"/>
  <c r="A40" i="15"/>
  <c r="B39" i="15"/>
  <c r="A39" i="15"/>
  <c r="E38" i="15"/>
  <c r="C38" i="15"/>
  <c r="B38" i="15"/>
  <c r="A38" i="15"/>
  <c r="C37" i="15"/>
  <c r="B37" i="15"/>
  <c r="A37" i="15"/>
  <c r="C36" i="15"/>
  <c r="B36" i="15"/>
  <c r="A36" i="15"/>
  <c r="C35" i="15"/>
  <c r="B35" i="15"/>
  <c r="A35" i="15"/>
  <c r="C34" i="15"/>
  <c r="B34" i="15"/>
  <c r="A34" i="15"/>
  <c r="F33" i="15"/>
  <c r="C33" i="15"/>
  <c r="B33" i="15"/>
  <c r="A33" i="15"/>
  <c r="F32" i="15"/>
  <c r="C32" i="15"/>
  <c r="B32" i="15"/>
  <c r="A32" i="15"/>
  <c r="F31" i="15"/>
  <c r="C31" i="15"/>
  <c r="B31" i="15"/>
  <c r="A31" i="15"/>
  <c r="C30" i="15"/>
  <c r="B30" i="15"/>
  <c r="A30" i="15"/>
  <c r="C29" i="15"/>
  <c r="B29" i="15"/>
  <c r="A29" i="15"/>
  <c r="C28" i="15"/>
  <c r="B28" i="15"/>
  <c r="A28" i="15"/>
  <c r="C27" i="15"/>
  <c r="B27" i="15"/>
  <c r="A27" i="15"/>
  <c r="C26" i="15"/>
  <c r="B26" i="15"/>
  <c r="A26" i="15"/>
  <c r="C25" i="15"/>
  <c r="B25" i="15"/>
  <c r="A25" i="15"/>
  <c r="B24" i="15"/>
  <c r="A24" i="15"/>
  <c r="C19" i="15"/>
  <c r="B19" i="15"/>
  <c r="A19" i="15"/>
  <c r="C18" i="15"/>
  <c r="B18" i="15"/>
  <c r="A18" i="15"/>
  <c r="C17" i="15"/>
  <c r="B17" i="15"/>
  <c r="A17" i="15"/>
  <c r="C16" i="15"/>
  <c r="B16" i="15"/>
  <c r="A16" i="15"/>
  <c r="C15" i="15"/>
  <c r="B15" i="15"/>
  <c r="A15" i="15"/>
  <c r="B14" i="15"/>
  <c r="A14" i="15"/>
  <c r="C13" i="15"/>
  <c r="B13" i="15"/>
  <c r="A13" i="15"/>
  <c r="C12" i="15"/>
  <c r="B12" i="15"/>
  <c r="A12" i="15"/>
  <c r="F11" i="15"/>
  <c r="C11" i="15"/>
  <c r="B11" i="15"/>
  <c r="A11" i="15"/>
  <c r="B10" i="15"/>
  <c r="A10" i="15"/>
  <c r="C9" i="15"/>
  <c r="B9" i="15"/>
  <c r="A9" i="15"/>
  <c r="C8" i="15"/>
  <c r="B8" i="15"/>
  <c r="A8" i="15"/>
  <c r="C7" i="15"/>
  <c r="B7" i="15"/>
  <c r="A7" i="15"/>
  <c r="C6" i="15"/>
  <c r="B6" i="15"/>
  <c r="A6" i="15"/>
  <c r="C5" i="15"/>
  <c r="B5" i="15"/>
  <c r="A5" i="15"/>
  <c r="B4" i="15"/>
  <c r="A4" i="15"/>
  <c r="H369" i="14"/>
  <c r="F369" i="14"/>
  <c r="G369" i="14" s="1"/>
  <c r="J369" i="14" s="1"/>
  <c r="K369" i="14" s="1"/>
  <c r="H368" i="14"/>
  <c r="F368" i="14"/>
  <c r="I367" i="14"/>
  <c r="H367" i="14"/>
  <c r="G367" i="14"/>
  <c r="L367" i="14" s="1"/>
  <c r="F367" i="14"/>
  <c r="K366" i="14"/>
  <c r="I366" i="14"/>
  <c r="H366" i="14"/>
  <c r="G366" i="14"/>
  <c r="J366" i="14" s="1"/>
  <c r="F366" i="14"/>
  <c r="I365" i="14"/>
  <c r="H365" i="14"/>
  <c r="G365" i="14"/>
  <c r="J365" i="14" s="1"/>
  <c r="K365" i="14" s="1"/>
  <c r="F365" i="14"/>
  <c r="K364" i="14"/>
  <c r="I364" i="14"/>
  <c r="H364" i="14"/>
  <c r="G364" i="14"/>
  <c r="J364" i="14" s="1"/>
  <c r="F364" i="14"/>
  <c r="I363" i="14"/>
  <c r="H363" i="14"/>
  <c r="G363" i="14"/>
  <c r="J363" i="14" s="1"/>
  <c r="K363" i="14" s="1"/>
  <c r="F363" i="14"/>
  <c r="I362" i="14"/>
  <c r="H362" i="14"/>
  <c r="G362" i="14"/>
  <c r="J362" i="14" s="1"/>
  <c r="K362" i="14" s="1"/>
  <c r="F362" i="14"/>
  <c r="I361" i="14"/>
  <c r="H361" i="14"/>
  <c r="G361" i="14"/>
  <c r="J361" i="14" s="1"/>
  <c r="K361" i="14" s="1"/>
  <c r="F361" i="14"/>
  <c r="K360" i="14"/>
  <c r="I360" i="14"/>
  <c r="H360" i="14"/>
  <c r="G360" i="14"/>
  <c r="J360" i="14" s="1"/>
  <c r="F360" i="14"/>
  <c r="I359" i="14"/>
  <c r="H359" i="14"/>
  <c r="G359" i="14"/>
  <c r="J359" i="14" s="1"/>
  <c r="K359" i="14" s="1"/>
  <c r="F359" i="14"/>
  <c r="K358" i="14"/>
  <c r="I358" i="14"/>
  <c r="H358" i="14"/>
  <c r="G358" i="14"/>
  <c r="J358" i="14" s="1"/>
  <c r="F358" i="14"/>
  <c r="I357" i="14"/>
  <c r="H357" i="14"/>
  <c r="G357" i="14"/>
  <c r="J357" i="14" s="1"/>
  <c r="K357" i="14" s="1"/>
  <c r="F357" i="14"/>
  <c r="K356" i="14"/>
  <c r="I356" i="14"/>
  <c r="H356" i="14"/>
  <c r="G356" i="14"/>
  <c r="J356" i="14" s="1"/>
  <c r="F356" i="14"/>
  <c r="I355" i="14"/>
  <c r="H355" i="14"/>
  <c r="G355" i="14"/>
  <c r="J355" i="14" s="1"/>
  <c r="K355" i="14" s="1"/>
  <c r="F355" i="14"/>
  <c r="I354" i="14"/>
  <c r="H354" i="14"/>
  <c r="G354" i="14"/>
  <c r="J354" i="14" s="1"/>
  <c r="K354" i="14" s="1"/>
  <c r="F354" i="14"/>
  <c r="I353" i="14"/>
  <c r="H353" i="14"/>
  <c r="G353" i="14"/>
  <c r="J353" i="14" s="1"/>
  <c r="K353" i="14" s="1"/>
  <c r="F353" i="14"/>
  <c r="I351" i="14"/>
  <c r="G351" i="14"/>
  <c r="F351" i="14"/>
  <c r="E351" i="14"/>
  <c r="H351" i="14" s="1"/>
  <c r="D351" i="14"/>
  <c r="C351" i="14"/>
  <c r="B351" i="14"/>
  <c r="A351" i="14"/>
  <c r="F350" i="14"/>
  <c r="G350" i="14" s="1"/>
  <c r="J350" i="14" s="1"/>
  <c r="E350" i="14"/>
  <c r="D350" i="14"/>
  <c r="C350" i="14"/>
  <c r="B350" i="14"/>
  <c r="A350" i="14"/>
  <c r="I349" i="14"/>
  <c r="G349" i="14"/>
  <c r="F349" i="14"/>
  <c r="E349" i="14"/>
  <c r="H349" i="14" s="1"/>
  <c r="D349" i="14"/>
  <c r="J349" i="14" s="1"/>
  <c r="K349" i="14" s="1"/>
  <c r="C349" i="14"/>
  <c r="B349" i="14"/>
  <c r="A349" i="14"/>
  <c r="H348" i="14"/>
  <c r="F348" i="14"/>
  <c r="G348" i="14" s="1"/>
  <c r="E348" i="14"/>
  <c r="D348" i="14"/>
  <c r="C348" i="14"/>
  <c r="B348" i="14"/>
  <c r="A348" i="14"/>
  <c r="I347" i="14"/>
  <c r="G347" i="14"/>
  <c r="J347" i="14" s="1"/>
  <c r="K347" i="14" s="1"/>
  <c r="F347" i="14"/>
  <c r="E347" i="14"/>
  <c r="H347" i="14" s="1"/>
  <c r="D347" i="14"/>
  <c r="C347" i="14"/>
  <c r="B347" i="14"/>
  <c r="A347" i="14"/>
  <c r="F346" i="14"/>
  <c r="G346" i="14" s="1"/>
  <c r="J346" i="14" s="1"/>
  <c r="E346" i="14"/>
  <c r="D346" i="14"/>
  <c r="C346" i="14"/>
  <c r="B346" i="14"/>
  <c r="A346" i="14"/>
  <c r="I345" i="14"/>
  <c r="G345" i="14"/>
  <c r="F345" i="14"/>
  <c r="E345" i="14"/>
  <c r="H345" i="14" s="1"/>
  <c r="D345" i="14"/>
  <c r="J345" i="14" s="1"/>
  <c r="C345" i="14"/>
  <c r="B345" i="14"/>
  <c r="A345" i="14"/>
  <c r="F344" i="14"/>
  <c r="G344" i="14" s="1"/>
  <c r="E344" i="14"/>
  <c r="D344" i="14"/>
  <c r="C344" i="14"/>
  <c r="B344" i="14"/>
  <c r="A344" i="14"/>
  <c r="I343" i="14"/>
  <c r="G343" i="14"/>
  <c r="J343" i="14" s="1"/>
  <c r="F343" i="14"/>
  <c r="E343" i="14"/>
  <c r="H343" i="14" s="1"/>
  <c r="K343" i="14" s="1"/>
  <c r="D343" i="14"/>
  <c r="C343" i="14"/>
  <c r="B343" i="14"/>
  <c r="A343" i="14"/>
  <c r="F342" i="14"/>
  <c r="G342" i="14" s="1"/>
  <c r="J342" i="14" s="1"/>
  <c r="E342" i="14"/>
  <c r="D342" i="14"/>
  <c r="I342" i="14" s="1"/>
  <c r="C342" i="14"/>
  <c r="B342" i="14"/>
  <c r="A342" i="14"/>
  <c r="I341" i="14"/>
  <c r="G341" i="14"/>
  <c r="F341" i="14"/>
  <c r="E341" i="14"/>
  <c r="H341" i="14" s="1"/>
  <c r="D341" i="14"/>
  <c r="J341" i="14" s="1"/>
  <c r="K341" i="14" s="1"/>
  <c r="C341" i="14"/>
  <c r="B341" i="14"/>
  <c r="A341" i="14"/>
  <c r="H340" i="14"/>
  <c r="F340" i="14"/>
  <c r="G340" i="14" s="1"/>
  <c r="E340" i="14"/>
  <c r="D340" i="14"/>
  <c r="C340" i="14"/>
  <c r="B340" i="14"/>
  <c r="A340" i="14"/>
  <c r="B339" i="14"/>
  <c r="A339" i="14"/>
  <c r="I338" i="14"/>
  <c r="G338" i="14"/>
  <c r="F338" i="14"/>
  <c r="E338" i="14"/>
  <c r="H338" i="14" s="1"/>
  <c r="D338" i="14"/>
  <c r="J338" i="14" s="1"/>
  <c r="C338" i="14"/>
  <c r="B338" i="14"/>
  <c r="A338" i="14"/>
  <c r="F337" i="14"/>
  <c r="G337" i="14" s="1"/>
  <c r="E337" i="14"/>
  <c r="D337" i="14"/>
  <c r="C337" i="14"/>
  <c r="B337" i="14"/>
  <c r="A337" i="14"/>
  <c r="I336" i="14"/>
  <c r="G336" i="14"/>
  <c r="F336" i="14"/>
  <c r="E336" i="14"/>
  <c r="H336" i="14" s="1"/>
  <c r="D336" i="14"/>
  <c r="C336" i="14"/>
  <c r="B336" i="14"/>
  <c r="A336" i="14"/>
  <c r="F335" i="14"/>
  <c r="G335" i="14" s="1"/>
  <c r="J335" i="14" s="1"/>
  <c r="E335" i="14"/>
  <c r="D335" i="14"/>
  <c r="I335" i="14" s="1"/>
  <c r="C335" i="14"/>
  <c r="B335" i="14"/>
  <c r="A335" i="14"/>
  <c r="I334" i="14"/>
  <c r="G334" i="14"/>
  <c r="F334" i="14"/>
  <c r="E334" i="14"/>
  <c r="H334" i="14" s="1"/>
  <c r="D334" i="14"/>
  <c r="J334" i="14" s="1"/>
  <c r="K334" i="14" s="1"/>
  <c r="C334" i="14"/>
  <c r="B334" i="14"/>
  <c r="A334" i="14"/>
  <c r="H333" i="14"/>
  <c r="F333" i="14"/>
  <c r="G333" i="14" s="1"/>
  <c r="E333" i="14"/>
  <c r="D333" i="14"/>
  <c r="C333" i="14"/>
  <c r="B333" i="14"/>
  <c r="A333" i="14"/>
  <c r="I332" i="14"/>
  <c r="G332" i="14"/>
  <c r="F332" i="14"/>
  <c r="E332" i="14"/>
  <c r="H332" i="14" s="1"/>
  <c r="D332" i="14"/>
  <c r="J332" i="14" s="1"/>
  <c r="K332" i="14" s="1"/>
  <c r="C332" i="14"/>
  <c r="B332" i="14"/>
  <c r="A332" i="14"/>
  <c r="J331" i="14"/>
  <c r="F331" i="14"/>
  <c r="G331" i="14" s="1"/>
  <c r="E331" i="14"/>
  <c r="D331" i="14"/>
  <c r="I331" i="14" s="1"/>
  <c r="C331" i="14"/>
  <c r="B331" i="14"/>
  <c r="A331" i="14"/>
  <c r="I330" i="14"/>
  <c r="G330" i="14"/>
  <c r="F330" i="14"/>
  <c r="E330" i="14"/>
  <c r="H330" i="14" s="1"/>
  <c r="D330" i="14"/>
  <c r="J330" i="14" s="1"/>
  <c r="K330" i="14" s="1"/>
  <c r="C330" i="14"/>
  <c r="B330" i="14"/>
  <c r="A330" i="14"/>
  <c r="H329" i="14"/>
  <c r="F329" i="14"/>
  <c r="G329" i="14" s="1"/>
  <c r="E329" i="14"/>
  <c r="D329" i="14"/>
  <c r="C329" i="14"/>
  <c r="B329" i="14"/>
  <c r="A329" i="14"/>
  <c r="I328" i="14"/>
  <c r="G328" i="14"/>
  <c r="F328" i="14"/>
  <c r="E328" i="14"/>
  <c r="H328" i="14" s="1"/>
  <c r="D328" i="14"/>
  <c r="J328" i="14" s="1"/>
  <c r="K328" i="14" s="1"/>
  <c r="C328" i="14"/>
  <c r="B328" i="14"/>
  <c r="A328" i="14"/>
  <c r="J327" i="14"/>
  <c r="F327" i="14"/>
  <c r="G327" i="14" s="1"/>
  <c r="E327" i="14"/>
  <c r="D327" i="14"/>
  <c r="C327" i="14"/>
  <c r="B327" i="14"/>
  <c r="A327" i="14"/>
  <c r="I326" i="14"/>
  <c r="G326" i="14"/>
  <c r="F326" i="14"/>
  <c r="E326" i="14"/>
  <c r="H326" i="14" s="1"/>
  <c r="D326" i="14"/>
  <c r="J326" i="14" s="1"/>
  <c r="K326" i="14" s="1"/>
  <c r="C326" i="14"/>
  <c r="B326" i="14"/>
  <c r="A326" i="14"/>
  <c r="H325" i="14"/>
  <c r="F325" i="14"/>
  <c r="G325" i="14" s="1"/>
  <c r="E325" i="14"/>
  <c r="D325" i="14"/>
  <c r="C325" i="14"/>
  <c r="B325" i="14"/>
  <c r="A325" i="14"/>
  <c r="I324" i="14"/>
  <c r="G324" i="14"/>
  <c r="F324" i="14"/>
  <c r="E324" i="14"/>
  <c r="H324" i="14" s="1"/>
  <c r="D324" i="14"/>
  <c r="C324" i="14"/>
  <c r="B324" i="14"/>
  <c r="A324" i="14"/>
  <c r="F323" i="14"/>
  <c r="G323" i="14" s="1"/>
  <c r="J323" i="14" s="1"/>
  <c r="E323" i="14"/>
  <c r="D323" i="14"/>
  <c r="C323" i="14"/>
  <c r="B323" i="14"/>
  <c r="A323" i="14"/>
  <c r="I322" i="14"/>
  <c r="G322" i="14"/>
  <c r="J322" i="14" s="1"/>
  <c r="F322" i="14"/>
  <c r="E322" i="14"/>
  <c r="H322" i="14" s="1"/>
  <c r="D322" i="14"/>
  <c r="C322" i="14"/>
  <c r="B322" i="14"/>
  <c r="A322" i="14"/>
  <c r="F321" i="14"/>
  <c r="G321" i="14" s="1"/>
  <c r="E321" i="14"/>
  <c r="D321" i="14"/>
  <c r="C321" i="14"/>
  <c r="B321" i="14"/>
  <c r="A321" i="14"/>
  <c r="I320" i="14"/>
  <c r="G320" i="14"/>
  <c r="F320" i="14"/>
  <c r="E320" i="14"/>
  <c r="H320" i="14" s="1"/>
  <c r="D320" i="14"/>
  <c r="C320" i="14"/>
  <c r="B320" i="14"/>
  <c r="A320" i="14"/>
  <c r="B319" i="14"/>
  <c r="A319" i="14"/>
  <c r="H318" i="14"/>
  <c r="F318" i="14"/>
  <c r="G318" i="14" s="1"/>
  <c r="E318" i="14"/>
  <c r="D318" i="14"/>
  <c r="C318" i="14"/>
  <c r="B318" i="14"/>
  <c r="A318" i="14"/>
  <c r="I317" i="14"/>
  <c r="G317" i="14"/>
  <c r="F317" i="14"/>
  <c r="E317" i="14"/>
  <c r="H317" i="14" s="1"/>
  <c r="D317" i="14"/>
  <c r="J317" i="14" s="1"/>
  <c r="K317" i="14" s="1"/>
  <c r="C317" i="14"/>
  <c r="B317" i="14"/>
  <c r="A317" i="14"/>
  <c r="J316" i="14"/>
  <c r="F316" i="14"/>
  <c r="G316" i="14" s="1"/>
  <c r="E316" i="14"/>
  <c r="D316" i="14"/>
  <c r="C316" i="14"/>
  <c r="B316" i="14"/>
  <c r="A316" i="14"/>
  <c r="I315" i="14"/>
  <c r="G315" i="14"/>
  <c r="J315" i="14" s="1"/>
  <c r="K315" i="14" s="1"/>
  <c r="F315" i="14"/>
  <c r="E315" i="14"/>
  <c r="H315" i="14" s="1"/>
  <c r="D315" i="14"/>
  <c r="C315" i="14"/>
  <c r="B315" i="14"/>
  <c r="A315" i="14"/>
  <c r="H314" i="14"/>
  <c r="F314" i="14"/>
  <c r="G314" i="14" s="1"/>
  <c r="E314" i="14"/>
  <c r="D314" i="14"/>
  <c r="C314" i="14"/>
  <c r="B314" i="14"/>
  <c r="A314" i="14"/>
  <c r="I313" i="14"/>
  <c r="G313" i="14"/>
  <c r="F313" i="14"/>
  <c r="E313" i="14"/>
  <c r="H313" i="14" s="1"/>
  <c r="D313" i="14"/>
  <c r="C313" i="14"/>
  <c r="B313" i="14"/>
  <c r="A313" i="14"/>
  <c r="F312" i="14"/>
  <c r="G312" i="14" s="1"/>
  <c r="J312" i="14" s="1"/>
  <c r="E312" i="14"/>
  <c r="D312" i="14"/>
  <c r="C312" i="14"/>
  <c r="B312" i="14"/>
  <c r="A312" i="14"/>
  <c r="I311" i="14"/>
  <c r="G311" i="14"/>
  <c r="F311" i="14"/>
  <c r="E311" i="14"/>
  <c r="H311" i="14" s="1"/>
  <c r="D311" i="14"/>
  <c r="J311" i="14" s="1"/>
  <c r="C311" i="14"/>
  <c r="B311" i="14"/>
  <c r="A311" i="14"/>
  <c r="F310" i="14"/>
  <c r="G310" i="14" s="1"/>
  <c r="E310" i="14"/>
  <c r="D310" i="14"/>
  <c r="C310" i="14"/>
  <c r="B310" i="14"/>
  <c r="A310" i="14"/>
  <c r="I309" i="14"/>
  <c r="G309" i="14"/>
  <c r="F309" i="14"/>
  <c r="E309" i="14"/>
  <c r="H309" i="14" s="1"/>
  <c r="D309" i="14"/>
  <c r="C309" i="14"/>
  <c r="B309" i="14"/>
  <c r="A309" i="14"/>
  <c r="F308" i="14"/>
  <c r="G308" i="14" s="1"/>
  <c r="J308" i="14" s="1"/>
  <c r="E308" i="14"/>
  <c r="D308" i="14"/>
  <c r="I308" i="14" s="1"/>
  <c r="C308" i="14"/>
  <c r="B308" i="14"/>
  <c r="A308" i="14"/>
  <c r="I307" i="14"/>
  <c r="G307" i="14"/>
  <c r="F307" i="14"/>
  <c r="E307" i="14"/>
  <c r="H307" i="14" s="1"/>
  <c r="D307" i="14"/>
  <c r="J307" i="14" s="1"/>
  <c r="C307" i="14"/>
  <c r="B307" i="14"/>
  <c r="A307" i="14"/>
  <c r="F306" i="14"/>
  <c r="G306" i="14" s="1"/>
  <c r="E306" i="14"/>
  <c r="D306" i="14"/>
  <c r="C306" i="14"/>
  <c r="B306" i="14"/>
  <c r="A306" i="14"/>
  <c r="I305" i="14"/>
  <c r="G305" i="14"/>
  <c r="F305" i="14"/>
  <c r="E305" i="14"/>
  <c r="H305" i="14" s="1"/>
  <c r="K305" i="14" s="1"/>
  <c r="D305" i="14"/>
  <c r="J305" i="14" s="1"/>
  <c r="C305" i="14"/>
  <c r="B305" i="14"/>
  <c r="A305" i="14"/>
  <c r="J304" i="14"/>
  <c r="F304" i="14"/>
  <c r="G304" i="14" s="1"/>
  <c r="E304" i="14"/>
  <c r="D304" i="14"/>
  <c r="I304" i="14" s="1"/>
  <c r="C304" i="14"/>
  <c r="B304" i="14"/>
  <c r="A304" i="14"/>
  <c r="I303" i="14"/>
  <c r="G303" i="14"/>
  <c r="F303" i="14"/>
  <c r="E303" i="14"/>
  <c r="H303" i="14" s="1"/>
  <c r="D303" i="14"/>
  <c r="J303" i="14" s="1"/>
  <c r="K303" i="14" s="1"/>
  <c r="C303" i="14"/>
  <c r="B303" i="14"/>
  <c r="A303" i="14"/>
  <c r="H302" i="14"/>
  <c r="F302" i="14"/>
  <c r="G302" i="14" s="1"/>
  <c r="E302" i="14"/>
  <c r="D302" i="14"/>
  <c r="C302" i="14"/>
  <c r="B302" i="14"/>
  <c r="A302" i="14"/>
  <c r="I301" i="14"/>
  <c r="G301" i="14"/>
  <c r="F301" i="14"/>
  <c r="E301" i="14"/>
  <c r="H301" i="14" s="1"/>
  <c r="D301" i="14"/>
  <c r="C301" i="14"/>
  <c r="B301" i="14"/>
  <c r="A301" i="14"/>
  <c r="H300" i="14"/>
  <c r="F300" i="14"/>
  <c r="G300" i="14" s="1"/>
  <c r="E300" i="14"/>
  <c r="D300" i="14"/>
  <c r="I300" i="14" s="1"/>
  <c r="C300" i="14"/>
  <c r="B300" i="14"/>
  <c r="A300" i="14"/>
  <c r="B299" i="14"/>
  <c r="A299" i="14"/>
  <c r="I298" i="14"/>
  <c r="G298" i="14"/>
  <c r="F298" i="14"/>
  <c r="E298" i="14"/>
  <c r="H298" i="14" s="1"/>
  <c r="D298" i="14"/>
  <c r="C298" i="14"/>
  <c r="B298" i="14"/>
  <c r="A298" i="14"/>
  <c r="H297" i="14"/>
  <c r="F297" i="14"/>
  <c r="G297" i="14" s="1"/>
  <c r="E297" i="14"/>
  <c r="D297" i="14"/>
  <c r="C297" i="14"/>
  <c r="B297" i="14"/>
  <c r="A297" i="14"/>
  <c r="I296" i="14"/>
  <c r="G296" i="14"/>
  <c r="F296" i="14"/>
  <c r="E296" i="14"/>
  <c r="H296" i="14" s="1"/>
  <c r="D296" i="14"/>
  <c r="J296" i="14" s="1"/>
  <c r="K296" i="14" s="1"/>
  <c r="C296" i="14"/>
  <c r="B296" i="14"/>
  <c r="A296" i="14"/>
  <c r="J295" i="14"/>
  <c r="F295" i="14"/>
  <c r="G295" i="14" s="1"/>
  <c r="E295" i="14"/>
  <c r="D295" i="14"/>
  <c r="C295" i="14"/>
  <c r="B295" i="14"/>
  <c r="A295" i="14"/>
  <c r="I294" i="14"/>
  <c r="G294" i="14"/>
  <c r="F294" i="14"/>
  <c r="E294" i="14"/>
  <c r="H294" i="14" s="1"/>
  <c r="K294" i="14" s="1"/>
  <c r="D294" i="14"/>
  <c r="J294" i="14" s="1"/>
  <c r="C294" i="14"/>
  <c r="B294" i="14"/>
  <c r="A294" i="14"/>
  <c r="F293" i="14"/>
  <c r="G293" i="14" s="1"/>
  <c r="E293" i="14"/>
  <c r="D293" i="14"/>
  <c r="C293" i="14"/>
  <c r="B293" i="14"/>
  <c r="A293" i="14"/>
  <c r="B292" i="14"/>
  <c r="A292" i="14"/>
  <c r="I291" i="14"/>
  <c r="G291" i="14"/>
  <c r="F291" i="14"/>
  <c r="E291" i="14"/>
  <c r="H291" i="14" s="1"/>
  <c r="D291" i="14"/>
  <c r="C291" i="14"/>
  <c r="B291" i="14"/>
  <c r="A291" i="14"/>
  <c r="I290" i="14"/>
  <c r="F290" i="14"/>
  <c r="G290" i="14" s="1"/>
  <c r="E290" i="14"/>
  <c r="D290" i="14"/>
  <c r="J290" i="14" s="1"/>
  <c r="C290" i="14"/>
  <c r="B290" i="14"/>
  <c r="A290" i="14"/>
  <c r="G289" i="14"/>
  <c r="F289" i="14"/>
  <c r="E289" i="14"/>
  <c r="D289" i="14"/>
  <c r="C289" i="14"/>
  <c r="B289" i="14"/>
  <c r="A289" i="14"/>
  <c r="J288" i="14"/>
  <c r="G288" i="14"/>
  <c r="F288" i="14"/>
  <c r="E288" i="14"/>
  <c r="D288" i="14"/>
  <c r="I288" i="14" s="1"/>
  <c r="C288" i="14"/>
  <c r="B288" i="14"/>
  <c r="A288" i="14"/>
  <c r="J287" i="14"/>
  <c r="K287" i="14" s="1"/>
  <c r="I287" i="14"/>
  <c r="F287" i="14"/>
  <c r="G287" i="14" s="1"/>
  <c r="E287" i="14"/>
  <c r="H287" i="14" s="1"/>
  <c r="D287" i="14"/>
  <c r="C287" i="14"/>
  <c r="B287" i="14"/>
  <c r="A287" i="14"/>
  <c r="I286" i="14"/>
  <c r="F286" i="14"/>
  <c r="G286" i="14" s="1"/>
  <c r="E286" i="14"/>
  <c r="D286" i="14"/>
  <c r="J286" i="14" s="1"/>
  <c r="C286" i="14"/>
  <c r="B286" i="14"/>
  <c r="A286" i="14"/>
  <c r="G285" i="14"/>
  <c r="F285" i="14"/>
  <c r="E285" i="14"/>
  <c r="D285" i="14"/>
  <c r="C285" i="14"/>
  <c r="B285" i="14"/>
  <c r="A285" i="14"/>
  <c r="F284" i="14"/>
  <c r="G284" i="14" s="1"/>
  <c r="J284" i="14" s="1"/>
  <c r="E284" i="14"/>
  <c r="D284" i="14"/>
  <c r="C284" i="14"/>
  <c r="B284" i="14"/>
  <c r="A284" i="14"/>
  <c r="F283" i="14"/>
  <c r="G283" i="14" s="1"/>
  <c r="J283" i="14" s="1"/>
  <c r="K283" i="14" s="1"/>
  <c r="E283" i="14"/>
  <c r="H283" i="14" s="1"/>
  <c r="D283" i="14"/>
  <c r="C283" i="14"/>
  <c r="B283" i="14"/>
  <c r="A283" i="14"/>
  <c r="H282" i="14"/>
  <c r="F282" i="14"/>
  <c r="G282" i="14" s="1"/>
  <c r="E282" i="14"/>
  <c r="D282" i="14"/>
  <c r="C282" i="14"/>
  <c r="B282" i="14"/>
  <c r="A282" i="14"/>
  <c r="G281" i="14"/>
  <c r="F281" i="14"/>
  <c r="E281" i="14"/>
  <c r="D281" i="14"/>
  <c r="C281" i="14"/>
  <c r="B281" i="14"/>
  <c r="A281" i="14"/>
  <c r="F280" i="14"/>
  <c r="G280" i="14" s="1"/>
  <c r="J280" i="14" s="1"/>
  <c r="E280" i="14"/>
  <c r="D280" i="14"/>
  <c r="I280" i="14" s="1"/>
  <c r="C280" i="14"/>
  <c r="B280" i="14"/>
  <c r="A280" i="14"/>
  <c r="B279" i="14"/>
  <c r="A279" i="14"/>
  <c r="G278" i="14"/>
  <c r="F278" i="14"/>
  <c r="E278" i="14"/>
  <c r="D278" i="14"/>
  <c r="C278" i="14"/>
  <c r="B278" i="14"/>
  <c r="A278" i="14"/>
  <c r="F277" i="14"/>
  <c r="G277" i="14" s="1"/>
  <c r="J277" i="14" s="1"/>
  <c r="K277" i="14" s="1"/>
  <c r="E277" i="14"/>
  <c r="H277" i="14" s="1"/>
  <c r="D277" i="14"/>
  <c r="I277" i="14" s="1"/>
  <c r="C277" i="14"/>
  <c r="B277" i="14"/>
  <c r="A277" i="14"/>
  <c r="J276" i="14"/>
  <c r="F276" i="14"/>
  <c r="G276" i="14" s="1"/>
  <c r="E276" i="14"/>
  <c r="H276" i="14" s="1"/>
  <c r="D276" i="14"/>
  <c r="C276" i="14"/>
  <c r="B276" i="14"/>
  <c r="A276" i="14"/>
  <c r="F275" i="14"/>
  <c r="G275" i="14" s="1"/>
  <c r="E275" i="14"/>
  <c r="D275" i="14"/>
  <c r="C275" i="14"/>
  <c r="B275" i="14"/>
  <c r="A275" i="14"/>
  <c r="G274" i="14"/>
  <c r="F274" i="14"/>
  <c r="E274" i="14"/>
  <c r="D274" i="14"/>
  <c r="C274" i="14"/>
  <c r="B274" i="14"/>
  <c r="A274" i="14"/>
  <c r="G273" i="14"/>
  <c r="J273" i="14" s="1"/>
  <c r="K273" i="14" s="1"/>
  <c r="F273" i="14"/>
  <c r="I273" i="14" s="1"/>
  <c r="E273" i="14"/>
  <c r="H273" i="14" s="1"/>
  <c r="D273" i="14"/>
  <c r="C273" i="14"/>
  <c r="B273" i="14"/>
  <c r="A273" i="14"/>
  <c r="F272" i="14"/>
  <c r="E272" i="14"/>
  <c r="H272" i="14" s="1"/>
  <c r="D272" i="14"/>
  <c r="C272" i="14"/>
  <c r="B272" i="14"/>
  <c r="A272" i="14"/>
  <c r="G271" i="14"/>
  <c r="F271" i="14"/>
  <c r="E271" i="14"/>
  <c r="D271" i="14"/>
  <c r="C271" i="14"/>
  <c r="B271" i="14"/>
  <c r="A271" i="14"/>
  <c r="G270" i="14"/>
  <c r="F270" i="14"/>
  <c r="E270" i="14"/>
  <c r="D270" i="14"/>
  <c r="C270" i="14"/>
  <c r="B270" i="14"/>
  <c r="A270" i="14"/>
  <c r="F269" i="14"/>
  <c r="E269" i="14"/>
  <c r="H269" i="14" s="1"/>
  <c r="D269" i="14"/>
  <c r="C269" i="14"/>
  <c r="B269" i="14"/>
  <c r="A269" i="14"/>
  <c r="F268" i="14"/>
  <c r="E268" i="14"/>
  <c r="H268" i="14" s="1"/>
  <c r="D268" i="14"/>
  <c r="C268" i="14"/>
  <c r="B268" i="14"/>
  <c r="A268" i="14"/>
  <c r="G267" i="14"/>
  <c r="F267" i="14"/>
  <c r="E267" i="14"/>
  <c r="D267" i="14"/>
  <c r="J267" i="14" s="1"/>
  <c r="C267" i="14"/>
  <c r="B267" i="14"/>
  <c r="A267" i="14"/>
  <c r="G266" i="14"/>
  <c r="F266" i="14"/>
  <c r="E266" i="14"/>
  <c r="D266" i="14"/>
  <c r="C266" i="14"/>
  <c r="B266" i="14"/>
  <c r="A266" i="14"/>
  <c r="F265" i="14"/>
  <c r="I265" i="14" s="1"/>
  <c r="E265" i="14"/>
  <c r="H265" i="14" s="1"/>
  <c r="D265" i="14"/>
  <c r="C265" i="14"/>
  <c r="B265" i="14"/>
  <c r="A265" i="14"/>
  <c r="J264" i="14"/>
  <c r="K264" i="14" s="1"/>
  <c r="F264" i="14"/>
  <c r="G264" i="14" s="1"/>
  <c r="E264" i="14"/>
  <c r="H264" i="14" s="1"/>
  <c r="D264" i="14"/>
  <c r="C264" i="14"/>
  <c r="B264" i="14"/>
  <c r="A264" i="14"/>
  <c r="I263" i="14"/>
  <c r="G263" i="14"/>
  <c r="F263" i="14"/>
  <c r="E263" i="14"/>
  <c r="H263" i="14" s="1"/>
  <c r="D263" i="14"/>
  <c r="J263" i="14" s="1"/>
  <c r="C263" i="14"/>
  <c r="B263" i="14"/>
  <c r="A263" i="14"/>
  <c r="G262" i="14"/>
  <c r="F262" i="14"/>
  <c r="E262" i="14"/>
  <c r="D262" i="14"/>
  <c r="C262" i="14"/>
  <c r="B262" i="14"/>
  <c r="A262" i="14"/>
  <c r="G261" i="14"/>
  <c r="J261" i="14" s="1"/>
  <c r="K261" i="14" s="1"/>
  <c r="F261" i="14"/>
  <c r="I261" i="14" s="1"/>
  <c r="E261" i="14"/>
  <c r="H261" i="14" s="1"/>
  <c r="D261" i="14"/>
  <c r="C261" i="14"/>
  <c r="B261" i="14"/>
  <c r="A261" i="14"/>
  <c r="J260" i="14"/>
  <c r="K260" i="14" s="1"/>
  <c r="I260" i="14"/>
  <c r="F260" i="14"/>
  <c r="G260" i="14" s="1"/>
  <c r="E260" i="14"/>
  <c r="H260" i="14" s="1"/>
  <c r="D260" i="14"/>
  <c r="C260" i="14"/>
  <c r="B260" i="14"/>
  <c r="A260" i="14"/>
  <c r="G259" i="14"/>
  <c r="F259" i="14"/>
  <c r="E259" i="14"/>
  <c r="D259" i="14"/>
  <c r="J259" i="14" s="1"/>
  <c r="C259" i="14"/>
  <c r="B259" i="14"/>
  <c r="A259" i="14"/>
  <c r="B258" i="14"/>
  <c r="A258" i="14"/>
  <c r="I257" i="14"/>
  <c r="F257" i="14"/>
  <c r="G257" i="14" s="1"/>
  <c r="J257" i="14" s="1"/>
  <c r="K257" i="14" s="1"/>
  <c r="E257" i="14"/>
  <c r="H257" i="14" s="1"/>
  <c r="D257" i="14"/>
  <c r="C257" i="14"/>
  <c r="B257" i="14"/>
  <c r="A257" i="14"/>
  <c r="G256" i="14"/>
  <c r="F256" i="14"/>
  <c r="E256" i="14"/>
  <c r="D256" i="14"/>
  <c r="C256" i="14"/>
  <c r="B256" i="14"/>
  <c r="A256" i="14"/>
  <c r="G255" i="14"/>
  <c r="F255" i="14"/>
  <c r="E255" i="14"/>
  <c r="D255" i="14"/>
  <c r="C255" i="14"/>
  <c r="B255" i="14"/>
  <c r="A255" i="14"/>
  <c r="F254" i="14"/>
  <c r="E254" i="14"/>
  <c r="H254" i="14" s="1"/>
  <c r="D254" i="14"/>
  <c r="C254" i="14"/>
  <c r="B254" i="14"/>
  <c r="A254" i="14"/>
  <c r="F253" i="14"/>
  <c r="E253" i="14"/>
  <c r="H253" i="14" s="1"/>
  <c r="D253" i="14"/>
  <c r="C253" i="14"/>
  <c r="B253" i="14"/>
  <c r="A253" i="14"/>
  <c r="G252" i="14"/>
  <c r="F252" i="14"/>
  <c r="E252" i="14"/>
  <c r="D252" i="14"/>
  <c r="J252" i="14" s="1"/>
  <c r="C252" i="14"/>
  <c r="B252" i="14"/>
  <c r="A252" i="14"/>
  <c r="G251" i="14"/>
  <c r="F251" i="14"/>
  <c r="E251" i="14"/>
  <c r="D251" i="14"/>
  <c r="C251" i="14"/>
  <c r="B251" i="14"/>
  <c r="A251" i="14"/>
  <c r="F250" i="14"/>
  <c r="I250" i="14" s="1"/>
  <c r="E250" i="14"/>
  <c r="H250" i="14" s="1"/>
  <c r="D250" i="14"/>
  <c r="C250" i="14"/>
  <c r="B250" i="14"/>
  <c r="A250" i="14"/>
  <c r="J249" i="14"/>
  <c r="K249" i="14" s="1"/>
  <c r="F249" i="14"/>
  <c r="G249" i="14" s="1"/>
  <c r="E249" i="14"/>
  <c r="H249" i="14" s="1"/>
  <c r="D249" i="14"/>
  <c r="C249" i="14"/>
  <c r="B249" i="14"/>
  <c r="A249" i="14"/>
  <c r="I248" i="14"/>
  <c r="G248" i="14"/>
  <c r="F248" i="14"/>
  <c r="E248" i="14"/>
  <c r="H248" i="14" s="1"/>
  <c r="D248" i="14"/>
  <c r="J248" i="14" s="1"/>
  <c r="C248" i="14"/>
  <c r="B248" i="14"/>
  <c r="A248" i="14"/>
  <c r="G247" i="14"/>
  <c r="F247" i="14"/>
  <c r="E247" i="14"/>
  <c r="D247" i="14"/>
  <c r="C247" i="14"/>
  <c r="B247" i="14"/>
  <c r="A247" i="14"/>
  <c r="G246" i="14"/>
  <c r="J246" i="14" s="1"/>
  <c r="K246" i="14" s="1"/>
  <c r="F246" i="14"/>
  <c r="I246" i="14" s="1"/>
  <c r="E246" i="14"/>
  <c r="H246" i="14" s="1"/>
  <c r="D246" i="14"/>
  <c r="C246" i="14"/>
  <c r="B246" i="14"/>
  <c r="A246" i="14"/>
  <c r="J245" i="14"/>
  <c r="K245" i="14" s="1"/>
  <c r="I245" i="14"/>
  <c r="F245" i="14"/>
  <c r="G245" i="14" s="1"/>
  <c r="E245" i="14"/>
  <c r="H245" i="14" s="1"/>
  <c r="D245" i="14"/>
  <c r="C245" i="14"/>
  <c r="B245" i="14"/>
  <c r="A245" i="14"/>
  <c r="G244" i="14"/>
  <c r="F244" i="14"/>
  <c r="E244" i="14"/>
  <c r="D244" i="14"/>
  <c r="J244" i="14" s="1"/>
  <c r="C244" i="14"/>
  <c r="B244" i="14"/>
  <c r="A244" i="14"/>
  <c r="G243" i="14"/>
  <c r="F243" i="14"/>
  <c r="E243" i="14"/>
  <c r="D243" i="14"/>
  <c r="C243" i="14"/>
  <c r="B243" i="14"/>
  <c r="A243" i="14"/>
  <c r="F242" i="14"/>
  <c r="E242" i="14"/>
  <c r="H242" i="14" s="1"/>
  <c r="D242" i="14"/>
  <c r="C242" i="14"/>
  <c r="B242" i="14"/>
  <c r="A242" i="14"/>
  <c r="F241" i="14"/>
  <c r="G241" i="14" s="1"/>
  <c r="J241" i="14" s="1"/>
  <c r="K241" i="14" s="1"/>
  <c r="E241" i="14"/>
  <c r="H241" i="14" s="1"/>
  <c r="D241" i="14"/>
  <c r="C241" i="14"/>
  <c r="B241" i="14"/>
  <c r="A241" i="14"/>
  <c r="G240" i="14"/>
  <c r="F240" i="14"/>
  <c r="E240" i="14"/>
  <c r="D240" i="14"/>
  <c r="C240" i="14"/>
  <c r="B240" i="14"/>
  <c r="A240" i="14"/>
  <c r="G239" i="14"/>
  <c r="F239" i="14"/>
  <c r="E239" i="14"/>
  <c r="D239" i="14"/>
  <c r="C239" i="14"/>
  <c r="B239" i="14"/>
  <c r="A239" i="14"/>
  <c r="F238" i="14"/>
  <c r="E238" i="14"/>
  <c r="H238" i="14" s="1"/>
  <c r="D238" i="14"/>
  <c r="C238" i="14"/>
  <c r="B238" i="14"/>
  <c r="A238" i="14"/>
  <c r="F237" i="14"/>
  <c r="E237" i="14"/>
  <c r="H237" i="14" s="1"/>
  <c r="D237" i="14"/>
  <c r="C237" i="14"/>
  <c r="B237" i="14"/>
  <c r="A237" i="14"/>
  <c r="G236" i="14"/>
  <c r="F236" i="14"/>
  <c r="E236" i="14"/>
  <c r="D236" i="14"/>
  <c r="J236" i="14" s="1"/>
  <c r="C236" i="14"/>
  <c r="B236" i="14"/>
  <c r="A236" i="14"/>
  <c r="H235" i="14"/>
  <c r="F235" i="14"/>
  <c r="G235" i="14" s="1"/>
  <c r="E235" i="14"/>
  <c r="D235" i="14"/>
  <c r="I235" i="14" s="1"/>
  <c r="C235" i="14"/>
  <c r="B235" i="14"/>
  <c r="A235" i="14"/>
  <c r="G234" i="14"/>
  <c r="F234" i="14"/>
  <c r="E234" i="14"/>
  <c r="D234" i="14"/>
  <c r="C234" i="14"/>
  <c r="B234" i="14"/>
  <c r="A234" i="14"/>
  <c r="J233" i="14"/>
  <c r="F233" i="14"/>
  <c r="G233" i="14" s="1"/>
  <c r="E233" i="14"/>
  <c r="D233" i="14"/>
  <c r="I233" i="14" s="1"/>
  <c r="C233" i="14"/>
  <c r="B233" i="14"/>
  <c r="A233" i="14"/>
  <c r="J232" i="14"/>
  <c r="K232" i="14" s="1"/>
  <c r="F232" i="14"/>
  <c r="G232" i="14" s="1"/>
  <c r="E232" i="14"/>
  <c r="H232" i="14" s="1"/>
  <c r="D232" i="14"/>
  <c r="C232" i="14"/>
  <c r="B232" i="14"/>
  <c r="A232" i="14"/>
  <c r="F231" i="14"/>
  <c r="G231" i="14" s="1"/>
  <c r="E231" i="14"/>
  <c r="H231" i="14" s="1"/>
  <c r="D231" i="14"/>
  <c r="J231" i="14" s="1"/>
  <c r="C231" i="14"/>
  <c r="B231" i="14"/>
  <c r="A231" i="14"/>
  <c r="G230" i="14"/>
  <c r="F230" i="14"/>
  <c r="E230" i="14"/>
  <c r="D230" i="14"/>
  <c r="C230" i="14"/>
  <c r="B230" i="14"/>
  <c r="A230" i="14"/>
  <c r="F229" i="14"/>
  <c r="G229" i="14" s="1"/>
  <c r="J229" i="14" s="1"/>
  <c r="E229" i="14"/>
  <c r="D229" i="14"/>
  <c r="C229" i="14"/>
  <c r="B229" i="14"/>
  <c r="A229" i="14"/>
  <c r="F228" i="14"/>
  <c r="E228" i="14"/>
  <c r="H228" i="14" s="1"/>
  <c r="D228" i="14"/>
  <c r="C228" i="14"/>
  <c r="B228" i="14"/>
  <c r="A228" i="14"/>
  <c r="H227" i="14"/>
  <c r="F227" i="14"/>
  <c r="G227" i="14" s="1"/>
  <c r="E227" i="14"/>
  <c r="D227" i="14"/>
  <c r="C227" i="14"/>
  <c r="B227" i="14"/>
  <c r="A227" i="14"/>
  <c r="G226" i="14"/>
  <c r="F226" i="14"/>
  <c r="E226" i="14"/>
  <c r="D226" i="14"/>
  <c r="C226" i="14"/>
  <c r="B226" i="14"/>
  <c r="A226" i="14"/>
  <c r="J225" i="14"/>
  <c r="F225" i="14"/>
  <c r="G225" i="14" s="1"/>
  <c r="E225" i="14"/>
  <c r="D225" i="14"/>
  <c r="I225" i="14" s="1"/>
  <c r="C225" i="14"/>
  <c r="B225" i="14"/>
  <c r="A225" i="14"/>
  <c r="J224" i="14"/>
  <c r="K224" i="14" s="1"/>
  <c r="F224" i="14"/>
  <c r="G224" i="14" s="1"/>
  <c r="E224" i="14"/>
  <c r="H224" i="14" s="1"/>
  <c r="D224" i="14"/>
  <c r="C224" i="14"/>
  <c r="B224" i="14"/>
  <c r="A224" i="14"/>
  <c r="I223" i="14"/>
  <c r="F223" i="14"/>
  <c r="G223" i="14" s="1"/>
  <c r="E223" i="14"/>
  <c r="H223" i="14" s="1"/>
  <c r="D223" i="14"/>
  <c r="J223" i="14" s="1"/>
  <c r="C223" i="14"/>
  <c r="B223" i="14"/>
  <c r="A223" i="14"/>
  <c r="G222" i="14"/>
  <c r="F222" i="14"/>
  <c r="E222" i="14"/>
  <c r="D222" i="14"/>
  <c r="C222" i="14"/>
  <c r="B222" i="14"/>
  <c r="A222" i="14"/>
  <c r="F221" i="14"/>
  <c r="G221" i="14" s="1"/>
  <c r="J221" i="14" s="1"/>
  <c r="E221" i="14"/>
  <c r="D221" i="14"/>
  <c r="C221" i="14"/>
  <c r="B221" i="14"/>
  <c r="A221" i="14"/>
  <c r="F220" i="14"/>
  <c r="E220" i="14"/>
  <c r="H220" i="14" s="1"/>
  <c r="D220" i="14"/>
  <c r="C220" i="14"/>
  <c r="B220" i="14"/>
  <c r="A220" i="14"/>
  <c r="H219" i="14"/>
  <c r="F219" i="14"/>
  <c r="G219" i="14" s="1"/>
  <c r="E219" i="14"/>
  <c r="D219" i="14"/>
  <c r="C219" i="14"/>
  <c r="B219" i="14"/>
  <c r="A219" i="14"/>
  <c r="G218" i="14"/>
  <c r="F218" i="14"/>
  <c r="E218" i="14"/>
  <c r="D218" i="14"/>
  <c r="C218" i="14"/>
  <c r="B218" i="14"/>
  <c r="A218" i="14"/>
  <c r="F217" i="14"/>
  <c r="G217" i="14" s="1"/>
  <c r="J217" i="14" s="1"/>
  <c r="E217" i="14"/>
  <c r="D217" i="14"/>
  <c r="I217" i="14" s="1"/>
  <c r="C217" i="14"/>
  <c r="B217" i="14"/>
  <c r="A217" i="14"/>
  <c r="J216" i="14"/>
  <c r="K216" i="14" s="1"/>
  <c r="F216" i="14"/>
  <c r="G216" i="14" s="1"/>
  <c r="E216" i="14"/>
  <c r="H216" i="14" s="1"/>
  <c r="D216" i="14"/>
  <c r="C216" i="14"/>
  <c r="B216" i="14"/>
  <c r="A216" i="14"/>
  <c r="F215" i="14"/>
  <c r="G215" i="14" s="1"/>
  <c r="E215" i="14"/>
  <c r="D215" i="14"/>
  <c r="J215" i="14" s="1"/>
  <c r="C215" i="14"/>
  <c r="B215" i="14"/>
  <c r="A215" i="14"/>
  <c r="G214" i="14"/>
  <c r="F214" i="14"/>
  <c r="E214" i="14"/>
  <c r="D214" i="14"/>
  <c r="C214" i="14"/>
  <c r="B214" i="14"/>
  <c r="A214" i="14"/>
  <c r="F213" i="14"/>
  <c r="G213" i="14" s="1"/>
  <c r="J213" i="14" s="1"/>
  <c r="E213" i="14"/>
  <c r="D213" i="14"/>
  <c r="C213" i="14"/>
  <c r="B213" i="14"/>
  <c r="A213" i="14"/>
  <c r="F212" i="14"/>
  <c r="E212" i="14"/>
  <c r="H212" i="14" s="1"/>
  <c r="D212" i="14"/>
  <c r="C212" i="14"/>
  <c r="B212" i="14"/>
  <c r="A212" i="14"/>
  <c r="H211" i="14"/>
  <c r="F211" i="14"/>
  <c r="G211" i="14" s="1"/>
  <c r="E211" i="14"/>
  <c r="D211" i="14"/>
  <c r="C211" i="14"/>
  <c r="B211" i="14"/>
  <c r="A211" i="14"/>
  <c r="G210" i="14"/>
  <c r="F210" i="14"/>
  <c r="E210" i="14"/>
  <c r="D210" i="14"/>
  <c r="C210" i="14"/>
  <c r="B210" i="14"/>
  <c r="A210" i="14"/>
  <c r="J209" i="14"/>
  <c r="F209" i="14"/>
  <c r="G209" i="14" s="1"/>
  <c r="E209" i="14"/>
  <c r="D209" i="14"/>
  <c r="I209" i="14" s="1"/>
  <c r="C209" i="14"/>
  <c r="B209" i="14"/>
  <c r="A209" i="14"/>
  <c r="J208" i="14"/>
  <c r="K208" i="14" s="1"/>
  <c r="F208" i="14"/>
  <c r="G208" i="14" s="1"/>
  <c r="E208" i="14"/>
  <c r="H208" i="14" s="1"/>
  <c r="D208" i="14"/>
  <c r="C208" i="14"/>
  <c r="B208" i="14"/>
  <c r="A208" i="14"/>
  <c r="I207" i="14"/>
  <c r="F207" i="14"/>
  <c r="G207" i="14" s="1"/>
  <c r="E207" i="14"/>
  <c r="H207" i="14" s="1"/>
  <c r="D207" i="14"/>
  <c r="J207" i="14" s="1"/>
  <c r="C207" i="14"/>
  <c r="B207" i="14"/>
  <c r="A207" i="14"/>
  <c r="B206" i="14"/>
  <c r="A206" i="14"/>
  <c r="I205" i="14"/>
  <c r="F205" i="14"/>
  <c r="G205" i="14" s="1"/>
  <c r="J205" i="14" s="1"/>
  <c r="K205" i="14" s="1"/>
  <c r="E205" i="14"/>
  <c r="H205" i="14" s="1"/>
  <c r="D205" i="14"/>
  <c r="C205" i="14"/>
  <c r="B205" i="14"/>
  <c r="A205" i="14"/>
  <c r="J204" i="14"/>
  <c r="K204" i="14" s="1"/>
  <c r="F204" i="14"/>
  <c r="G204" i="14" s="1"/>
  <c r="E204" i="14"/>
  <c r="H204" i="14" s="1"/>
  <c r="D204" i="14"/>
  <c r="I204" i="14" s="1"/>
  <c r="C204" i="14"/>
  <c r="B204" i="14"/>
  <c r="A204" i="14"/>
  <c r="G203" i="14"/>
  <c r="F203" i="14"/>
  <c r="E203" i="14"/>
  <c r="D203" i="14"/>
  <c r="C203" i="14"/>
  <c r="B203" i="14"/>
  <c r="A203" i="14"/>
  <c r="J202" i="14"/>
  <c r="F202" i="14"/>
  <c r="G202" i="14" s="1"/>
  <c r="E202" i="14"/>
  <c r="D202" i="14"/>
  <c r="C202" i="14"/>
  <c r="B202" i="14"/>
  <c r="A202" i="14"/>
  <c r="I201" i="14"/>
  <c r="G201" i="14"/>
  <c r="J201" i="14" s="1"/>
  <c r="K201" i="14" s="1"/>
  <c r="F201" i="14"/>
  <c r="E201" i="14"/>
  <c r="H201" i="14" s="1"/>
  <c r="D201" i="14"/>
  <c r="C201" i="14"/>
  <c r="B201" i="14"/>
  <c r="A201" i="14"/>
  <c r="B200" i="14"/>
  <c r="A200" i="14"/>
  <c r="G199" i="14"/>
  <c r="F199" i="14"/>
  <c r="E199" i="14"/>
  <c r="D199" i="14"/>
  <c r="I199" i="14" s="1"/>
  <c r="C199" i="14"/>
  <c r="B199" i="14"/>
  <c r="A199" i="14"/>
  <c r="J198" i="14"/>
  <c r="F198" i="14"/>
  <c r="G198" i="14" s="1"/>
  <c r="E198" i="14"/>
  <c r="H198" i="14" s="1"/>
  <c r="D198" i="14"/>
  <c r="I198" i="14" s="1"/>
  <c r="C198" i="14"/>
  <c r="B198" i="14"/>
  <c r="A198" i="14"/>
  <c r="F197" i="14"/>
  <c r="G197" i="14" s="1"/>
  <c r="E197" i="14"/>
  <c r="D197" i="14"/>
  <c r="C197" i="14"/>
  <c r="B197" i="14"/>
  <c r="A197" i="14"/>
  <c r="G196" i="14"/>
  <c r="F196" i="14"/>
  <c r="E196" i="14"/>
  <c r="D196" i="14"/>
  <c r="J196" i="14" s="1"/>
  <c r="C196" i="14"/>
  <c r="B196" i="14"/>
  <c r="A196" i="14"/>
  <c r="J195" i="14"/>
  <c r="F195" i="14"/>
  <c r="G195" i="14" s="1"/>
  <c r="E195" i="14"/>
  <c r="D195" i="14"/>
  <c r="C195" i="14"/>
  <c r="B195" i="14"/>
  <c r="A195" i="14"/>
  <c r="I194" i="14"/>
  <c r="F194" i="14"/>
  <c r="G194" i="14" s="1"/>
  <c r="J194" i="14" s="1"/>
  <c r="K194" i="14" s="1"/>
  <c r="E194" i="14"/>
  <c r="H194" i="14" s="1"/>
  <c r="D194" i="14"/>
  <c r="C194" i="14"/>
  <c r="B194" i="14"/>
  <c r="A194" i="14"/>
  <c r="F193" i="14"/>
  <c r="G193" i="14" s="1"/>
  <c r="E193" i="14"/>
  <c r="D193" i="14"/>
  <c r="H193" i="14" s="1"/>
  <c r="C193" i="14"/>
  <c r="B193" i="14"/>
  <c r="A193" i="14"/>
  <c r="G192" i="14"/>
  <c r="F192" i="14"/>
  <c r="E192" i="14"/>
  <c r="D192" i="14"/>
  <c r="J192" i="14" s="1"/>
  <c r="C192" i="14"/>
  <c r="B192" i="14"/>
  <c r="A192" i="14"/>
  <c r="J191" i="14"/>
  <c r="F191" i="14"/>
  <c r="G191" i="14" s="1"/>
  <c r="E191" i="14"/>
  <c r="D191" i="14"/>
  <c r="I191" i="14" s="1"/>
  <c r="C191" i="14"/>
  <c r="B191" i="14"/>
  <c r="A191" i="14"/>
  <c r="B190" i="14"/>
  <c r="A190" i="14"/>
  <c r="G189" i="14"/>
  <c r="F189" i="14"/>
  <c r="E189" i="14"/>
  <c r="D189" i="14"/>
  <c r="J189" i="14" s="1"/>
  <c r="C189" i="14"/>
  <c r="B189" i="14"/>
  <c r="A189" i="14"/>
  <c r="J188" i="14"/>
  <c r="F188" i="14"/>
  <c r="G188" i="14" s="1"/>
  <c r="E188" i="14"/>
  <c r="D188" i="14"/>
  <c r="I188" i="14" s="1"/>
  <c r="C188" i="14"/>
  <c r="B188" i="14"/>
  <c r="A188" i="14"/>
  <c r="I187" i="14"/>
  <c r="F187" i="14"/>
  <c r="G187" i="14" s="1"/>
  <c r="J187" i="14" s="1"/>
  <c r="K187" i="14" s="1"/>
  <c r="E187" i="14"/>
  <c r="H187" i="14" s="1"/>
  <c r="D187" i="14"/>
  <c r="C187" i="14"/>
  <c r="B187" i="14"/>
  <c r="A187" i="14"/>
  <c r="H186" i="14"/>
  <c r="F186" i="14"/>
  <c r="G186" i="14" s="1"/>
  <c r="E186" i="14"/>
  <c r="D186" i="14"/>
  <c r="C186" i="14"/>
  <c r="B186" i="14"/>
  <c r="A186" i="14"/>
  <c r="G185" i="14"/>
  <c r="F185" i="14"/>
  <c r="E185" i="14"/>
  <c r="D185" i="14"/>
  <c r="C185" i="14"/>
  <c r="B185" i="14"/>
  <c r="A185" i="14"/>
  <c r="F184" i="14"/>
  <c r="G184" i="14" s="1"/>
  <c r="J184" i="14" s="1"/>
  <c r="E184" i="14"/>
  <c r="D184" i="14"/>
  <c r="C184" i="14"/>
  <c r="B184" i="14"/>
  <c r="A184" i="14"/>
  <c r="I183" i="14"/>
  <c r="F183" i="14"/>
  <c r="G183" i="14" s="1"/>
  <c r="J183" i="14" s="1"/>
  <c r="E183" i="14"/>
  <c r="H183" i="14" s="1"/>
  <c r="D183" i="14"/>
  <c r="C183" i="14"/>
  <c r="B183" i="14"/>
  <c r="A183" i="14"/>
  <c r="F182" i="14"/>
  <c r="G182" i="14" s="1"/>
  <c r="E182" i="14"/>
  <c r="D182" i="14"/>
  <c r="C182" i="14"/>
  <c r="B182" i="14"/>
  <c r="A182" i="14"/>
  <c r="G181" i="14"/>
  <c r="F181" i="14"/>
  <c r="E181" i="14"/>
  <c r="D181" i="14"/>
  <c r="J181" i="14" s="1"/>
  <c r="C181" i="14"/>
  <c r="B181" i="14"/>
  <c r="A181" i="14"/>
  <c r="J180" i="14"/>
  <c r="F180" i="14"/>
  <c r="G180" i="14" s="1"/>
  <c r="E180" i="14"/>
  <c r="D180" i="14"/>
  <c r="C180" i="14"/>
  <c r="B180" i="14"/>
  <c r="A180" i="14"/>
  <c r="I179" i="14"/>
  <c r="F179" i="14"/>
  <c r="G179" i="14" s="1"/>
  <c r="J179" i="14" s="1"/>
  <c r="K179" i="14" s="1"/>
  <c r="E179" i="14"/>
  <c r="H179" i="14" s="1"/>
  <c r="D179" i="14"/>
  <c r="C179" i="14"/>
  <c r="B179" i="14"/>
  <c r="A179" i="14"/>
  <c r="F178" i="14"/>
  <c r="G178" i="14" s="1"/>
  <c r="E178" i="14"/>
  <c r="D178" i="14"/>
  <c r="H178" i="14" s="1"/>
  <c r="C178" i="14"/>
  <c r="B178" i="14"/>
  <c r="A178" i="14"/>
  <c r="G177" i="14"/>
  <c r="F177" i="14"/>
  <c r="E177" i="14"/>
  <c r="D177" i="14"/>
  <c r="J177" i="14" s="1"/>
  <c r="C177" i="14"/>
  <c r="B177" i="14"/>
  <c r="A177" i="14"/>
  <c r="J176" i="14"/>
  <c r="F176" i="14"/>
  <c r="G176" i="14" s="1"/>
  <c r="E176" i="14"/>
  <c r="D176" i="14"/>
  <c r="I176" i="14" s="1"/>
  <c r="C176" i="14"/>
  <c r="B176" i="14"/>
  <c r="A176" i="14"/>
  <c r="I175" i="14"/>
  <c r="F175" i="14"/>
  <c r="G175" i="14" s="1"/>
  <c r="J175" i="14" s="1"/>
  <c r="K175" i="14" s="1"/>
  <c r="E175" i="14"/>
  <c r="H175" i="14" s="1"/>
  <c r="D175" i="14"/>
  <c r="C175" i="14"/>
  <c r="B175" i="14"/>
  <c r="A175" i="14"/>
  <c r="F174" i="14"/>
  <c r="G174" i="14" s="1"/>
  <c r="E174" i="14"/>
  <c r="D174" i="14"/>
  <c r="H174" i="14" s="1"/>
  <c r="C174" i="14"/>
  <c r="B174" i="14"/>
  <c r="A174" i="14"/>
  <c r="G173" i="14"/>
  <c r="F173" i="14"/>
  <c r="E173" i="14"/>
  <c r="D173" i="14"/>
  <c r="J173" i="14" s="1"/>
  <c r="C173" i="14"/>
  <c r="B173" i="14"/>
  <c r="A173" i="14"/>
  <c r="J172" i="14"/>
  <c r="F172" i="14"/>
  <c r="G172" i="14" s="1"/>
  <c r="E172" i="14"/>
  <c r="D172" i="14"/>
  <c r="I172" i="14" s="1"/>
  <c r="C172" i="14"/>
  <c r="B172" i="14"/>
  <c r="A172" i="14"/>
  <c r="B171" i="14"/>
  <c r="A171" i="14"/>
  <c r="G170" i="14"/>
  <c r="F170" i="14"/>
  <c r="E170" i="14"/>
  <c r="D170" i="14"/>
  <c r="C170" i="14"/>
  <c r="B170" i="14"/>
  <c r="A170" i="14"/>
  <c r="F169" i="14"/>
  <c r="G169" i="14" s="1"/>
  <c r="J169" i="14" s="1"/>
  <c r="E169" i="14"/>
  <c r="D169" i="14"/>
  <c r="C169" i="14"/>
  <c r="B169" i="14"/>
  <c r="A169" i="14"/>
  <c r="I168" i="14"/>
  <c r="F168" i="14"/>
  <c r="G168" i="14" s="1"/>
  <c r="J168" i="14" s="1"/>
  <c r="E168" i="14"/>
  <c r="H168" i="14" s="1"/>
  <c r="D168" i="14"/>
  <c r="C168" i="14"/>
  <c r="B168" i="14"/>
  <c r="A168" i="14"/>
  <c r="F167" i="14"/>
  <c r="G167" i="14" s="1"/>
  <c r="E167" i="14"/>
  <c r="D167" i="14"/>
  <c r="C167" i="14"/>
  <c r="B167" i="14"/>
  <c r="A167" i="14"/>
  <c r="G166" i="14"/>
  <c r="F166" i="14"/>
  <c r="E166" i="14"/>
  <c r="D166" i="14"/>
  <c r="J166" i="14" s="1"/>
  <c r="C166" i="14"/>
  <c r="B166" i="14"/>
  <c r="A166" i="14"/>
  <c r="J165" i="14"/>
  <c r="F165" i="14"/>
  <c r="G165" i="14" s="1"/>
  <c r="E165" i="14"/>
  <c r="D165" i="14"/>
  <c r="C165" i="14"/>
  <c r="B165" i="14"/>
  <c r="A165" i="14"/>
  <c r="I164" i="14"/>
  <c r="F164" i="14"/>
  <c r="G164" i="14" s="1"/>
  <c r="J164" i="14" s="1"/>
  <c r="K164" i="14" s="1"/>
  <c r="E164" i="14"/>
  <c r="H164" i="14" s="1"/>
  <c r="D164" i="14"/>
  <c r="C164" i="14"/>
  <c r="B164" i="14"/>
  <c r="A164" i="14"/>
  <c r="F163" i="14"/>
  <c r="G163" i="14" s="1"/>
  <c r="E163" i="14"/>
  <c r="D163" i="14"/>
  <c r="H163" i="14" s="1"/>
  <c r="C163" i="14"/>
  <c r="B163" i="14"/>
  <c r="A163" i="14"/>
  <c r="G162" i="14"/>
  <c r="F162" i="14"/>
  <c r="E162" i="14"/>
  <c r="D162" i="14"/>
  <c r="J162" i="14" s="1"/>
  <c r="C162" i="14"/>
  <c r="B162" i="14"/>
  <c r="A162" i="14"/>
  <c r="J161" i="14"/>
  <c r="F161" i="14"/>
  <c r="G161" i="14" s="1"/>
  <c r="E161" i="14"/>
  <c r="D161" i="14"/>
  <c r="I161" i="14" s="1"/>
  <c r="C161" i="14"/>
  <c r="B161" i="14"/>
  <c r="A161" i="14"/>
  <c r="I160" i="14"/>
  <c r="F160" i="14"/>
  <c r="G160" i="14" s="1"/>
  <c r="J160" i="14" s="1"/>
  <c r="K160" i="14" s="1"/>
  <c r="E160" i="14"/>
  <c r="H160" i="14" s="1"/>
  <c r="D160" i="14"/>
  <c r="C160" i="14"/>
  <c r="B160" i="14"/>
  <c r="A160" i="14"/>
  <c r="F159" i="14"/>
  <c r="G159" i="14" s="1"/>
  <c r="E159" i="14"/>
  <c r="D159" i="14"/>
  <c r="H159" i="14" s="1"/>
  <c r="C159" i="14"/>
  <c r="B159" i="14"/>
  <c r="A159" i="14"/>
  <c r="G158" i="14"/>
  <c r="F158" i="14"/>
  <c r="E158" i="14"/>
  <c r="D158" i="14"/>
  <c r="J158" i="14" s="1"/>
  <c r="C158" i="14"/>
  <c r="B158" i="14"/>
  <c r="A158" i="14"/>
  <c r="J157" i="14"/>
  <c r="F157" i="14"/>
  <c r="G157" i="14" s="1"/>
  <c r="E157" i="14"/>
  <c r="D157" i="14"/>
  <c r="I157" i="14" s="1"/>
  <c r="C157" i="14"/>
  <c r="B157" i="14"/>
  <c r="A157" i="14"/>
  <c r="I156" i="14"/>
  <c r="F156" i="14"/>
  <c r="G156" i="14" s="1"/>
  <c r="J156" i="14" s="1"/>
  <c r="K156" i="14" s="1"/>
  <c r="E156" i="14"/>
  <c r="H156" i="14" s="1"/>
  <c r="D156" i="14"/>
  <c r="C156" i="14"/>
  <c r="B156" i="14"/>
  <c r="A156" i="14"/>
  <c r="H155" i="14"/>
  <c r="F155" i="14"/>
  <c r="G155" i="14" s="1"/>
  <c r="E155" i="14"/>
  <c r="D155" i="14"/>
  <c r="C155" i="14"/>
  <c r="B155" i="14"/>
  <c r="A155" i="14"/>
  <c r="G154" i="14"/>
  <c r="F154" i="14"/>
  <c r="E154" i="14"/>
  <c r="D154" i="14"/>
  <c r="C154" i="14"/>
  <c r="B154" i="14"/>
  <c r="A154" i="14"/>
  <c r="B153" i="14"/>
  <c r="A153" i="14"/>
  <c r="F152" i="14"/>
  <c r="G152" i="14" s="1"/>
  <c r="E152" i="14"/>
  <c r="D152" i="14"/>
  <c r="C152" i="14"/>
  <c r="B152" i="14"/>
  <c r="A152" i="14"/>
  <c r="G151" i="14"/>
  <c r="F151" i="14"/>
  <c r="E151" i="14"/>
  <c r="D151" i="14"/>
  <c r="J151" i="14" s="1"/>
  <c r="C151" i="14"/>
  <c r="B151" i="14"/>
  <c r="A151" i="14"/>
  <c r="J150" i="14"/>
  <c r="F150" i="14"/>
  <c r="G150" i="14" s="1"/>
  <c r="E150" i="14"/>
  <c r="D150" i="14"/>
  <c r="C150" i="14"/>
  <c r="B150" i="14"/>
  <c r="A150" i="14"/>
  <c r="I149" i="14"/>
  <c r="F149" i="14"/>
  <c r="G149" i="14" s="1"/>
  <c r="J149" i="14" s="1"/>
  <c r="K149" i="14" s="1"/>
  <c r="E149" i="14"/>
  <c r="H149" i="14" s="1"/>
  <c r="D149" i="14"/>
  <c r="C149" i="14"/>
  <c r="B149" i="14"/>
  <c r="A149" i="14"/>
  <c r="F148" i="14"/>
  <c r="G148" i="14" s="1"/>
  <c r="E148" i="14"/>
  <c r="D148" i="14"/>
  <c r="H148" i="14" s="1"/>
  <c r="C148" i="14"/>
  <c r="B148" i="14"/>
  <c r="A148" i="14"/>
  <c r="G147" i="14"/>
  <c r="F147" i="14"/>
  <c r="E147" i="14"/>
  <c r="D147" i="14"/>
  <c r="J147" i="14" s="1"/>
  <c r="C147" i="14"/>
  <c r="B147" i="14"/>
  <c r="A147" i="14"/>
  <c r="J146" i="14"/>
  <c r="F146" i="14"/>
  <c r="G146" i="14" s="1"/>
  <c r="E146" i="14"/>
  <c r="D146" i="14"/>
  <c r="I146" i="14" s="1"/>
  <c r="C146" i="14"/>
  <c r="B146" i="14"/>
  <c r="A146" i="14"/>
  <c r="I145" i="14"/>
  <c r="F145" i="14"/>
  <c r="G145" i="14" s="1"/>
  <c r="J145" i="14" s="1"/>
  <c r="K145" i="14" s="1"/>
  <c r="E145" i="14"/>
  <c r="H145" i="14" s="1"/>
  <c r="D145" i="14"/>
  <c r="C145" i="14"/>
  <c r="B145" i="14"/>
  <c r="A145" i="14"/>
  <c r="F144" i="14"/>
  <c r="G144" i="14" s="1"/>
  <c r="E144" i="14"/>
  <c r="D144" i="14"/>
  <c r="H144" i="14" s="1"/>
  <c r="C144" i="14"/>
  <c r="B144" i="14"/>
  <c r="A144" i="14"/>
  <c r="G143" i="14"/>
  <c r="F143" i="14"/>
  <c r="E143" i="14"/>
  <c r="D143" i="14"/>
  <c r="J143" i="14" s="1"/>
  <c r="C143" i="14"/>
  <c r="B143" i="14"/>
  <c r="A143" i="14"/>
  <c r="J142" i="14"/>
  <c r="F142" i="14"/>
  <c r="G142" i="14" s="1"/>
  <c r="E142" i="14"/>
  <c r="D142" i="14"/>
  <c r="I142" i="14" s="1"/>
  <c r="C142" i="14"/>
  <c r="B142" i="14"/>
  <c r="A142" i="14"/>
  <c r="I141" i="14"/>
  <c r="F141" i="14"/>
  <c r="G141" i="14" s="1"/>
  <c r="J141" i="14" s="1"/>
  <c r="K141" i="14" s="1"/>
  <c r="E141" i="14"/>
  <c r="H141" i="14" s="1"/>
  <c r="D141" i="14"/>
  <c r="C141" i="14"/>
  <c r="B141" i="14"/>
  <c r="A141" i="14"/>
  <c r="H140" i="14"/>
  <c r="F140" i="14"/>
  <c r="G140" i="14" s="1"/>
  <c r="E140" i="14"/>
  <c r="D140" i="14"/>
  <c r="C140" i="14"/>
  <c r="B140" i="14"/>
  <c r="A140" i="14"/>
  <c r="G139" i="14"/>
  <c r="F139" i="14"/>
  <c r="E139" i="14"/>
  <c r="D139" i="14"/>
  <c r="C139" i="14"/>
  <c r="B139" i="14"/>
  <c r="A139" i="14"/>
  <c r="F138" i="14"/>
  <c r="G138" i="14" s="1"/>
  <c r="J138" i="14" s="1"/>
  <c r="E138" i="14"/>
  <c r="D138" i="14"/>
  <c r="C138" i="14"/>
  <c r="B138" i="14"/>
  <c r="A138" i="14"/>
  <c r="I137" i="14"/>
  <c r="F137" i="14"/>
  <c r="G137" i="14" s="1"/>
  <c r="J137" i="14" s="1"/>
  <c r="E137" i="14"/>
  <c r="H137" i="14" s="1"/>
  <c r="D137" i="14"/>
  <c r="C137" i="14"/>
  <c r="B137" i="14"/>
  <c r="A137" i="14"/>
  <c r="F136" i="14"/>
  <c r="G136" i="14" s="1"/>
  <c r="E136" i="14"/>
  <c r="D136" i="14"/>
  <c r="C136" i="14"/>
  <c r="B136" i="14"/>
  <c r="A136" i="14"/>
  <c r="G135" i="14"/>
  <c r="F135" i="14"/>
  <c r="E135" i="14"/>
  <c r="D135" i="14"/>
  <c r="J135" i="14" s="1"/>
  <c r="C135" i="14"/>
  <c r="B135" i="14"/>
  <c r="A135" i="14"/>
  <c r="J134" i="14"/>
  <c r="F134" i="14"/>
  <c r="G134" i="14" s="1"/>
  <c r="E134" i="14"/>
  <c r="D134" i="14"/>
  <c r="C134" i="14"/>
  <c r="B134" i="14"/>
  <c r="A134" i="14"/>
  <c r="I133" i="14"/>
  <c r="F133" i="14"/>
  <c r="G133" i="14" s="1"/>
  <c r="J133" i="14" s="1"/>
  <c r="K133" i="14" s="1"/>
  <c r="E133" i="14"/>
  <c r="H133" i="14" s="1"/>
  <c r="D133" i="14"/>
  <c r="C133" i="14"/>
  <c r="B133" i="14"/>
  <c r="A133" i="14"/>
  <c r="F132" i="14"/>
  <c r="G132" i="14" s="1"/>
  <c r="E132" i="14"/>
  <c r="D132" i="14"/>
  <c r="H132" i="14" s="1"/>
  <c r="C132" i="14"/>
  <c r="B132" i="14"/>
  <c r="A132" i="14"/>
  <c r="G131" i="14"/>
  <c r="F131" i="14"/>
  <c r="E131" i="14"/>
  <c r="D131" i="14"/>
  <c r="J131" i="14" s="1"/>
  <c r="C131" i="14"/>
  <c r="B131" i="14"/>
  <c r="A131" i="14"/>
  <c r="J130" i="14"/>
  <c r="F130" i="14"/>
  <c r="G130" i="14" s="1"/>
  <c r="E130" i="14"/>
  <c r="D130" i="14"/>
  <c r="I130" i="14" s="1"/>
  <c r="C130" i="14"/>
  <c r="B130" i="14"/>
  <c r="A130" i="14"/>
  <c r="B129" i="14"/>
  <c r="A129" i="14"/>
  <c r="G128" i="14"/>
  <c r="F128" i="14"/>
  <c r="E128" i="14"/>
  <c r="D128" i="14"/>
  <c r="J128" i="14" s="1"/>
  <c r="C128" i="14"/>
  <c r="B128" i="14"/>
  <c r="A128" i="14"/>
  <c r="J127" i="14"/>
  <c r="F127" i="14"/>
  <c r="G127" i="14" s="1"/>
  <c r="E127" i="14"/>
  <c r="D127" i="14"/>
  <c r="I127" i="14" s="1"/>
  <c r="C127" i="14"/>
  <c r="B127" i="14"/>
  <c r="A127" i="14"/>
  <c r="I126" i="14"/>
  <c r="F126" i="14"/>
  <c r="G126" i="14" s="1"/>
  <c r="J126" i="14" s="1"/>
  <c r="K126" i="14" s="1"/>
  <c r="E126" i="14"/>
  <c r="H126" i="14" s="1"/>
  <c r="D126" i="14"/>
  <c r="C126" i="14"/>
  <c r="B126" i="14"/>
  <c r="A126" i="14"/>
  <c r="H125" i="14"/>
  <c r="F125" i="14"/>
  <c r="G125" i="14" s="1"/>
  <c r="E125" i="14"/>
  <c r="D125" i="14"/>
  <c r="C125" i="14"/>
  <c r="B125" i="14"/>
  <c r="A125" i="14"/>
  <c r="G124" i="14"/>
  <c r="F124" i="14"/>
  <c r="E124" i="14"/>
  <c r="D124" i="14"/>
  <c r="C124" i="14"/>
  <c r="B124" i="14"/>
  <c r="A124" i="14"/>
  <c r="F123" i="14"/>
  <c r="G123" i="14" s="1"/>
  <c r="J123" i="14" s="1"/>
  <c r="E123" i="14"/>
  <c r="D123" i="14"/>
  <c r="C123" i="14"/>
  <c r="B123" i="14"/>
  <c r="A123" i="14"/>
  <c r="I122" i="14"/>
  <c r="F122" i="14"/>
  <c r="G122" i="14" s="1"/>
  <c r="J122" i="14" s="1"/>
  <c r="E122" i="14"/>
  <c r="H122" i="14" s="1"/>
  <c r="D122" i="14"/>
  <c r="C122" i="14"/>
  <c r="B122" i="14"/>
  <c r="A122" i="14"/>
  <c r="F121" i="14"/>
  <c r="G121" i="14" s="1"/>
  <c r="E121" i="14"/>
  <c r="D121" i="14"/>
  <c r="C121" i="14"/>
  <c r="B121" i="14"/>
  <c r="A121" i="14"/>
  <c r="B120" i="14"/>
  <c r="A120" i="14"/>
  <c r="I119" i="14"/>
  <c r="F119" i="14"/>
  <c r="G119" i="14" s="1"/>
  <c r="J119" i="14" s="1"/>
  <c r="E119" i="14"/>
  <c r="H119" i="14" s="1"/>
  <c r="D119" i="14"/>
  <c r="C119" i="14"/>
  <c r="B119" i="14"/>
  <c r="A119" i="14"/>
  <c r="F118" i="14"/>
  <c r="G118" i="14" s="1"/>
  <c r="E118" i="14"/>
  <c r="D118" i="14"/>
  <c r="C118" i="14"/>
  <c r="B118" i="14"/>
  <c r="A118" i="14"/>
  <c r="G117" i="14"/>
  <c r="F117" i="14"/>
  <c r="E117" i="14"/>
  <c r="D117" i="14"/>
  <c r="J117" i="14" s="1"/>
  <c r="C117" i="14"/>
  <c r="B117" i="14"/>
  <c r="A117" i="14"/>
  <c r="J116" i="14"/>
  <c r="F116" i="14"/>
  <c r="G116" i="14" s="1"/>
  <c r="E116" i="14"/>
  <c r="D116" i="14"/>
  <c r="C116" i="14"/>
  <c r="B116" i="14"/>
  <c r="A116" i="14"/>
  <c r="B115" i="14"/>
  <c r="A115" i="14"/>
  <c r="G114" i="14"/>
  <c r="F114" i="14"/>
  <c r="E114" i="14"/>
  <c r="D114" i="14"/>
  <c r="J114" i="14" s="1"/>
  <c r="C114" i="14"/>
  <c r="B114" i="14"/>
  <c r="A114" i="14"/>
  <c r="J113" i="14"/>
  <c r="K113" i="14" s="1"/>
  <c r="F113" i="14"/>
  <c r="G113" i="14" s="1"/>
  <c r="E113" i="14"/>
  <c r="H113" i="14" s="1"/>
  <c r="D113" i="14"/>
  <c r="I113" i="14" s="1"/>
  <c r="C113" i="14"/>
  <c r="B113" i="14"/>
  <c r="A113" i="14"/>
  <c r="I112" i="14"/>
  <c r="F112" i="14"/>
  <c r="G112" i="14" s="1"/>
  <c r="J112" i="14" s="1"/>
  <c r="K112" i="14" s="1"/>
  <c r="E112" i="14"/>
  <c r="H112" i="14" s="1"/>
  <c r="D112" i="14"/>
  <c r="C112" i="14"/>
  <c r="B112" i="14"/>
  <c r="A112" i="14"/>
  <c r="F111" i="14"/>
  <c r="G111" i="14" s="1"/>
  <c r="E111" i="14"/>
  <c r="D111" i="14"/>
  <c r="H111" i="14" s="1"/>
  <c r="C111" i="14"/>
  <c r="B111" i="14"/>
  <c r="A111" i="14"/>
  <c r="G110" i="14"/>
  <c r="F110" i="14"/>
  <c r="E110" i="14"/>
  <c r="D110" i="14"/>
  <c r="J110" i="14" s="1"/>
  <c r="C110" i="14"/>
  <c r="B110" i="14"/>
  <c r="A110" i="14"/>
  <c r="B109" i="14"/>
  <c r="A109" i="14"/>
  <c r="H108" i="14"/>
  <c r="F108" i="14"/>
  <c r="G108" i="14" s="1"/>
  <c r="E108" i="14"/>
  <c r="D108" i="14"/>
  <c r="C108" i="14"/>
  <c r="B108" i="14"/>
  <c r="A108" i="14"/>
  <c r="G107" i="14"/>
  <c r="F107" i="14"/>
  <c r="E107" i="14"/>
  <c r="D107" i="14"/>
  <c r="C107" i="14"/>
  <c r="B107" i="14"/>
  <c r="A107" i="14"/>
  <c r="F106" i="14"/>
  <c r="G106" i="14" s="1"/>
  <c r="J106" i="14" s="1"/>
  <c r="E106" i="14"/>
  <c r="D106" i="14"/>
  <c r="C106" i="14"/>
  <c r="B106" i="14"/>
  <c r="A106" i="14"/>
  <c r="I105" i="14"/>
  <c r="F105" i="14"/>
  <c r="G105" i="14" s="1"/>
  <c r="J105" i="14" s="1"/>
  <c r="E105" i="14"/>
  <c r="H105" i="14" s="1"/>
  <c r="D105" i="14"/>
  <c r="C105" i="14"/>
  <c r="B105" i="14"/>
  <c r="A105" i="14"/>
  <c r="B104" i="14"/>
  <c r="A104" i="14"/>
  <c r="F103" i="14"/>
  <c r="G103" i="14" s="1"/>
  <c r="J103" i="14" s="1"/>
  <c r="K103" i="14" s="1"/>
  <c r="E103" i="14"/>
  <c r="H103" i="14" s="1"/>
  <c r="D103" i="14"/>
  <c r="C103" i="14"/>
  <c r="B103" i="14"/>
  <c r="A103" i="14"/>
  <c r="I102" i="14"/>
  <c r="F102" i="14"/>
  <c r="G102" i="14" s="1"/>
  <c r="J102" i="14" s="1"/>
  <c r="E102" i="14"/>
  <c r="H102" i="14" s="1"/>
  <c r="D102" i="14"/>
  <c r="C102" i="14"/>
  <c r="B102" i="14"/>
  <c r="A102" i="14"/>
  <c r="F101" i="14"/>
  <c r="G101" i="14" s="1"/>
  <c r="E101" i="14"/>
  <c r="D101" i="14"/>
  <c r="C101" i="14"/>
  <c r="B101" i="14"/>
  <c r="A101" i="14"/>
  <c r="G100" i="14"/>
  <c r="F100" i="14"/>
  <c r="E100" i="14"/>
  <c r="D100" i="14"/>
  <c r="J100" i="14" s="1"/>
  <c r="C100" i="14"/>
  <c r="B100" i="14"/>
  <c r="A100" i="14"/>
  <c r="B99" i="14"/>
  <c r="A99" i="14"/>
  <c r="F98" i="14"/>
  <c r="G98" i="14" s="1"/>
  <c r="E98" i="14"/>
  <c r="D98" i="14"/>
  <c r="H98" i="14" s="1"/>
  <c r="C98" i="14"/>
  <c r="B98" i="14"/>
  <c r="A98" i="14"/>
  <c r="G97" i="14"/>
  <c r="F97" i="14"/>
  <c r="E97" i="14"/>
  <c r="D97" i="14"/>
  <c r="J97" i="14" s="1"/>
  <c r="C97" i="14"/>
  <c r="B97" i="14"/>
  <c r="A97" i="14"/>
  <c r="J96" i="14"/>
  <c r="K96" i="14" s="1"/>
  <c r="F96" i="14"/>
  <c r="G96" i="14" s="1"/>
  <c r="E96" i="14"/>
  <c r="H96" i="14" s="1"/>
  <c r="D96" i="14"/>
  <c r="I96" i="14" s="1"/>
  <c r="C96" i="14"/>
  <c r="B96" i="14"/>
  <c r="A96" i="14"/>
  <c r="J95" i="14"/>
  <c r="K95" i="14" s="1"/>
  <c r="I95" i="14"/>
  <c r="F95" i="14"/>
  <c r="G95" i="14" s="1"/>
  <c r="E95" i="14"/>
  <c r="H95" i="14" s="1"/>
  <c r="D95" i="14"/>
  <c r="C95" i="14"/>
  <c r="B95" i="14"/>
  <c r="A95" i="14"/>
  <c r="B94" i="14"/>
  <c r="A94" i="14"/>
  <c r="G93" i="14"/>
  <c r="J93" i="14" s="1"/>
  <c r="K93" i="14" s="1"/>
  <c r="F93" i="14"/>
  <c r="E93" i="14"/>
  <c r="H93" i="14" s="1"/>
  <c r="D93" i="14"/>
  <c r="C93" i="14"/>
  <c r="B93" i="14"/>
  <c r="A93" i="14"/>
  <c r="I92" i="14"/>
  <c r="F92" i="14"/>
  <c r="G92" i="14" s="1"/>
  <c r="J92" i="14" s="1"/>
  <c r="K92" i="14" s="1"/>
  <c r="E92" i="14"/>
  <c r="H92" i="14" s="1"/>
  <c r="D92" i="14"/>
  <c r="C92" i="14"/>
  <c r="B92" i="14"/>
  <c r="A92" i="14"/>
  <c r="H91" i="14"/>
  <c r="F91" i="14"/>
  <c r="G91" i="14" s="1"/>
  <c r="E91" i="14"/>
  <c r="D91" i="14"/>
  <c r="C91" i="14"/>
  <c r="B91" i="14"/>
  <c r="A91" i="14"/>
  <c r="G90" i="14"/>
  <c r="F90" i="14"/>
  <c r="E90" i="14"/>
  <c r="D90" i="14"/>
  <c r="C90" i="14"/>
  <c r="B90" i="14"/>
  <c r="A90" i="14"/>
  <c r="J89" i="14"/>
  <c r="G89" i="14"/>
  <c r="F89" i="14"/>
  <c r="E89" i="14"/>
  <c r="D89" i="14"/>
  <c r="I89" i="14" s="1"/>
  <c r="C89" i="14"/>
  <c r="B89" i="14"/>
  <c r="A89" i="14"/>
  <c r="J88" i="14"/>
  <c r="I88" i="14"/>
  <c r="F88" i="14"/>
  <c r="G88" i="14" s="1"/>
  <c r="E88" i="14"/>
  <c r="H88" i="14" s="1"/>
  <c r="D88" i="14"/>
  <c r="C88" i="14"/>
  <c r="B88" i="14"/>
  <c r="A88" i="14"/>
  <c r="F87" i="14"/>
  <c r="G87" i="14" s="1"/>
  <c r="E87" i="14"/>
  <c r="H87" i="14" s="1"/>
  <c r="D87" i="14"/>
  <c r="J87" i="14" s="1"/>
  <c r="C87" i="14"/>
  <c r="B87" i="14"/>
  <c r="A87" i="14"/>
  <c r="G86" i="14"/>
  <c r="F86" i="14"/>
  <c r="E86" i="14"/>
  <c r="D86" i="14"/>
  <c r="C86" i="14"/>
  <c r="B86" i="14"/>
  <c r="A86" i="14"/>
  <c r="G85" i="14"/>
  <c r="F85" i="14"/>
  <c r="E85" i="14"/>
  <c r="D85" i="14"/>
  <c r="C85" i="14"/>
  <c r="B85" i="14"/>
  <c r="A85" i="14"/>
  <c r="J84" i="14"/>
  <c r="K84" i="14" s="1"/>
  <c r="I84" i="14"/>
  <c r="G84" i="14"/>
  <c r="F84" i="14"/>
  <c r="E84" i="14"/>
  <c r="H84" i="14" s="1"/>
  <c r="D84" i="14"/>
  <c r="C84" i="14"/>
  <c r="B84" i="14"/>
  <c r="A84" i="14"/>
  <c r="G83" i="14"/>
  <c r="F83" i="14"/>
  <c r="E83" i="14"/>
  <c r="D83" i="14"/>
  <c r="J83" i="14" s="1"/>
  <c r="C83" i="14"/>
  <c r="B83" i="14"/>
  <c r="A83" i="14"/>
  <c r="G82" i="14"/>
  <c r="J82" i="14" s="1"/>
  <c r="K82" i="14" s="1"/>
  <c r="F82" i="14"/>
  <c r="I82" i="14" s="1"/>
  <c r="E82" i="14"/>
  <c r="H82" i="14" s="1"/>
  <c r="D82" i="14"/>
  <c r="C82" i="14"/>
  <c r="B82" i="14"/>
  <c r="A82" i="14"/>
  <c r="F81" i="14"/>
  <c r="I81" i="14" s="1"/>
  <c r="E81" i="14"/>
  <c r="H81" i="14" s="1"/>
  <c r="D81" i="14"/>
  <c r="C81" i="14"/>
  <c r="B81" i="14"/>
  <c r="A81" i="14"/>
  <c r="B80" i="14"/>
  <c r="A80" i="14"/>
  <c r="G79" i="14"/>
  <c r="J79" i="14" s="1"/>
  <c r="F79" i="14"/>
  <c r="E79" i="14"/>
  <c r="D79" i="14"/>
  <c r="I79" i="14" s="1"/>
  <c r="C79" i="14"/>
  <c r="B79" i="14"/>
  <c r="A79" i="14"/>
  <c r="F78" i="14"/>
  <c r="I78" i="14" s="1"/>
  <c r="E78" i="14"/>
  <c r="H78" i="14" s="1"/>
  <c r="D78" i="14"/>
  <c r="C78" i="14"/>
  <c r="B78" i="14"/>
  <c r="A78" i="14"/>
  <c r="I77" i="14"/>
  <c r="F77" i="14"/>
  <c r="G77" i="14" s="1"/>
  <c r="E77" i="14"/>
  <c r="H77" i="14" s="1"/>
  <c r="D77" i="14"/>
  <c r="C77" i="14"/>
  <c r="B77" i="14"/>
  <c r="A77" i="14"/>
  <c r="H76" i="14"/>
  <c r="G76" i="14"/>
  <c r="F76" i="14"/>
  <c r="E76" i="14"/>
  <c r="D76" i="14"/>
  <c r="J76" i="14" s="1"/>
  <c r="K76" i="14" s="1"/>
  <c r="C76" i="14"/>
  <c r="B76" i="14"/>
  <c r="A76" i="14"/>
  <c r="G75" i="14"/>
  <c r="J75" i="14" s="1"/>
  <c r="F75" i="14"/>
  <c r="E75" i="14"/>
  <c r="D75" i="14"/>
  <c r="I75" i="14" s="1"/>
  <c r="C75" i="14"/>
  <c r="B75" i="14"/>
  <c r="A75" i="14"/>
  <c r="F74" i="14"/>
  <c r="I74" i="14" s="1"/>
  <c r="E74" i="14"/>
  <c r="H74" i="14" s="1"/>
  <c r="D74" i="14"/>
  <c r="C74" i="14"/>
  <c r="B74" i="14"/>
  <c r="A74" i="14"/>
  <c r="I73" i="14"/>
  <c r="F73" i="14"/>
  <c r="G73" i="14" s="1"/>
  <c r="E73" i="14"/>
  <c r="H73" i="14" s="1"/>
  <c r="D73" i="14"/>
  <c r="J73" i="14" s="1"/>
  <c r="K73" i="14" s="1"/>
  <c r="C73" i="14"/>
  <c r="B73" i="14"/>
  <c r="A73" i="14"/>
  <c r="G72" i="14"/>
  <c r="F72" i="14"/>
  <c r="E72" i="14"/>
  <c r="D72" i="14"/>
  <c r="J72" i="14" s="1"/>
  <c r="C72" i="14"/>
  <c r="B72" i="14"/>
  <c r="A72" i="14"/>
  <c r="G71" i="14"/>
  <c r="J71" i="14" s="1"/>
  <c r="F71" i="14"/>
  <c r="E71" i="14"/>
  <c r="D71" i="14"/>
  <c r="I71" i="14" s="1"/>
  <c r="C71" i="14"/>
  <c r="B71" i="14"/>
  <c r="A71" i="14"/>
  <c r="F70" i="14"/>
  <c r="I70" i="14" s="1"/>
  <c r="E70" i="14"/>
  <c r="H70" i="14" s="1"/>
  <c r="D70" i="14"/>
  <c r="C70" i="14"/>
  <c r="B70" i="14"/>
  <c r="A70" i="14"/>
  <c r="I69" i="14"/>
  <c r="F69" i="14"/>
  <c r="G69" i="14" s="1"/>
  <c r="E69" i="14"/>
  <c r="H69" i="14" s="1"/>
  <c r="D69" i="14"/>
  <c r="J69" i="14" s="1"/>
  <c r="K69" i="14" s="1"/>
  <c r="C69" i="14"/>
  <c r="B69" i="14"/>
  <c r="A69" i="14"/>
  <c r="G68" i="14"/>
  <c r="F68" i="14"/>
  <c r="E68" i="14"/>
  <c r="D68" i="14"/>
  <c r="J68" i="14" s="1"/>
  <c r="C68" i="14"/>
  <c r="B68" i="14"/>
  <c r="A68" i="14"/>
  <c r="B67" i="14"/>
  <c r="A67" i="14"/>
  <c r="I66" i="14"/>
  <c r="F66" i="14"/>
  <c r="G66" i="14" s="1"/>
  <c r="E66" i="14"/>
  <c r="H66" i="14" s="1"/>
  <c r="D66" i="14"/>
  <c r="J66" i="14" s="1"/>
  <c r="C66" i="14"/>
  <c r="B66" i="14"/>
  <c r="A66" i="14"/>
  <c r="G65" i="14"/>
  <c r="F65" i="14"/>
  <c r="E65" i="14"/>
  <c r="D65" i="14"/>
  <c r="J65" i="14" s="1"/>
  <c r="C65" i="14"/>
  <c r="B65" i="14"/>
  <c r="A65" i="14"/>
  <c r="G64" i="14"/>
  <c r="J64" i="14" s="1"/>
  <c r="F64" i="14"/>
  <c r="E64" i="14"/>
  <c r="D64" i="14"/>
  <c r="I64" i="14" s="1"/>
  <c r="C64" i="14"/>
  <c r="B64" i="14"/>
  <c r="A64" i="14"/>
  <c r="F63" i="14"/>
  <c r="I63" i="14" s="1"/>
  <c r="E63" i="14"/>
  <c r="H63" i="14" s="1"/>
  <c r="D63" i="14"/>
  <c r="C63" i="14"/>
  <c r="B63" i="14"/>
  <c r="A63" i="14"/>
  <c r="I62" i="14"/>
  <c r="F62" i="14"/>
  <c r="G62" i="14" s="1"/>
  <c r="E62" i="14"/>
  <c r="H62" i="14" s="1"/>
  <c r="D62" i="14"/>
  <c r="J62" i="14" s="1"/>
  <c r="K62" i="14" s="1"/>
  <c r="C62" i="14"/>
  <c r="B62" i="14"/>
  <c r="A62" i="14"/>
  <c r="G61" i="14"/>
  <c r="F61" i="14"/>
  <c r="E61" i="14"/>
  <c r="D61" i="14"/>
  <c r="J61" i="14" s="1"/>
  <c r="C61" i="14"/>
  <c r="B61" i="14"/>
  <c r="A61" i="14"/>
  <c r="G60" i="14"/>
  <c r="J60" i="14" s="1"/>
  <c r="F60" i="14"/>
  <c r="E60" i="14"/>
  <c r="D60" i="14"/>
  <c r="I60" i="14" s="1"/>
  <c r="C60" i="14"/>
  <c r="B60" i="14"/>
  <c r="A60" i="14"/>
  <c r="F59" i="14"/>
  <c r="I59" i="14" s="1"/>
  <c r="E59" i="14"/>
  <c r="H59" i="14" s="1"/>
  <c r="D59" i="14"/>
  <c r="C59" i="14"/>
  <c r="B59" i="14"/>
  <c r="A59" i="14"/>
  <c r="I58" i="14"/>
  <c r="F58" i="14"/>
  <c r="G58" i="14" s="1"/>
  <c r="E58" i="14"/>
  <c r="H58" i="14" s="1"/>
  <c r="D58" i="14"/>
  <c r="J58" i="14" s="1"/>
  <c r="K58" i="14" s="1"/>
  <c r="C58" i="14"/>
  <c r="B58" i="14"/>
  <c r="A58" i="14"/>
  <c r="G57" i="14"/>
  <c r="F57" i="14"/>
  <c r="E57" i="14"/>
  <c r="D57" i="14"/>
  <c r="H57" i="14" s="1"/>
  <c r="C57" i="14"/>
  <c r="B57" i="14"/>
  <c r="A57" i="14"/>
  <c r="G56" i="14"/>
  <c r="J56" i="14" s="1"/>
  <c r="F56" i="14"/>
  <c r="E56" i="14"/>
  <c r="D56" i="14"/>
  <c r="I56" i="14" s="1"/>
  <c r="C56" i="14"/>
  <c r="B56" i="14"/>
  <c r="A56" i="14"/>
  <c r="F55" i="14"/>
  <c r="I55" i="14" s="1"/>
  <c r="E55" i="14"/>
  <c r="H55" i="14" s="1"/>
  <c r="D55" i="14"/>
  <c r="C55" i="14"/>
  <c r="B55" i="14"/>
  <c r="A55" i="14"/>
  <c r="I54" i="14"/>
  <c r="F54" i="14"/>
  <c r="G54" i="14" s="1"/>
  <c r="E54" i="14"/>
  <c r="H54" i="14" s="1"/>
  <c r="D54" i="14"/>
  <c r="C54" i="14"/>
  <c r="B54" i="14"/>
  <c r="A54" i="14"/>
  <c r="G53" i="14"/>
  <c r="F53" i="14"/>
  <c r="E53" i="14"/>
  <c r="D53" i="14"/>
  <c r="H53" i="14" s="1"/>
  <c r="C53" i="14"/>
  <c r="B53" i="14"/>
  <c r="A53" i="14"/>
  <c r="G52" i="14"/>
  <c r="J52" i="14" s="1"/>
  <c r="F52" i="14"/>
  <c r="E52" i="14"/>
  <c r="H52" i="14" s="1"/>
  <c r="D52" i="14"/>
  <c r="I52" i="14" s="1"/>
  <c r="C52" i="14"/>
  <c r="B52" i="14"/>
  <c r="A52" i="14"/>
  <c r="B51" i="14"/>
  <c r="A51" i="14"/>
  <c r="G50" i="14"/>
  <c r="F50" i="14"/>
  <c r="E50" i="14"/>
  <c r="D50" i="14"/>
  <c r="J50" i="14" s="1"/>
  <c r="C50" i="14"/>
  <c r="B50" i="14"/>
  <c r="A50" i="14"/>
  <c r="G49" i="14"/>
  <c r="J49" i="14" s="1"/>
  <c r="K49" i="14" s="1"/>
  <c r="F49" i="14"/>
  <c r="E49" i="14"/>
  <c r="H49" i="14" s="1"/>
  <c r="D49" i="14"/>
  <c r="I49" i="14" s="1"/>
  <c r="C49" i="14"/>
  <c r="B49" i="14"/>
  <c r="A49" i="14"/>
  <c r="F48" i="14"/>
  <c r="I48" i="14" s="1"/>
  <c r="E48" i="14"/>
  <c r="H48" i="14" s="1"/>
  <c r="D48" i="14"/>
  <c r="C48" i="14"/>
  <c r="B48" i="14"/>
  <c r="A48" i="14"/>
  <c r="I47" i="14"/>
  <c r="F47" i="14"/>
  <c r="G47" i="14" s="1"/>
  <c r="E47" i="14"/>
  <c r="H47" i="14" s="1"/>
  <c r="D47" i="14"/>
  <c r="J47" i="14" s="1"/>
  <c r="C47" i="14"/>
  <c r="B47" i="14"/>
  <c r="A47" i="14"/>
  <c r="G46" i="14"/>
  <c r="F46" i="14"/>
  <c r="E46" i="14"/>
  <c r="D46" i="14"/>
  <c r="J46" i="14" s="1"/>
  <c r="C46" i="14"/>
  <c r="B46" i="14"/>
  <c r="A46" i="14"/>
  <c r="G45" i="14"/>
  <c r="J45" i="14" s="1"/>
  <c r="K45" i="14" s="1"/>
  <c r="F45" i="14"/>
  <c r="E45" i="14"/>
  <c r="H45" i="14" s="1"/>
  <c r="D45" i="14"/>
  <c r="I45" i="14" s="1"/>
  <c r="C45" i="14"/>
  <c r="B45" i="14"/>
  <c r="A45" i="14"/>
  <c r="F44" i="14"/>
  <c r="I44" i="14" s="1"/>
  <c r="E44" i="14"/>
  <c r="H44" i="14" s="1"/>
  <c r="D44" i="14"/>
  <c r="C44" i="14"/>
  <c r="B44" i="14"/>
  <c r="A44" i="14"/>
  <c r="I43" i="14"/>
  <c r="F43" i="14"/>
  <c r="G43" i="14" s="1"/>
  <c r="E43" i="14"/>
  <c r="H43" i="14" s="1"/>
  <c r="D43" i="14"/>
  <c r="J43" i="14" s="1"/>
  <c r="K43" i="14" s="1"/>
  <c r="C43" i="14"/>
  <c r="B43" i="14"/>
  <c r="A43" i="14"/>
  <c r="G42" i="14"/>
  <c r="F42" i="14"/>
  <c r="E42" i="14"/>
  <c r="D42" i="14"/>
  <c r="J42" i="14" s="1"/>
  <c r="C42" i="14"/>
  <c r="B42" i="14"/>
  <c r="A42" i="14"/>
  <c r="G41" i="14"/>
  <c r="J41" i="14" s="1"/>
  <c r="F41" i="14"/>
  <c r="E41" i="14"/>
  <c r="D41" i="14"/>
  <c r="I41" i="14" s="1"/>
  <c r="C41" i="14"/>
  <c r="B41" i="14"/>
  <c r="A41" i="14"/>
  <c r="F40" i="14"/>
  <c r="I40" i="14" s="1"/>
  <c r="E40" i="14"/>
  <c r="H40" i="14" s="1"/>
  <c r="D40" i="14"/>
  <c r="C40" i="14"/>
  <c r="B40" i="14"/>
  <c r="A40" i="14"/>
  <c r="I39" i="14"/>
  <c r="F39" i="14"/>
  <c r="G39" i="14" s="1"/>
  <c r="E39" i="14"/>
  <c r="H39" i="14" s="1"/>
  <c r="D39" i="14"/>
  <c r="J39" i="14" s="1"/>
  <c r="K39" i="14" s="1"/>
  <c r="C39" i="14"/>
  <c r="B39" i="14"/>
  <c r="A39" i="14"/>
  <c r="G38" i="14"/>
  <c r="F38" i="14"/>
  <c r="E38" i="14"/>
  <c r="D38" i="14"/>
  <c r="J38" i="14" s="1"/>
  <c r="C38" i="14"/>
  <c r="B38" i="14"/>
  <c r="A38" i="14"/>
  <c r="G37" i="14"/>
  <c r="J37" i="14" s="1"/>
  <c r="F37" i="14"/>
  <c r="E37" i="14"/>
  <c r="H37" i="14" s="1"/>
  <c r="D37" i="14"/>
  <c r="I37" i="14" s="1"/>
  <c r="C37" i="14"/>
  <c r="B37" i="14"/>
  <c r="A37" i="14"/>
  <c r="B36" i="14"/>
  <c r="A36" i="14"/>
  <c r="F35" i="14"/>
  <c r="I35" i="14" s="1"/>
  <c r="H34" i="14"/>
  <c r="G34" i="14"/>
  <c r="J34" i="14" s="1"/>
  <c r="K34" i="14" s="1"/>
  <c r="F34" i="14"/>
  <c r="I34" i="14" s="1"/>
  <c r="H33" i="14"/>
  <c r="F33" i="14"/>
  <c r="I33" i="14" s="1"/>
  <c r="H32" i="14"/>
  <c r="G32" i="14"/>
  <c r="J32" i="14" s="1"/>
  <c r="K32" i="14" s="1"/>
  <c r="F32" i="14"/>
  <c r="I32" i="14" s="1"/>
  <c r="F31" i="14"/>
  <c r="G31" i="14" s="1"/>
  <c r="J31" i="14" s="1"/>
  <c r="D31" i="14"/>
  <c r="I31" i="14" s="1"/>
  <c r="C31" i="14"/>
  <c r="B31" i="14"/>
  <c r="A31" i="14"/>
  <c r="H30" i="14"/>
  <c r="G30" i="14"/>
  <c r="F30" i="14"/>
  <c r="D30" i="14"/>
  <c r="J30" i="14" s="1"/>
  <c r="K30" i="14" s="1"/>
  <c r="C30" i="14"/>
  <c r="B30" i="14"/>
  <c r="A30" i="14"/>
  <c r="F29" i="14"/>
  <c r="G29" i="14" s="1"/>
  <c r="J29" i="14" s="1"/>
  <c r="D29" i="14"/>
  <c r="I29" i="14" s="1"/>
  <c r="C29" i="14"/>
  <c r="B29" i="14"/>
  <c r="A29" i="14"/>
  <c r="G28" i="14"/>
  <c r="F28" i="14"/>
  <c r="E28" i="14"/>
  <c r="D28" i="14"/>
  <c r="H28" i="14" s="1"/>
  <c r="C28" i="14"/>
  <c r="B28" i="14"/>
  <c r="A28" i="14"/>
  <c r="G27" i="14"/>
  <c r="J27" i="14" s="1"/>
  <c r="K27" i="14" s="1"/>
  <c r="F27" i="14"/>
  <c r="I27" i="14" s="1"/>
  <c r="E27" i="14"/>
  <c r="H27" i="14" s="1"/>
  <c r="D27" i="14"/>
  <c r="C27" i="14"/>
  <c r="B27" i="14"/>
  <c r="A27" i="14"/>
  <c r="B26" i="14"/>
  <c r="A26" i="14"/>
  <c r="G25" i="14"/>
  <c r="F25" i="14"/>
  <c r="E25" i="14"/>
  <c r="D25" i="14"/>
  <c r="H25" i="14" s="1"/>
  <c r="C25" i="14"/>
  <c r="B25" i="14"/>
  <c r="A25" i="14"/>
  <c r="G24" i="14"/>
  <c r="J24" i="14" s="1"/>
  <c r="K24" i="14" s="1"/>
  <c r="F24" i="14"/>
  <c r="I24" i="14" s="1"/>
  <c r="E24" i="14"/>
  <c r="H24" i="14" s="1"/>
  <c r="D24" i="14"/>
  <c r="C24" i="14"/>
  <c r="B24" i="14"/>
  <c r="A24" i="14"/>
  <c r="F23" i="14"/>
  <c r="I23" i="14" s="1"/>
  <c r="E23" i="14"/>
  <c r="H23" i="14" s="1"/>
  <c r="D23" i="14"/>
  <c r="C23" i="14"/>
  <c r="B23" i="14"/>
  <c r="A23" i="14"/>
  <c r="B22" i="14"/>
  <c r="A22" i="14"/>
  <c r="G21" i="14"/>
  <c r="J21" i="14" s="1"/>
  <c r="K21" i="14" s="1"/>
  <c r="F21" i="14"/>
  <c r="I21" i="14" s="1"/>
  <c r="E21" i="14"/>
  <c r="H21" i="14" s="1"/>
  <c r="D21" i="14"/>
  <c r="C21" i="14"/>
  <c r="B21" i="14"/>
  <c r="A21" i="14"/>
  <c r="G20" i="14"/>
  <c r="J20" i="14" s="1"/>
  <c r="F20" i="14"/>
  <c r="I20" i="14" s="1"/>
  <c r="E20" i="14"/>
  <c r="L20" i="14" s="1"/>
  <c r="D20" i="14"/>
  <c r="C20" i="14"/>
  <c r="B20" i="14"/>
  <c r="A20" i="14"/>
  <c r="F19" i="14"/>
  <c r="I19" i="14" s="1"/>
  <c r="E19" i="14"/>
  <c r="H19" i="14" s="1"/>
  <c r="D19" i="14"/>
  <c r="C19" i="14"/>
  <c r="B19" i="14"/>
  <c r="A19" i="14"/>
  <c r="I18" i="14"/>
  <c r="G18" i="14"/>
  <c r="F18" i="14"/>
  <c r="E18" i="14"/>
  <c r="H18" i="14" s="1"/>
  <c r="D18" i="14"/>
  <c r="J18" i="14" s="1"/>
  <c r="K18" i="14" s="1"/>
  <c r="C18" i="14"/>
  <c r="B18" i="14"/>
  <c r="A18" i="14"/>
  <c r="G17" i="14"/>
  <c r="F17" i="14"/>
  <c r="E17" i="14"/>
  <c r="D17" i="14"/>
  <c r="J17" i="14" s="1"/>
  <c r="C17" i="14"/>
  <c r="B17" i="14"/>
  <c r="A17" i="14"/>
  <c r="B16" i="14"/>
  <c r="A16" i="14"/>
  <c r="C339" i="13"/>
  <c r="B339" i="13"/>
  <c r="A339" i="13"/>
  <c r="C338" i="13"/>
  <c r="B338" i="13"/>
  <c r="A338" i="13"/>
  <c r="C337" i="13"/>
  <c r="B337" i="13"/>
  <c r="A337" i="13"/>
  <c r="C336" i="13"/>
  <c r="B336" i="13"/>
  <c r="A336" i="13"/>
  <c r="C335" i="13"/>
  <c r="B335" i="13"/>
  <c r="A335" i="13"/>
  <c r="C334" i="13"/>
  <c r="B334" i="13"/>
  <c r="A334" i="13"/>
  <c r="C333" i="13"/>
  <c r="B333" i="13"/>
  <c r="A333" i="13"/>
  <c r="C332" i="13"/>
  <c r="B332" i="13"/>
  <c r="A332" i="13"/>
  <c r="C331" i="13"/>
  <c r="B331" i="13"/>
  <c r="A331" i="13"/>
  <c r="C330" i="13"/>
  <c r="B330" i="13"/>
  <c r="A330" i="13"/>
  <c r="C329" i="13"/>
  <c r="B329" i="13"/>
  <c r="A329" i="13"/>
  <c r="C328" i="13"/>
  <c r="B328" i="13"/>
  <c r="A328" i="13"/>
  <c r="B327" i="13"/>
  <c r="A327" i="13"/>
  <c r="C326" i="13"/>
  <c r="B326" i="13"/>
  <c r="A326" i="13"/>
  <c r="C325" i="13"/>
  <c r="B325" i="13"/>
  <c r="A325" i="13"/>
  <c r="C324" i="13"/>
  <c r="B324" i="13"/>
  <c r="A324" i="13"/>
  <c r="C323" i="13"/>
  <c r="B323" i="13"/>
  <c r="A323" i="13"/>
  <c r="C322" i="13"/>
  <c r="B322" i="13"/>
  <c r="A322" i="13"/>
  <c r="C321" i="13"/>
  <c r="B321" i="13"/>
  <c r="A321" i="13"/>
  <c r="C320" i="13"/>
  <c r="B320" i="13"/>
  <c r="A320" i="13"/>
  <c r="C319" i="13"/>
  <c r="B319" i="13"/>
  <c r="A319" i="13"/>
  <c r="C318" i="13"/>
  <c r="B318" i="13"/>
  <c r="A318" i="13"/>
  <c r="C317" i="13"/>
  <c r="B317" i="13"/>
  <c r="A317" i="13"/>
  <c r="C316" i="13"/>
  <c r="B316" i="13"/>
  <c r="A316" i="13"/>
  <c r="C315" i="13"/>
  <c r="B315" i="13"/>
  <c r="A315" i="13"/>
  <c r="C314" i="13"/>
  <c r="B314" i="13"/>
  <c r="A314" i="13"/>
  <c r="C313" i="13"/>
  <c r="B313" i="13"/>
  <c r="A313" i="13"/>
  <c r="C312" i="13"/>
  <c r="B312" i="13"/>
  <c r="A312" i="13"/>
  <c r="C311" i="13"/>
  <c r="B311" i="13"/>
  <c r="A311" i="13"/>
  <c r="C310" i="13"/>
  <c r="B310" i="13"/>
  <c r="A310" i="13"/>
  <c r="C309" i="13"/>
  <c r="B309" i="13"/>
  <c r="A309" i="13"/>
  <c r="C308" i="13"/>
  <c r="B308" i="13"/>
  <c r="A308" i="13"/>
  <c r="B307" i="13"/>
  <c r="A307" i="13"/>
  <c r="C306" i="13"/>
  <c r="B306" i="13"/>
  <c r="A306" i="13"/>
  <c r="C305" i="13"/>
  <c r="B305" i="13"/>
  <c r="A305" i="13"/>
  <c r="C304" i="13"/>
  <c r="B304" i="13"/>
  <c r="A304" i="13"/>
  <c r="C303" i="13"/>
  <c r="B303" i="13"/>
  <c r="A303" i="13"/>
  <c r="C302" i="13"/>
  <c r="B302" i="13"/>
  <c r="A302" i="13"/>
  <c r="C301" i="13"/>
  <c r="B301" i="13"/>
  <c r="A301" i="13"/>
  <c r="C300" i="13"/>
  <c r="B300" i="13"/>
  <c r="A300" i="13"/>
  <c r="C299" i="13"/>
  <c r="B299" i="13"/>
  <c r="A299" i="13"/>
  <c r="C298" i="13"/>
  <c r="B298" i="13"/>
  <c r="A298" i="13"/>
  <c r="C297" i="13"/>
  <c r="B297" i="13"/>
  <c r="A297" i="13"/>
  <c r="C296" i="13"/>
  <c r="B296" i="13"/>
  <c r="A296" i="13"/>
  <c r="C295" i="13"/>
  <c r="B295" i="13"/>
  <c r="A295" i="13"/>
  <c r="C294" i="13"/>
  <c r="B294" i="13"/>
  <c r="A294" i="13"/>
  <c r="C293" i="13"/>
  <c r="B293" i="13"/>
  <c r="A293" i="13"/>
  <c r="C292" i="13"/>
  <c r="B292" i="13"/>
  <c r="A292" i="13"/>
  <c r="C291" i="13"/>
  <c r="B291" i="13"/>
  <c r="A291" i="13"/>
  <c r="C290" i="13"/>
  <c r="B290" i="13"/>
  <c r="A290" i="13"/>
  <c r="C289" i="13"/>
  <c r="B289" i="13"/>
  <c r="A289" i="13"/>
  <c r="C288" i="13"/>
  <c r="B288" i="13"/>
  <c r="A288" i="13"/>
  <c r="B287" i="13"/>
  <c r="A287" i="13"/>
  <c r="C286" i="13"/>
  <c r="B286" i="13"/>
  <c r="A286" i="13"/>
  <c r="C285" i="13"/>
  <c r="B285" i="13"/>
  <c r="A285" i="13"/>
  <c r="C284" i="13"/>
  <c r="B284" i="13"/>
  <c r="A284" i="13"/>
  <c r="C283" i="13"/>
  <c r="B283" i="13"/>
  <c r="A283" i="13"/>
  <c r="C282" i="13"/>
  <c r="B282" i="13"/>
  <c r="A282" i="13"/>
  <c r="C281" i="13"/>
  <c r="B281" i="13"/>
  <c r="A281" i="13"/>
  <c r="B280" i="13"/>
  <c r="A280" i="13"/>
  <c r="C279" i="13"/>
  <c r="B279" i="13"/>
  <c r="A279" i="13"/>
  <c r="C278" i="13"/>
  <c r="B278" i="13"/>
  <c r="A278" i="13"/>
  <c r="C277" i="13"/>
  <c r="B277" i="13"/>
  <c r="A277" i="13"/>
  <c r="C276" i="13"/>
  <c r="B276" i="13"/>
  <c r="A276" i="13"/>
  <c r="C275" i="13"/>
  <c r="B275" i="13"/>
  <c r="A275" i="13"/>
  <c r="C274" i="13"/>
  <c r="B274" i="13"/>
  <c r="A274" i="13"/>
  <c r="C273" i="13"/>
  <c r="B273" i="13"/>
  <c r="A273" i="13"/>
  <c r="C272" i="13"/>
  <c r="B272" i="13"/>
  <c r="A272" i="13"/>
  <c r="C271" i="13"/>
  <c r="B271" i="13"/>
  <c r="A271" i="13"/>
  <c r="C270" i="13"/>
  <c r="B270" i="13"/>
  <c r="A270" i="13"/>
  <c r="C269" i="13"/>
  <c r="B269" i="13"/>
  <c r="A269" i="13"/>
  <c r="C268" i="13"/>
  <c r="B268" i="13"/>
  <c r="A268" i="13"/>
  <c r="B267" i="13"/>
  <c r="A267" i="13"/>
  <c r="C266" i="13"/>
  <c r="B266" i="13"/>
  <c r="A266" i="13"/>
  <c r="C265" i="13"/>
  <c r="B265" i="13"/>
  <c r="A265" i="13"/>
  <c r="C264" i="13"/>
  <c r="B264" i="13"/>
  <c r="A264" i="13"/>
  <c r="C263" i="13"/>
  <c r="B263" i="13"/>
  <c r="A263" i="13"/>
  <c r="C262" i="13"/>
  <c r="B262" i="13"/>
  <c r="A262" i="13"/>
  <c r="C261" i="13"/>
  <c r="B261" i="13"/>
  <c r="A261" i="13"/>
  <c r="C260" i="13"/>
  <c r="B260" i="13"/>
  <c r="A260" i="13"/>
  <c r="C259" i="13"/>
  <c r="B259" i="13"/>
  <c r="A259" i="13"/>
  <c r="C258" i="13"/>
  <c r="B258" i="13"/>
  <c r="A258" i="13"/>
  <c r="C257" i="13"/>
  <c r="B257" i="13"/>
  <c r="A257" i="13"/>
  <c r="C256" i="13"/>
  <c r="B256" i="13"/>
  <c r="A256" i="13"/>
  <c r="C255" i="13"/>
  <c r="B255" i="13"/>
  <c r="A255" i="13"/>
  <c r="C254" i="13"/>
  <c r="B254" i="13"/>
  <c r="A254" i="13"/>
  <c r="C253" i="13"/>
  <c r="B253" i="13"/>
  <c r="A253" i="13"/>
  <c r="C252" i="13"/>
  <c r="B252" i="13"/>
  <c r="A252" i="13"/>
  <c r="C251" i="13"/>
  <c r="B251" i="13"/>
  <c r="A251" i="13"/>
  <c r="C250" i="13"/>
  <c r="B250" i="13"/>
  <c r="A250" i="13"/>
  <c r="C249" i="13"/>
  <c r="B249" i="13"/>
  <c r="A249" i="13"/>
  <c r="C248" i="13"/>
  <c r="B248" i="13"/>
  <c r="A248" i="13"/>
  <c r="C247" i="13"/>
  <c r="B247" i="13"/>
  <c r="A247" i="13"/>
  <c r="B246" i="13"/>
  <c r="A246" i="13"/>
  <c r="C245" i="13"/>
  <c r="B245" i="13"/>
  <c r="A245" i="13"/>
  <c r="C244" i="13"/>
  <c r="B244" i="13"/>
  <c r="A244" i="13"/>
  <c r="C243" i="13"/>
  <c r="B243" i="13"/>
  <c r="A243" i="13"/>
  <c r="C242" i="13"/>
  <c r="B242" i="13"/>
  <c r="A242" i="13"/>
  <c r="C241" i="13"/>
  <c r="B241" i="13"/>
  <c r="A241" i="13"/>
  <c r="C240" i="13"/>
  <c r="B240" i="13"/>
  <c r="A240" i="13"/>
  <c r="C239" i="13"/>
  <c r="B239" i="13"/>
  <c r="A239" i="13"/>
  <c r="C238" i="13"/>
  <c r="B238" i="13"/>
  <c r="A238" i="13"/>
  <c r="C237" i="13"/>
  <c r="B237" i="13"/>
  <c r="A237" i="13"/>
  <c r="C236" i="13"/>
  <c r="B236" i="13"/>
  <c r="A236" i="13"/>
  <c r="C235" i="13"/>
  <c r="B235" i="13"/>
  <c r="A235" i="13"/>
  <c r="C234" i="13"/>
  <c r="B234" i="13"/>
  <c r="A234" i="13"/>
  <c r="C233" i="13"/>
  <c r="B233" i="13"/>
  <c r="A233" i="13"/>
  <c r="C232" i="13"/>
  <c r="B232" i="13"/>
  <c r="A232" i="13"/>
  <c r="C231" i="13"/>
  <c r="B231" i="13"/>
  <c r="A231" i="13"/>
  <c r="C230" i="13"/>
  <c r="B230" i="13"/>
  <c r="A230" i="13"/>
  <c r="C229" i="13"/>
  <c r="B229" i="13"/>
  <c r="A229" i="13"/>
  <c r="C228" i="13"/>
  <c r="B228" i="13"/>
  <c r="A228" i="13"/>
  <c r="C227" i="13"/>
  <c r="B227" i="13"/>
  <c r="A227" i="13"/>
  <c r="C226" i="13"/>
  <c r="B226" i="13"/>
  <c r="A226" i="13"/>
  <c r="C225" i="13"/>
  <c r="B225" i="13"/>
  <c r="A225" i="13"/>
  <c r="C224" i="13"/>
  <c r="B224" i="13"/>
  <c r="A224" i="13"/>
  <c r="C223" i="13"/>
  <c r="B223" i="13"/>
  <c r="A223" i="13"/>
  <c r="C222" i="13"/>
  <c r="B222" i="13"/>
  <c r="A222" i="13"/>
  <c r="C221" i="13"/>
  <c r="B221" i="13"/>
  <c r="A221" i="13"/>
  <c r="C220" i="13"/>
  <c r="B220" i="13"/>
  <c r="A220" i="13"/>
  <c r="C219" i="13"/>
  <c r="B219" i="13"/>
  <c r="A219" i="13"/>
  <c r="C218" i="13"/>
  <c r="B218" i="13"/>
  <c r="A218" i="13"/>
  <c r="C217" i="13"/>
  <c r="B217" i="13"/>
  <c r="A217" i="13"/>
  <c r="C216" i="13"/>
  <c r="B216" i="13"/>
  <c r="A216" i="13"/>
  <c r="C215" i="13"/>
  <c r="B215" i="13"/>
  <c r="A215" i="13"/>
  <c r="C214" i="13"/>
  <c r="B214" i="13"/>
  <c r="A214" i="13"/>
  <c r="C213" i="13"/>
  <c r="B213" i="13"/>
  <c r="A213" i="13"/>
  <c r="C212" i="13"/>
  <c r="B212" i="13"/>
  <c r="A212" i="13"/>
  <c r="C211" i="13"/>
  <c r="B211" i="13"/>
  <c r="A211" i="13"/>
  <c r="C210" i="13"/>
  <c r="B210" i="13"/>
  <c r="A210" i="13"/>
  <c r="C209" i="13"/>
  <c r="B209" i="13"/>
  <c r="A209" i="13"/>
  <c r="C208" i="13"/>
  <c r="B208" i="13"/>
  <c r="A208" i="13"/>
  <c r="C207" i="13"/>
  <c r="B207" i="13"/>
  <c r="A207" i="13"/>
  <c r="C206" i="13"/>
  <c r="B206" i="13"/>
  <c r="A206" i="13"/>
  <c r="C205" i="13"/>
  <c r="B205" i="13"/>
  <c r="A205" i="13"/>
  <c r="C204" i="13"/>
  <c r="B204" i="13"/>
  <c r="A204" i="13"/>
  <c r="C203" i="13"/>
  <c r="B203" i="13"/>
  <c r="A203" i="13"/>
  <c r="C202" i="13"/>
  <c r="B202" i="13"/>
  <c r="A202" i="13"/>
  <c r="C201" i="13"/>
  <c r="B201" i="13"/>
  <c r="A201" i="13"/>
  <c r="C200" i="13"/>
  <c r="B200" i="13"/>
  <c r="A200" i="13"/>
  <c r="C199" i="13"/>
  <c r="B199" i="13"/>
  <c r="A199" i="13"/>
  <c r="C198" i="13"/>
  <c r="B198" i="13"/>
  <c r="A198" i="13"/>
  <c r="C197" i="13"/>
  <c r="B197" i="13"/>
  <c r="A197" i="13"/>
  <c r="C196" i="13"/>
  <c r="B196" i="13"/>
  <c r="A196" i="13"/>
  <c r="C195" i="13"/>
  <c r="B195" i="13"/>
  <c r="A195" i="13"/>
  <c r="B194" i="13"/>
  <c r="A194" i="13"/>
  <c r="C193" i="13"/>
  <c r="B193" i="13"/>
  <c r="A193" i="13"/>
  <c r="C192" i="13"/>
  <c r="B192" i="13"/>
  <c r="A192" i="13"/>
  <c r="C191" i="13"/>
  <c r="B191" i="13"/>
  <c r="A191" i="13"/>
  <c r="C190" i="13"/>
  <c r="B190" i="13"/>
  <c r="A190" i="13"/>
  <c r="C189" i="13"/>
  <c r="B189" i="13"/>
  <c r="A189" i="13"/>
  <c r="B188" i="13"/>
  <c r="A188" i="13"/>
  <c r="C187" i="13"/>
  <c r="B187" i="13"/>
  <c r="A187" i="13"/>
  <c r="C186" i="13"/>
  <c r="B186" i="13"/>
  <c r="A186" i="13"/>
  <c r="C185" i="13"/>
  <c r="B185" i="13"/>
  <c r="A185" i="13"/>
  <c r="C184" i="13"/>
  <c r="B184" i="13"/>
  <c r="A184" i="13"/>
  <c r="C183" i="13"/>
  <c r="B183" i="13"/>
  <c r="A183" i="13"/>
  <c r="C182" i="13"/>
  <c r="B182" i="13"/>
  <c r="A182" i="13"/>
  <c r="C181" i="13"/>
  <c r="B181" i="13"/>
  <c r="A181" i="13"/>
  <c r="C180" i="13"/>
  <c r="B180" i="13"/>
  <c r="A180" i="13"/>
  <c r="C179" i="13"/>
  <c r="B179" i="13"/>
  <c r="A179" i="13"/>
  <c r="B178" i="13"/>
  <c r="A178" i="13"/>
  <c r="C177" i="13"/>
  <c r="B177" i="13"/>
  <c r="A177" i="13"/>
  <c r="C176" i="13"/>
  <c r="B176" i="13"/>
  <c r="A176" i="13"/>
  <c r="C175" i="13"/>
  <c r="B175" i="13"/>
  <c r="A175" i="13"/>
  <c r="C174" i="13"/>
  <c r="B174" i="13"/>
  <c r="A174" i="13"/>
  <c r="C173" i="13"/>
  <c r="B173" i="13"/>
  <c r="A173" i="13"/>
  <c r="C172" i="13"/>
  <c r="B172" i="13"/>
  <c r="A172" i="13"/>
  <c r="C171" i="13"/>
  <c r="B171" i="13"/>
  <c r="A171" i="13"/>
  <c r="C170" i="13"/>
  <c r="B170" i="13"/>
  <c r="A170" i="13"/>
  <c r="C169" i="13"/>
  <c r="B169" i="13"/>
  <c r="A169" i="13"/>
  <c r="C168" i="13"/>
  <c r="B168" i="13"/>
  <c r="A168" i="13"/>
  <c r="C167" i="13"/>
  <c r="B167" i="13"/>
  <c r="A167" i="13"/>
  <c r="C166" i="13"/>
  <c r="B166" i="13"/>
  <c r="A166" i="13"/>
  <c r="C165" i="13"/>
  <c r="B165" i="13"/>
  <c r="A165" i="13"/>
  <c r="C164" i="13"/>
  <c r="B164" i="13"/>
  <c r="A164" i="13"/>
  <c r="C163" i="13"/>
  <c r="B163" i="13"/>
  <c r="A163" i="13"/>
  <c r="C162" i="13"/>
  <c r="B162" i="13"/>
  <c r="A162" i="13"/>
  <c r="C161" i="13"/>
  <c r="B161" i="13"/>
  <c r="A161" i="13"/>
  <c r="C160" i="13"/>
  <c r="B160" i="13"/>
  <c r="A160" i="13"/>
  <c r="B159" i="13"/>
  <c r="A159" i="13"/>
  <c r="C158" i="13"/>
  <c r="B158" i="13"/>
  <c r="A158" i="13"/>
  <c r="C157" i="13"/>
  <c r="B157" i="13"/>
  <c r="A157" i="13"/>
  <c r="C156" i="13"/>
  <c r="B156" i="13"/>
  <c r="A156" i="13"/>
  <c r="C155" i="13"/>
  <c r="B155" i="13"/>
  <c r="A155" i="13"/>
  <c r="C154" i="13"/>
  <c r="B154" i="13"/>
  <c r="A154" i="13"/>
  <c r="C153" i="13"/>
  <c r="B153" i="13"/>
  <c r="A153" i="13"/>
  <c r="C152" i="13"/>
  <c r="B152" i="13"/>
  <c r="A152" i="13"/>
  <c r="C151" i="13"/>
  <c r="B151" i="13"/>
  <c r="A151" i="13"/>
  <c r="C150" i="13"/>
  <c r="B150" i="13"/>
  <c r="A150" i="13"/>
  <c r="C149" i="13"/>
  <c r="B149" i="13"/>
  <c r="A149" i="13"/>
  <c r="C148" i="13"/>
  <c r="B148" i="13"/>
  <c r="A148" i="13"/>
  <c r="C147" i="13"/>
  <c r="B147" i="13"/>
  <c r="A147" i="13"/>
  <c r="C146" i="13"/>
  <c r="B146" i="13"/>
  <c r="A146" i="13"/>
  <c r="C145" i="13"/>
  <c r="B145" i="13"/>
  <c r="A145" i="13"/>
  <c r="C144" i="13"/>
  <c r="B144" i="13"/>
  <c r="A144" i="13"/>
  <c r="C143" i="13"/>
  <c r="B143" i="13"/>
  <c r="A143" i="13"/>
  <c r="C142" i="13"/>
  <c r="B142" i="13"/>
  <c r="A142" i="13"/>
  <c r="B141" i="13"/>
  <c r="A141" i="13"/>
  <c r="C140" i="13"/>
  <c r="B140" i="13"/>
  <c r="A140" i="13"/>
  <c r="C139" i="13"/>
  <c r="B139" i="13"/>
  <c r="A139" i="13"/>
  <c r="C138" i="13"/>
  <c r="B138" i="13"/>
  <c r="A138" i="13"/>
  <c r="C137" i="13"/>
  <c r="B137" i="13"/>
  <c r="A137" i="13"/>
  <c r="C136" i="13"/>
  <c r="B136" i="13"/>
  <c r="A136" i="13"/>
  <c r="C135" i="13"/>
  <c r="B135" i="13"/>
  <c r="A135" i="13"/>
  <c r="C134" i="13"/>
  <c r="B134" i="13"/>
  <c r="A134" i="13"/>
  <c r="C133" i="13"/>
  <c r="B133" i="13"/>
  <c r="A133" i="13"/>
  <c r="C132" i="13"/>
  <c r="B132" i="13"/>
  <c r="A132" i="13"/>
  <c r="C131" i="13"/>
  <c r="B131" i="13"/>
  <c r="A131" i="13"/>
  <c r="C130" i="13"/>
  <c r="B130" i="13"/>
  <c r="A130" i="13"/>
  <c r="C129" i="13"/>
  <c r="B129" i="13"/>
  <c r="A129" i="13"/>
  <c r="C128" i="13"/>
  <c r="B128" i="13"/>
  <c r="A128" i="13"/>
  <c r="C127" i="13"/>
  <c r="B127" i="13"/>
  <c r="A127" i="13"/>
  <c r="C126" i="13"/>
  <c r="B126" i="13"/>
  <c r="A126" i="13"/>
  <c r="C125" i="13"/>
  <c r="B125" i="13"/>
  <c r="A125" i="13"/>
  <c r="C124" i="13"/>
  <c r="B124" i="13"/>
  <c r="A124" i="13"/>
  <c r="C123" i="13"/>
  <c r="B123" i="13"/>
  <c r="A123" i="13"/>
  <c r="C122" i="13"/>
  <c r="B122" i="13"/>
  <c r="A122" i="13"/>
  <c r="C121" i="13"/>
  <c r="B121" i="13"/>
  <c r="A121" i="13"/>
  <c r="C120" i="13"/>
  <c r="B120" i="13"/>
  <c r="A120" i="13"/>
  <c r="C119" i="13"/>
  <c r="B119" i="13"/>
  <c r="A119" i="13"/>
  <c r="C118" i="13"/>
  <c r="B118" i="13"/>
  <c r="A118" i="13"/>
  <c r="B117" i="13"/>
  <c r="A117" i="13"/>
  <c r="C116" i="13"/>
  <c r="B116" i="13"/>
  <c r="A116" i="13"/>
  <c r="C115" i="13"/>
  <c r="B115" i="13"/>
  <c r="A115" i="13"/>
  <c r="C114" i="13"/>
  <c r="B114" i="13"/>
  <c r="A114" i="13"/>
  <c r="C113" i="13"/>
  <c r="B113" i="13"/>
  <c r="A113" i="13"/>
  <c r="C112" i="13"/>
  <c r="B112" i="13"/>
  <c r="A112" i="13"/>
  <c r="C111" i="13"/>
  <c r="B111" i="13"/>
  <c r="A111" i="13"/>
  <c r="C110" i="13"/>
  <c r="B110" i="13"/>
  <c r="A110" i="13"/>
  <c r="C109" i="13"/>
  <c r="B109" i="13"/>
  <c r="A109" i="13"/>
  <c r="B108" i="13"/>
  <c r="A108" i="13"/>
  <c r="C107" i="13"/>
  <c r="B107" i="13"/>
  <c r="A107" i="13"/>
  <c r="C106" i="13"/>
  <c r="B106" i="13"/>
  <c r="A106" i="13"/>
  <c r="C105" i="13"/>
  <c r="B105" i="13"/>
  <c r="A105" i="13"/>
  <c r="C104" i="13"/>
  <c r="B104" i="13"/>
  <c r="A104" i="13"/>
  <c r="B103" i="13"/>
  <c r="A103" i="13"/>
  <c r="C102" i="13"/>
  <c r="B102" i="13"/>
  <c r="A102" i="13"/>
  <c r="C101" i="13"/>
  <c r="B101" i="13"/>
  <c r="A101" i="13"/>
  <c r="C100" i="13"/>
  <c r="B100" i="13"/>
  <c r="A100" i="13"/>
  <c r="C99" i="13"/>
  <c r="B99" i="13"/>
  <c r="A99" i="13"/>
  <c r="C98" i="13"/>
  <c r="B98" i="13"/>
  <c r="A98" i="13"/>
  <c r="B97" i="13"/>
  <c r="A97" i="13"/>
  <c r="C96" i="13"/>
  <c r="B96" i="13"/>
  <c r="A96" i="13"/>
  <c r="C95" i="13"/>
  <c r="B95" i="13"/>
  <c r="A95" i="13"/>
  <c r="C94" i="13"/>
  <c r="B94" i="13"/>
  <c r="A94" i="13"/>
  <c r="C93" i="13"/>
  <c r="B93" i="13"/>
  <c r="A93" i="13"/>
  <c r="B92" i="13"/>
  <c r="A92" i="13"/>
  <c r="C91" i="13"/>
  <c r="B91" i="13"/>
  <c r="A91" i="13"/>
  <c r="C90" i="13"/>
  <c r="B90" i="13"/>
  <c r="A90" i="13"/>
  <c r="C89" i="13"/>
  <c r="B89" i="13"/>
  <c r="A89" i="13"/>
  <c r="C88" i="13"/>
  <c r="B88" i="13"/>
  <c r="A88" i="13"/>
  <c r="B87" i="13"/>
  <c r="A87" i="13"/>
  <c r="C86" i="13"/>
  <c r="B86" i="13"/>
  <c r="A86" i="13"/>
  <c r="C85" i="13"/>
  <c r="B85" i="13"/>
  <c r="A85" i="13"/>
  <c r="C84" i="13"/>
  <c r="B84" i="13"/>
  <c r="A84" i="13"/>
  <c r="C83" i="13"/>
  <c r="B83" i="13"/>
  <c r="A83" i="13"/>
  <c r="B82" i="13"/>
  <c r="A82" i="13"/>
  <c r="C81" i="13"/>
  <c r="B81" i="13"/>
  <c r="A81" i="13"/>
  <c r="C80" i="13"/>
  <c r="B80" i="13"/>
  <c r="A80" i="13"/>
  <c r="C79" i="13"/>
  <c r="B79" i="13"/>
  <c r="A79" i="13"/>
  <c r="C78" i="13"/>
  <c r="B78" i="13"/>
  <c r="A78" i="13"/>
  <c r="C77" i="13"/>
  <c r="B77" i="13"/>
  <c r="A77" i="13"/>
  <c r="C76" i="13"/>
  <c r="B76" i="13"/>
  <c r="A76" i="13"/>
  <c r="C75" i="13"/>
  <c r="B75" i="13"/>
  <c r="A75" i="13"/>
  <c r="C74" i="13"/>
  <c r="B74" i="13"/>
  <c r="A74" i="13"/>
  <c r="C73" i="13"/>
  <c r="B73" i="13"/>
  <c r="A73" i="13"/>
  <c r="C72" i="13"/>
  <c r="B72" i="13"/>
  <c r="A72" i="13"/>
  <c r="C71" i="13"/>
  <c r="B71" i="13"/>
  <c r="A71" i="13"/>
  <c r="C70" i="13"/>
  <c r="B70" i="13"/>
  <c r="A70" i="13"/>
  <c r="C69" i="13"/>
  <c r="B69" i="13"/>
  <c r="A69" i="13"/>
  <c r="B68" i="13"/>
  <c r="A68" i="13"/>
  <c r="C67" i="13"/>
  <c r="B67" i="13"/>
  <c r="A67" i="13"/>
  <c r="C66" i="13"/>
  <c r="B66" i="13"/>
  <c r="A66" i="13"/>
  <c r="C65" i="13"/>
  <c r="B65" i="13"/>
  <c r="A65" i="13"/>
  <c r="E64" i="13"/>
  <c r="C64" i="13"/>
  <c r="B64" i="13"/>
  <c r="A64" i="13"/>
  <c r="C63" i="13"/>
  <c r="B63" i="13"/>
  <c r="A63" i="13"/>
  <c r="E62" i="13"/>
  <c r="C62" i="13"/>
  <c r="B62" i="13"/>
  <c r="A62" i="13"/>
  <c r="C61" i="13"/>
  <c r="B61" i="13"/>
  <c r="A61" i="13"/>
  <c r="C60" i="13"/>
  <c r="B60" i="13"/>
  <c r="A60" i="13"/>
  <c r="C59" i="13"/>
  <c r="B59" i="13"/>
  <c r="A59" i="13"/>
  <c r="C58" i="13"/>
  <c r="B58" i="13"/>
  <c r="A58" i="13"/>
  <c r="C57" i="13"/>
  <c r="B57" i="13"/>
  <c r="A57" i="13"/>
  <c r="G56" i="13"/>
  <c r="F56" i="13"/>
  <c r="E56" i="13"/>
  <c r="C56" i="13"/>
  <c r="B56" i="13"/>
  <c r="A56" i="13"/>
  <c r="B55" i="13"/>
  <c r="A55" i="13"/>
  <c r="C54" i="13"/>
  <c r="B54" i="13"/>
  <c r="A54" i="13"/>
  <c r="C53" i="13"/>
  <c r="B53" i="13"/>
  <c r="A53" i="13"/>
  <c r="C52" i="13"/>
  <c r="B52" i="13"/>
  <c r="A52" i="13"/>
  <c r="C51" i="13"/>
  <c r="B51" i="13"/>
  <c r="A51" i="13"/>
  <c r="C50" i="13"/>
  <c r="B50" i="13"/>
  <c r="A50" i="13"/>
  <c r="C49" i="13"/>
  <c r="B49" i="13"/>
  <c r="A49" i="13"/>
  <c r="C48" i="13"/>
  <c r="B48" i="13"/>
  <c r="A48" i="13"/>
  <c r="C47" i="13"/>
  <c r="B47" i="13"/>
  <c r="A47" i="13"/>
  <c r="C46" i="13"/>
  <c r="B46" i="13"/>
  <c r="A46" i="13"/>
  <c r="G45" i="13"/>
  <c r="F45" i="13"/>
  <c r="E45" i="13"/>
  <c r="C45" i="13"/>
  <c r="B45" i="13"/>
  <c r="A45" i="13"/>
  <c r="C44" i="13"/>
  <c r="B44" i="13"/>
  <c r="A44" i="13"/>
  <c r="C43" i="13"/>
  <c r="B43" i="13"/>
  <c r="A43" i="13"/>
  <c r="H42" i="13"/>
  <c r="G42" i="13"/>
  <c r="F42" i="13"/>
  <c r="E42" i="13"/>
  <c r="C42" i="13"/>
  <c r="B42" i="13"/>
  <c r="A42" i="13"/>
  <c r="E41" i="13"/>
  <c r="D41" i="13"/>
  <c r="C41" i="13"/>
  <c r="B41" i="13"/>
  <c r="A41" i="13"/>
  <c r="C40" i="13"/>
  <c r="B40" i="13"/>
  <c r="A40" i="13"/>
  <c r="B39" i="13"/>
  <c r="A39" i="13"/>
  <c r="C38" i="13"/>
  <c r="B38" i="13"/>
  <c r="A38" i="13"/>
  <c r="C37" i="13"/>
  <c r="B37" i="13"/>
  <c r="A37" i="13"/>
  <c r="E36" i="13"/>
  <c r="C36" i="13"/>
  <c r="B36" i="13"/>
  <c r="A36" i="13"/>
  <c r="C35" i="13"/>
  <c r="B35" i="13"/>
  <c r="A35" i="13"/>
  <c r="C34" i="13"/>
  <c r="B34" i="13"/>
  <c r="A34" i="13"/>
  <c r="F33" i="13"/>
  <c r="E33" i="13"/>
  <c r="C33" i="13"/>
  <c r="B33" i="13"/>
  <c r="A33" i="13"/>
  <c r="F32" i="13"/>
  <c r="E32" i="13"/>
  <c r="C32" i="13"/>
  <c r="B32" i="13"/>
  <c r="A32" i="13"/>
  <c r="F31" i="13"/>
  <c r="E31" i="13"/>
  <c r="C31" i="13"/>
  <c r="B31" i="13"/>
  <c r="A31" i="13"/>
  <c r="E30" i="13"/>
  <c r="C30" i="13"/>
  <c r="B30" i="13"/>
  <c r="A30" i="13"/>
  <c r="E29" i="13"/>
  <c r="C29" i="13"/>
  <c r="B29" i="13"/>
  <c r="A29" i="13"/>
  <c r="E28" i="13"/>
  <c r="C28" i="13"/>
  <c r="B28" i="13"/>
  <c r="A28" i="13"/>
  <c r="E27" i="13"/>
  <c r="D27" i="13"/>
  <c r="C27" i="13"/>
  <c r="B27" i="13"/>
  <c r="A27" i="13"/>
  <c r="E26" i="13"/>
  <c r="C26" i="13"/>
  <c r="B26" i="13"/>
  <c r="A26" i="13"/>
  <c r="C25" i="13"/>
  <c r="B25" i="13"/>
  <c r="A25" i="13"/>
  <c r="B24" i="13"/>
  <c r="A24" i="13"/>
  <c r="C19" i="13"/>
  <c r="B19" i="13"/>
  <c r="A19" i="13"/>
  <c r="C18" i="13"/>
  <c r="B18" i="13"/>
  <c r="A18" i="13"/>
  <c r="C17" i="13"/>
  <c r="B17" i="13"/>
  <c r="A17" i="13"/>
  <c r="C16" i="13"/>
  <c r="B16" i="13"/>
  <c r="A16" i="13"/>
  <c r="C15" i="13"/>
  <c r="B15" i="13"/>
  <c r="A15" i="13"/>
  <c r="B14" i="13"/>
  <c r="A14" i="13"/>
  <c r="C13" i="13"/>
  <c r="B13" i="13"/>
  <c r="A13" i="13"/>
  <c r="C12" i="13"/>
  <c r="B12" i="13"/>
  <c r="A12" i="13"/>
  <c r="F11" i="13"/>
  <c r="E11" i="13"/>
  <c r="E13" i="13" s="1"/>
  <c r="C11" i="13"/>
  <c r="B11" i="13"/>
  <c r="A11" i="13"/>
  <c r="B10" i="13"/>
  <c r="A10" i="13"/>
  <c r="C9" i="13"/>
  <c r="B9" i="13"/>
  <c r="A9" i="13"/>
  <c r="C8" i="13"/>
  <c r="B8" i="13"/>
  <c r="A8" i="13"/>
  <c r="C7" i="13"/>
  <c r="B7" i="13"/>
  <c r="A7" i="13"/>
  <c r="C6" i="13"/>
  <c r="B6" i="13"/>
  <c r="A6" i="13"/>
  <c r="C5" i="13"/>
  <c r="B5" i="13"/>
  <c r="A5" i="13"/>
  <c r="B4" i="13"/>
  <c r="A4" i="13"/>
  <c r="H369" i="12"/>
  <c r="F369" i="12"/>
  <c r="G369" i="12" s="1"/>
  <c r="J369" i="12" s="1"/>
  <c r="K369" i="12" s="1"/>
  <c r="H368" i="12"/>
  <c r="F368" i="12"/>
  <c r="H367" i="12"/>
  <c r="F367" i="12"/>
  <c r="G367" i="12" s="1"/>
  <c r="J367" i="12" s="1"/>
  <c r="K367" i="12" s="1"/>
  <c r="H366" i="12"/>
  <c r="F366" i="12"/>
  <c r="H365" i="12"/>
  <c r="F365" i="12"/>
  <c r="G365" i="12" s="1"/>
  <c r="J365" i="12" s="1"/>
  <c r="H364" i="12"/>
  <c r="F364" i="12"/>
  <c r="H363" i="12"/>
  <c r="F363" i="12"/>
  <c r="G363" i="12" s="1"/>
  <c r="J363" i="12" s="1"/>
  <c r="H362" i="12"/>
  <c r="F362" i="12"/>
  <c r="H361" i="12"/>
  <c r="F361" i="12"/>
  <c r="G361" i="12" s="1"/>
  <c r="J361" i="12" s="1"/>
  <c r="K361" i="12" s="1"/>
  <c r="H360" i="12"/>
  <c r="F360" i="12"/>
  <c r="H359" i="12"/>
  <c r="F359" i="12"/>
  <c r="G359" i="12" s="1"/>
  <c r="J359" i="12" s="1"/>
  <c r="H358" i="12"/>
  <c r="F358" i="12"/>
  <c r="H357" i="12"/>
  <c r="F357" i="12"/>
  <c r="G357" i="12" s="1"/>
  <c r="J357" i="12" s="1"/>
  <c r="H356" i="12"/>
  <c r="F356" i="12"/>
  <c r="H355" i="12"/>
  <c r="F355" i="12"/>
  <c r="G355" i="12" s="1"/>
  <c r="J355" i="12" s="1"/>
  <c r="H354" i="12"/>
  <c r="F354" i="12"/>
  <c r="H353" i="12"/>
  <c r="F353" i="12"/>
  <c r="G353" i="12" s="1"/>
  <c r="J353" i="12" s="1"/>
  <c r="K353" i="12" s="1"/>
  <c r="F351" i="12"/>
  <c r="G351" i="12" s="1"/>
  <c r="E351" i="12"/>
  <c r="D351" i="12"/>
  <c r="I351" i="12" s="1"/>
  <c r="C351" i="12"/>
  <c r="B351" i="12"/>
  <c r="A351" i="12"/>
  <c r="G350" i="12"/>
  <c r="F350" i="12"/>
  <c r="E350" i="12"/>
  <c r="H350" i="12" s="1"/>
  <c r="D350" i="12"/>
  <c r="J350" i="12" s="1"/>
  <c r="C350" i="12"/>
  <c r="B350" i="12"/>
  <c r="A350" i="12"/>
  <c r="F349" i="12"/>
  <c r="G349" i="12" s="1"/>
  <c r="E349" i="12"/>
  <c r="D349" i="12"/>
  <c r="H349" i="12" s="1"/>
  <c r="C349" i="12"/>
  <c r="B349" i="12"/>
  <c r="A349" i="12"/>
  <c r="G348" i="12"/>
  <c r="F348" i="12"/>
  <c r="E348" i="12"/>
  <c r="D348" i="12"/>
  <c r="I348" i="12" s="1"/>
  <c r="C348" i="12"/>
  <c r="B348" i="12"/>
  <c r="A348" i="12"/>
  <c r="F347" i="12"/>
  <c r="G347" i="12" s="1"/>
  <c r="J347" i="12" s="1"/>
  <c r="E347" i="12"/>
  <c r="D347" i="12"/>
  <c r="C347" i="12"/>
  <c r="B347" i="12"/>
  <c r="A347" i="12"/>
  <c r="F346" i="12"/>
  <c r="G346" i="12" s="1"/>
  <c r="E346" i="12"/>
  <c r="H346" i="12" s="1"/>
  <c r="D346" i="12"/>
  <c r="C346" i="12"/>
  <c r="B346" i="12"/>
  <c r="A346" i="12"/>
  <c r="F345" i="12"/>
  <c r="G345" i="12" s="1"/>
  <c r="E345" i="12"/>
  <c r="D345" i="12"/>
  <c r="H345" i="12" s="1"/>
  <c r="C345" i="12"/>
  <c r="B345" i="12"/>
  <c r="A345" i="12"/>
  <c r="G344" i="12"/>
  <c r="F344" i="12"/>
  <c r="E344" i="12"/>
  <c r="D344" i="12"/>
  <c r="I344" i="12" s="1"/>
  <c r="C344" i="12"/>
  <c r="B344" i="12"/>
  <c r="A344" i="12"/>
  <c r="F343" i="12"/>
  <c r="G343" i="12" s="1"/>
  <c r="J343" i="12" s="1"/>
  <c r="E343" i="12"/>
  <c r="D343" i="12"/>
  <c r="C343" i="12"/>
  <c r="B343" i="12"/>
  <c r="A343" i="12"/>
  <c r="F342" i="12"/>
  <c r="G342" i="12" s="1"/>
  <c r="E342" i="12"/>
  <c r="H342" i="12" s="1"/>
  <c r="D342" i="12"/>
  <c r="C342" i="12"/>
  <c r="B342" i="12"/>
  <c r="A342" i="12"/>
  <c r="F341" i="12"/>
  <c r="G341" i="12" s="1"/>
  <c r="E341" i="12"/>
  <c r="D341" i="12"/>
  <c r="C341" i="12"/>
  <c r="B341" i="12"/>
  <c r="A341" i="12"/>
  <c r="G340" i="12"/>
  <c r="F340" i="12"/>
  <c r="E340" i="12"/>
  <c r="D340" i="12"/>
  <c r="J340" i="12" s="1"/>
  <c r="C340" i="12"/>
  <c r="B340" i="12"/>
  <c r="A340" i="12"/>
  <c r="B339" i="12"/>
  <c r="A339" i="12"/>
  <c r="F338" i="12"/>
  <c r="G338" i="12" s="1"/>
  <c r="E338" i="12"/>
  <c r="H338" i="12" s="1"/>
  <c r="D338" i="12"/>
  <c r="C338" i="12"/>
  <c r="B338" i="12"/>
  <c r="A338" i="12"/>
  <c r="F337" i="12"/>
  <c r="G337" i="12" s="1"/>
  <c r="E337" i="12"/>
  <c r="H337" i="12" s="1"/>
  <c r="D337" i="12"/>
  <c r="C337" i="12"/>
  <c r="B337" i="12"/>
  <c r="A337" i="12"/>
  <c r="F336" i="12"/>
  <c r="G336" i="12" s="1"/>
  <c r="E336" i="12"/>
  <c r="D336" i="12"/>
  <c r="J336" i="12" s="1"/>
  <c r="C336" i="12"/>
  <c r="B336" i="12"/>
  <c r="A336" i="12"/>
  <c r="G335" i="12"/>
  <c r="F335" i="12"/>
  <c r="E335" i="12"/>
  <c r="D335" i="12"/>
  <c r="J335" i="12" s="1"/>
  <c r="C335" i="12"/>
  <c r="B335" i="12"/>
  <c r="A335" i="12"/>
  <c r="F334" i="12"/>
  <c r="G334" i="12" s="1"/>
  <c r="E334" i="12"/>
  <c r="D334" i="12"/>
  <c r="C334" i="12"/>
  <c r="B334" i="12"/>
  <c r="A334" i="12"/>
  <c r="F333" i="12"/>
  <c r="G333" i="12" s="1"/>
  <c r="E333" i="12"/>
  <c r="H333" i="12" s="1"/>
  <c r="D333" i="12"/>
  <c r="C333" i="12"/>
  <c r="B333" i="12"/>
  <c r="A333" i="12"/>
  <c r="F332" i="12"/>
  <c r="G332" i="12" s="1"/>
  <c r="E332" i="12"/>
  <c r="D332" i="12"/>
  <c r="C332" i="12"/>
  <c r="B332" i="12"/>
  <c r="A332" i="12"/>
  <c r="G331" i="12"/>
  <c r="F331" i="12"/>
  <c r="E331" i="12"/>
  <c r="D331" i="12"/>
  <c r="J331" i="12" s="1"/>
  <c r="C331" i="12"/>
  <c r="B331" i="12"/>
  <c r="A331" i="12"/>
  <c r="F330" i="12"/>
  <c r="G330" i="12" s="1"/>
  <c r="E330" i="12"/>
  <c r="D330" i="12"/>
  <c r="C330" i="12"/>
  <c r="B330" i="12"/>
  <c r="A330" i="12"/>
  <c r="F329" i="12"/>
  <c r="G329" i="12" s="1"/>
  <c r="E329" i="12"/>
  <c r="H329" i="12" s="1"/>
  <c r="D329" i="12"/>
  <c r="C329" i="12"/>
  <c r="B329" i="12"/>
  <c r="A329" i="12"/>
  <c r="F328" i="12"/>
  <c r="G328" i="12" s="1"/>
  <c r="E328" i="12"/>
  <c r="D328" i="12"/>
  <c r="I328" i="12" s="1"/>
  <c r="C328" i="12"/>
  <c r="B328" i="12"/>
  <c r="A328" i="12"/>
  <c r="F327" i="12"/>
  <c r="G327" i="12" s="1"/>
  <c r="E327" i="12"/>
  <c r="H327" i="12" s="1"/>
  <c r="D327" i="12"/>
  <c r="C327" i="12"/>
  <c r="B327" i="12"/>
  <c r="A327" i="12"/>
  <c r="F326" i="12"/>
  <c r="G326" i="12" s="1"/>
  <c r="E326" i="12"/>
  <c r="D326" i="12"/>
  <c r="C326" i="12"/>
  <c r="B326" i="12"/>
  <c r="A326" i="12"/>
  <c r="G325" i="12"/>
  <c r="F325" i="12"/>
  <c r="E325" i="12"/>
  <c r="H325" i="12" s="1"/>
  <c r="D325" i="12"/>
  <c r="C325" i="12"/>
  <c r="B325" i="12"/>
  <c r="A325" i="12"/>
  <c r="F324" i="12"/>
  <c r="G324" i="12" s="1"/>
  <c r="E324" i="12"/>
  <c r="D324" i="12"/>
  <c r="C324" i="12"/>
  <c r="B324" i="12"/>
  <c r="A324" i="12"/>
  <c r="F323" i="12"/>
  <c r="G323" i="12" s="1"/>
  <c r="E323" i="12"/>
  <c r="H323" i="12" s="1"/>
  <c r="D323" i="12"/>
  <c r="C323" i="12"/>
  <c r="B323" i="12"/>
  <c r="A323" i="12"/>
  <c r="F322" i="12"/>
  <c r="G322" i="12" s="1"/>
  <c r="E322" i="12"/>
  <c r="H322" i="12" s="1"/>
  <c r="D322" i="12"/>
  <c r="C322" i="12"/>
  <c r="B322" i="12"/>
  <c r="A322" i="12"/>
  <c r="F321" i="12"/>
  <c r="G321" i="12" s="1"/>
  <c r="E321" i="12"/>
  <c r="H321" i="12" s="1"/>
  <c r="D321" i="12"/>
  <c r="I321" i="12" s="1"/>
  <c r="C321" i="12"/>
  <c r="B321" i="12"/>
  <c r="A321" i="12"/>
  <c r="F320" i="12"/>
  <c r="G320" i="12" s="1"/>
  <c r="E320" i="12"/>
  <c r="D320" i="12"/>
  <c r="C320" i="12"/>
  <c r="B320" i="12"/>
  <c r="A320" i="12"/>
  <c r="B319" i="12"/>
  <c r="A319" i="12"/>
  <c r="F318" i="12"/>
  <c r="G318" i="12" s="1"/>
  <c r="E318" i="12"/>
  <c r="H318" i="12" s="1"/>
  <c r="D318" i="12"/>
  <c r="C318" i="12"/>
  <c r="B318" i="12"/>
  <c r="A318" i="12"/>
  <c r="F317" i="12"/>
  <c r="G317" i="12" s="1"/>
  <c r="E317" i="12"/>
  <c r="H317" i="12" s="1"/>
  <c r="D317" i="12"/>
  <c r="C317" i="12"/>
  <c r="B317" i="12"/>
  <c r="A317" i="12"/>
  <c r="F316" i="12"/>
  <c r="G316" i="12" s="1"/>
  <c r="E316" i="12"/>
  <c r="H316" i="12" s="1"/>
  <c r="D316" i="12"/>
  <c r="C316" i="12"/>
  <c r="B316" i="12"/>
  <c r="A316" i="12"/>
  <c r="F315" i="12"/>
  <c r="G315" i="12" s="1"/>
  <c r="E315" i="12"/>
  <c r="D315" i="12"/>
  <c r="J315" i="12" s="1"/>
  <c r="C315" i="12"/>
  <c r="B315" i="12"/>
  <c r="A315" i="12"/>
  <c r="G314" i="12"/>
  <c r="F314" i="12"/>
  <c r="E314" i="12"/>
  <c r="D314" i="12"/>
  <c r="J314" i="12" s="1"/>
  <c r="C314" i="12"/>
  <c r="B314" i="12"/>
  <c r="A314" i="12"/>
  <c r="F313" i="12"/>
  <c r="G313" i="12" s="1"/>
  <c r="E313" i="12"/>
  <c r="D313" i="12"/>
  <c r="C313" i="12"/>
  <c r="B313" i="12"/>
  <c r="A313" i="12"/>
  <c r="F312" i="12"/>
  <c r="G312" i="12" s="1"/>
  <c r="E312" i="12"/>
  <c r="H312" i="12" s="1"/>
  <c r="D312" i="12"/>
  <c r="C312" i="12"/>
  <c r="B312" i="12"/>
  <c r="A312" i="12"/>
  <c r="F311" i="12"/>
  <c r="G311" i="12" s="1"/>
  <c r="E311" i="12"/>
  <c r="D311" i="12"/>
  <c r="H311" i="12" s="1"/>
  <c r="C311" i="12"/>
  <c r="B311" i="12"/>
  <c r="A311" i="12"/>
  <c r="G310" i="12"/>
  <c r="F310" i="12"/>
  <c r="E310" i="12"/>
  <c r="D310" i="12"/>
  <c r="I310" i="12" s="1"/>
  <c r="C310" i="12"/>
  <c r="B310" i="12"/>
  <c r="A310" i="12"/>
  <c r="H309" i="12"/>
  <c r="F309" i="12"/>
  <c r="G309" i="12" s="1"/>
  <c r="E309" i="12"/>
  <c r="D309" i="12"/>
  <c r="C309" i="12"/>
  <c r="B309" i="12"/>
  <c r="A309" i="12"/>
  <c r="G308" i="12"/>
  <c r="F308" i="12"/>
  <c r="E308" i="12"/>
  <c r="H308" i="12" s="1"/>
  <c r="D308" i="12"/>
  <c r="I308" i="12" s="1"/>
  <c r="C308" i="12"/>
  <c r="B308" i="12"/>
  <c r="A308" i="12"/>
  <c r="F307" i="12"/>
  <c r="G307" i="12" s="1"/>
  <c r="E307" i="12"/>
  <c r="H307" i="12" s="1"/>
  <c r="D307" i="12"/>
  <c r="C307" i="12"/>
  <c r="B307" i="12"/>
  <c r="A307" i="12"/>
  <c r="F306" i="12"/>
  <c r="G306" i="12" s="1"/>
  <c r="E306" i="12"/>
  <c r="H306" i="12" s="1"/>
  <c r="D306" i="12"/>
  <c r="C306" i="12"/>
  <c r="B306" i="12"/>
  <c r="A306" i="12"/>
  <c r="F305" i="12"/>
  <c r="G305" i="12" s="1"/>
  <c r="E305" i="12"/>
  <c r="D305" i="12"/>
  <c r="J305" i="12" s="1"/>
  <c r="C305" i="12"/>
  <c r="B305" i="12"/>
  <c r="A305" i="12"/>
  <c r="G304" i="12"/>
  <c r="F304" i="12"/>
  <c r="E304" i="12"/>
  <c r="H304" i="12" s="1"/>
  <c r="K304" i="12" s="1"/>
  <c r="D304" i="12"/>
  <c r="J304" i="12" s="1"/>
  <c r="C304" i="12"/>
  <c r="B304" i="12"/>
  <c r="A304" i="12"/>
  <c r="F303" i="12"/>
  <c r="G303" i="12" s="1"/>
  <c r="J303" i="12" s="1"/>
  <c r="K303" i="12" s="1"/>
  <c r="E303" i="12"/>
  <c r="H303" i="12" s="1"/>
  <c r="D303" i="12"/>
  <c r="C303" i="12"/>
  <c r="B303" i="12"/>
  <c r="A303" i="12"/>
  <c r="F302" i="12"/>
  <c r="E302" i="12"/>
  <c r="H302" i="12" s="1"/>
  <c r="D302" i="12"/>
  <c r="C302" i="12"/>
  <c r="B302" i="12"/>
  <c r="A302" i="12"/>
  <c r="G301" i="12"/>
  <c r="F301" i="12"/>
  <c r="E301" i="12"/>
  <c r="D301" i="12"/>
  <c r="J301" i="12" s="1"/>
  <c r="C301" i="12"/>
  <c r="B301" i="12"/>
  <c r="A301" i="12"/>
  <c r="G300" i="12"/>
  <c r="F300" i="12"/>
  <c r="E300" i="12"/>
  <c r="D300" i="12"/>
  <c r="C300" i="12"/>
  <c r="B300" i="12"/>
  <c r="A300" i="12"/>
  <c r="B299" i="12"/>
  <c r="A299" i="12"/>
  <c r="G298" i="12"/>
  <c r="F298" i="12"/>
  <c r="E298" i="12"/>
  <c r="D298" i="12"/>
  <c r="J298" i="12" s="1"/>
  <c r="C298" i="12"/>
  <c r="B298" i="12"/>
  <c r="A298" i="12"/>
  <c r="G297" i="12"/>
  <c r="F297" i="12"/>
  <c r="E297" i="12"/>
  <c r="D297" i="12"/>
  <c r="C297" i="12"/>
  <c r="B297" i="12"/>
  <c r="A297" i="12"/>
  <c r="F296" i="12"/>
  <c r="E296" i="12"/>
  <c r="H296" i="12" s="1"/>
  <c r="D296" i="12"/>
  <c r="C296" i="12"/>
  <c r="B296" i="12"/>
  <c r="A296" i="12"/>
  <c r="F295" i="12"/>
  <c r="G295" i="12" s="1"/>
  <c r="J295" i="12" s="1"/>
  <c r="E295" i="12"/>
  <c r="H295" i="12" s="1"/>
  <c r="D295" i="12"/>
  <c r="C295" i="12"/>
  <c r="B295" i="12"/>
  <c r="A295" i="12"/>
  <c r="F294" i="12"/>
  <c r="G294" i="12" s="1"/>
  <c r="E294" i="12"/>
  <c r="D294" i="12"/>
  <c r="C294" i="12"/>
  <c r="B294" i="12"/>
  <c r="A294" i="12"/>
  <c r="G293" i="12"/>
  <c r="F293" i="12"/>
  <c r="E293" i="12"/>
  <c r="D293" i="12"/>
  <c r="C293" i="12"/>
  <c r="B293" i="12"/>
  <c r="A293" i="12"/>
  <c r="B292" i="12"/>
  <c r="A292" i="12"/>
  <c r="F291" i="12"/>
  <c r="G291" i="12" s="1"/>
  <c r="E291" i="12"/>
  <c r="D291" i="12"/>
  <c r="C291" i="12"/>
  <c r="B291" i="12"/>
  <c r="A291" i="12"/>
  <c r="G290" i="12"/>
  <c r="F290" i="12"/>
  <c r="E290" i="12"/>
  <c r="D290" i="12"/>
  <c r="C290" i="12"/>
  <c r="B290" i="12"/>
  <c r="A290" i="12"/>
  <c r="F289" i="12"/>
  <c r="G289" i="12" s="1"/>
  <c r="J289" i="12" s="1"/>
  <c r="K289" i="12" s="1"/>
  <c r="E289" i="12"/>
  <c r="H289" i="12" s="1"/>
  <c r="D289" i="12"/>
  <c r="C289" i="12"/>
  <c r="B289" i="12"/>
  <c r="A289" i="12"/>
  <c r="F288" i="12"/>
  <c r="G288" i="12" s="1"/>
  <c r="E288" i="12"/>
  <c r="H288" i="12" s="1"/>
  <c r="D288" i="12"/>
  <c r="J288" i="12" s="1"/>
  <c r="K288" i="12" s="1"/>
  <c r="C288" i="12"/>
  <c r="B288" i="12"/>
  <c r="A288" i="12"/>
  <c r="F287" i="12"/>
  <c r="G287" i="12" s="1"/>
  <c r="E287" i="12"/>
  <c r="D287" i="12"/>
  <c r="J287" i="12" s="1"/>
  <c r="C287" i="12"/>
  <c r="B287" i="12"/>
  <c r="A287" i="12"/>
  <c r="G286" i="12"/>
  <c r="F286" i="12"/>
  <c r="E286" i="12"/>
  <c r="D286" i="12"/>
  <c r="C286" i="12"/>
  <c r="B286" i="12"/>
  <c r="A286" i="12"/>
  <c r="F285" i="12"/>
  <c r="E285" i="12"/>
  <c r="H285" i="12" s="1"/>
  <c r="D285" i="12"/>
  <c r="C285" i="12"/>
  <c r="B285" i="12"/>
  <c r="A285" i="12"/>
  <c r="F284" i="12"/>
  <c r="E284" i="12"/>
  <c r="H284" i="12" s="1"/>
  <c r="D284" i="12"/>
  <c r="C284" i="12"/>
  <c r="B284" i="12"/>
  <c r="A284" i="12"/>
  <c r="F283" i="12"/>
  <c r="G283" i="12" s="1"/>
  <c r="E283" i="12"/>
  <c r="D283" i="12"/>
  <c r="C283" i="12"/>
  <c r="B283" i="12"/>
  <c r="A283" i="12"/>
  <c r="G282" i="12"/>
  <c r="F282" i="12"/>
  <c r="E282" i="12"/>
  <c r="D282" i="12"/>
  <c r="C282" i="12"/>
  <c r="B282" i="12"/>
  <c r="A282" i="12"/>
  <c r="F281" i="12"/>
  <c r="I281" i="12" s="1"/>
  <c r="E281" i="12"/>
  <c r="H281" i="12" s="1"/>
  <c r="D281" i="12"/>
  <c r="C281" i="12"/>
  <c r="B281" i="12"/>
  <c r="A281" i="12"/>
  <c r="F280" i="12"/>
  <c r="G280" i="12" s="1"/>
  <c r="E280" i="12"/>
  <c r="H280" i="12" s="1"/>
  <c r="D280" i="12"/>
  <c r="C280" i="12"/>
  <c r="B280" i="12"/>
  <c r="A280" i="12"/>
  <c r="B279" i="12"/>
  <c r="A279" i="12"/>
  <c r="F278" i="12"/>
  <c r="E278" i="12"/>
  <c r="H278" i="12" s="1"/>
  <c r="D278" i="12"/>
  <c r="C278" i="12"/>
  <c r="B278" i="12"/>
  <c r="A278" i="12"/>
  <c r="F277" i="12"/>
  <c r="G277" i="12" s="1"/>
  <c r="E277" i="12"/>
  <c r="D277" i="12"/>
  <c r="J277" i="12" s="1"/>
  <c r="C277" i="12"/>
  <c r="B277" i="12"/>
  <c r="A277" i="12"/>
  <c r="G276" i="12"/>
  <c r="F276" i="12"/>
  <c r="E276" i="12"/>
  <c r="D276" i="12"/>
  <c r="J276" i="12" s="1"/>
  <c r="C276" i="12"/>
  <c r="B276" i="12"/>
  <c r="A276" i="12"/>
  <c r="G275" i="12"/>
  <c r="F275" i="12"/>
  <c r="E275" i="12"/>
  <c r="D275" i="12"/>
  <c r="C275" i="12"/>
  <c r="B275" i="12"/>
  <c r="A275" i="12"/>
  <c r="F274" i="12"/>
  <c r="E274" i="12"/>
  <c r="H274" i="12" s="1"/>
  <c r="D274" i="12"/>
  <c r="C274" i="12"/>
  <c r="B274" i="12"/>
  <c r="A274" i="12"/>
  <c r="F273" i="12"/>
  <c r="G273" i="12" s="1"/>
  <c r="E273" i="12"/>
  <c r="H273" i="12" s="1"/>
  <c r="D273" i="12"/>
  <c r="C273" i="12"/>
  <c r="B273" i="12"/>
  <c r="A273" i="12"/>
  <c r="G272" i="12"/>
  <c r="F272" i="12"/>
  <c r="E272" i="12"/>
  <c r="D272" i="12"/>
  <c r="C272" i="12"/>
  <c r="B272" i="12"/>
  <c r="A272" i="12"/>
  <c r="G271" i="12"/>
  <c r="F271" i="12"/>
  <c r="E271" i="12"/>
  <c r="D271" i="12"/>
  <c r="C271" i="12"/>
  <c r="B271" i="12"/>
  <c r="A271" i="12"/>
  <c r="F270" i="12"/>
  <c r="E270" i="12"/>
  <c r="H270" i="12" s="1"/>
  <c r="D270" i="12"/>
  <c r="C270" i="12"/>
  <c r="B270" i="12"/>
  <c r="A270" i="12"/>
  <c r="F269" i="12"/>
  <c r="E269" i="12"/>
  <c r="D269" i="12"/>
  <c r="C269" i="12"/>
  <c r="B269" i="12"/>
  <c r="A269" i="12"/>
  <c r="G268" i="12"/>
  <c r="F268" i="12"/>
  <c r="E268" i="12"/>
  <c r="D268" i="12"/>
  <c r="C268" i="12"/>
  <c r="B268" i="12"/>
  <c r="A268" i="12"/>
  <c r="F267" i="12"/>
  <c r="G267" i="12" s="1"/>
  <c r="E267" i="12"/>
  <c r="D267" i="12"/>
  <c r="C267" i="12"/>
  <c r="B267" i="12"/>
  <c r="A267" i="12"/>
  <c r="F266" i="12"/>
  <c r="E266" i="12"/>
  <c r="D266" i="12"/>
  <c r="C266" i="12"/>
  <c r="B266" i="12"/>
  <c r="A266" i="12"/>
  <c r="F265" i="12"/>
  <c r="G265" i="12" s="1"/>
  <c r="J265" i="12" s="1"/>
  <c r="K265" i="12" s="1"/>
  <c r="E265" i="12"/>
  <c r="H265" i="12" s="1"/>
  <c r="D265" i="12"/>
  <c r="C265" i="12"/>
  <c r="B265" i="12"/>
  <c r="A265" i="12"/>
  <c r="G264" i="12"/>
  <c r="F264" i="12"/>
  <c r="E264" i="12"/>
  <c r="D264" i="12"/>
  <c r="J264" i="12" s="1"/>
  <c r="C264" i="12"/>
  <c r="B264" i="12"/>
  <c r="A264" i="12"/>
  <c r="G263" i="12"/>
  <c r="F263" i="12"/>
  <c r="E263" i="12"/>
  <c r="D263" i="12"/>
  <c r="C263" i="12"/>
  <c r="B263" i="12"/>
  <c r="A263" i="12"/>
  <c r="F262" i="12"/>
  <c r="I262" i="12" s="1"/>
  <c r="E262" i="12"/>
  <c r="H262" i="12" s="1"/>
  <c r="D262" i="12"/>
  <c r="C262" i="12"/>
  <c r="B262" i="12"/>
  <c r="A262" i="12"/>
  <c r="F261" i="12"/>
  <c r="G261" i="12" s="1"/>
  <c r="E261" i="12"/>
  <c r="H261" i="12" s="1"/>
  <c r="D261" i="12"/>
  <c r="J261" i="12" s="1"/>
  <c r="K261" i="12" s="1"/>
  <c r="C261" i="12"/>
  <c r="B261" i="12"/>
  <c r="A261" i="12"/>
  <c r="G260" i="12"/>
  <c r="F260" i="12"/>
  <c r="E260" i="12"/>
  <c r="H260" i="12" s="1"/>
  <c r="D260" i="12"/>
  <c r="J260" i="12" s="1"/>
  <c r="C260" i="12"/>
  <c r="B260" i="12"/>
  <c r="A260" i="12"/>
  <c r="G259" i="12"/>
  <c r="F259" i="12"/>
  <c r="E259" i="12"/>
  <c r="D259" i="12"/>
  <c r="C259" i="12"/>
  <c r="B259" i="12"/>
  <c r="A259" i="12"/>
  <c r="B258" i="12"/>
  <c r="A258" i="12"/>
  <c r="F257" i="12"/>
  <c r="G257" i="12" s="1"/>
  <c r="E257" i="12"/>
  <c r="H257" i="12" s="1"/>
  <c r="D257" i="12"/>
  <c r="C257" i="12"/>
  <c r="B257" i="12"/>
  <c r="A257" i="12"/>
  <c r="G256" i="12"/>
  <c r="F256" i="12"/>
  <c r="E256" i="12"/>
  <c r="D256" i="12"/>
  <c r="C256" i="12"/>
  <c r="B256" i="12"/>
  <c r="A256" i="12"/>
  <c r="F255" i="12"/>
  <c r="G255" i="12" s="1"/>
  <c r="E255" i="12"/>
  <c r="D255" i="12"/>
  <c r="I255" i="12" s="1"/>
  <c r="C255" i="12"/>
  <c r="B255" i="12"/>
  <c r="A255" i="12"/>
  <c r="F254" i="12"/>
  <c r="G254" i="12" s="1"/>
  <c r="J254" i="12" s="1"/>
  <c r="E254" i="12"/>
  <c r="D254" i="12"/>
  <c r="C254" i="12"/>
  <c r="B254" i="12"/>
  <c r="A254" i="12"/>
  <c r="I253" i="12"/>
  <c r="F253" i="12"/>
  <c r="G253" i="12" s="1"/>
  <c r="J253" i="12" s="1"/>
  <c r="E253" i="12"/>
  <c r="H253" i="12" s="1"/>
  <c r="D253" i="12"/>
  <c r="C253" i="12"/>
  <c r="B253" i="12"/>
  <c r="A253" i="12"/>
  <c r="F252" i="12"/>
  <c r="G252" i="12" s="1"/>
  <c r="E252" i="12"/>
  <c r="D252" i="12"/>
  <c r="C252" i="12"/>
  <c r="B252" i="12"/>
  <c r="A252" i="12"/>
  <c r="F251" i="12"/>
  <c r="G251" i="12" s="1"/>
  <c r="E251" i="12"/>
  <c r="D251" i="12"/>
  <c r="C251" i="12"/>
  <c r="B251" i="12"/>
  <c r="A251" i="12"/>
  <c r="J250" i="12"/>
  <c r="F250" i="12"/>
  <c r="G250" i="12" s="1"/>
  <c r="E250" i="12"/>
  <c r="D250" i="12"/>
  <c r="C250" i="12"/>
  <c r="B250" i="12"/>
  <c r="A250" i="12"/>
  <c r="F249" i="12"/>
  <c r="G249" i="12" s="1"/>
  <c r="E249" i="12"/>
  <c r="D249" i="12"/>
  <c r="I249" i="12" s="1"/>
  <c r="C249" i="12"/>
  <c r="B249" i="12"/>
  <c r="A249" i="12"/>
  <c r="F248" i="12"/>
  <c r="G248" i="12" s="1"/>
  <c r="E248" i="12"/>
  <c r="D248" i="12"/>
  <c r="H248" i="12" s="1"/>
  <c r="C248" i="12"/>
  <c r="B248" i="12"/>
  <c r="A248" i="12"/>
  <c r="G247" i="12"/>
  <c r="F247" i="12"/>
  <c r="E247" i="12"/>
  <c r="D247" i="12"/>
  <c r="C247" i="12"/>
  <c r="B247" i="12"/>
  <c r="A247" i="12"/>
  <c r="F246" i="12"/>
  <c r="G246" i="12" s="1"/>
  <c r="E246" i="12"/>
  <c r="D246" i="12"/>
  <c r="C246" i="12"/>
  <c r="B246" i="12"/>
  <c r="A246" i="12"/>
  <c r="I245" i="12"/>
  <c r="F245" i="12"/>
  <c r="G245" i="12" s="1"/>
  <c r="E245" i="12"/>
  <c r="H245" i="12" s="1"/>
  <c r="D245" i="12"/>
  <c r="C245" i="12"/>
  <c r="B245" i="12"/>
  <c r="A245" i="12"/>
  <c r="F244" i="12"/>
  <c r="G244" i="12" s="1"/>
  <c r="E244" i="12"/>
  <c r="D244" i="12"/>
  <c r="C244" i="12"/>
  <c r="B244" i="12"/>
  <c r="A244" i="12"/>
  <c r="F243" i="12"/>
  <c r="G243" i="12" s="1"/>
  <c r="E243" i="12"/>
  <c r="D243" i="12"/>
  <c r="C243" i="12"/>
  <c r="B243" i="12"/>
  <c r="A243" i="12"/>
  <c r="J242" i="12"/>
  <c r="F242" i="12"/>
  <c r="G242" i="12" s="1"/>
  <c r="E242" i="12"/>
  <c r="D242" i="12"/>
  <c r="I242" i="12" s="1"/>
  <c r="C242" i="12"/>
  <c r="B242" i="12"/>
  <c r="A242" i="12"/>
  <c r="F241" i="12"/>
  <c r="G241" i="12" s="1"/>
  <c r="J241" i="12" s="1"/>
  <c r="E241" i="12"/>
  <c r="D241" i="12"/>
  <c r="I241" i="12" s="1"/>
  <c r="C241" i="12"/>
  <c r="B241" i="12"/>
  <c r="A241" i="12"/>
  <c r="I240" i="12"/>
  <c r="F240" i="12"/>
  <c r="G240" i="12" s="1"/>
  <c r="E240" i="12"/>
  <c r="D240" i="12"/>
  <c r="C240" i="12"/>
  <c r="B240" i="12"/>
  <c r="A240" i="12"/>
  <c r="F239" i="12"/>
  <c r="G239" i="12" s="1"/>
  <c r="E239" i="12"/>
  <c r="D239" i="12"/>
  <c r="C239" i="12"/>
  <c r="B239" i="12"/>
  <c r="A239" i="12"/>
  <c r="F238" i="12"/>
  <c r="G238" i="12" s="1"/>
  <c r="J238" i="12" s="1"/>
  <c r="E238" i="12"/>
  <c r="D238" i="12"/>
  <c r="C238" i="12"/>
  <c r="B238" i="12"/>
  <c r="A238" i="12"/>
  <c r="F237" i="12"/>
  <c r="E237" i="12"/>
  <c r="D237" i="12"/>
  <c r="C237" i="12"/>
  <c r="B237" i="12"/>
  <c r="A237" i="12"/>
  <c r="F236" i="12"/>
  <c r="G236" i="12" s="1"/>
  <c r="E236" i="12"/>
  <c r="D236" i="12"/>
  <c r="C236" i="12"/>
  <c r="B236" i="12"/>
  <c r="A236" i="12"/>
  <c r="G235" i="12"/>
  <c r="F235" i="12"/>
  <c r="E235" i="12"/>
  <c r="D235" i="12"/>
  <c r="C235" i="12"/>
  <c r="B235" i="12"/>
  <c r="A235" i="12"/>
  <c r="F234" i="12"/>
  <c r="G234" i="12" s="1"/>
  <c r="J234" i="12" s="1"/>
  <c r="E234" i="12"/>
  <c r="D234" i="12"/>
  <c r="I234" i="12" s="1"/>
  <c r="C234" i="12"/>
  <c r="B234" i="12"/>
  <c r="A234" i="12"/>
  <c r="F233" i="12"/>
  <c r="G233" i="12" s="1"/>
  <c r="E233" i="12"/>
  <c r="D233" i="12"/>
  <c r="C233" i="12"/>
  <c r="B233" i="12"/>
  <c r="A233" i="12"/>
  <c r="F232" i="12"/>
  <c r="G232" i="12" s="1"/>
  <c r="E232" i="12"/>
  <c r="D232" i="12"/>
  <c r="C232" i="12"/>
  <c r="B232" i="12"/>
  <c r="A232" i="12"/>
  <c r="G231" i="12"/>
  <c r="F231" i="12"/>
  <c r="E231" i="12"/>
  <c r="D231" i="12"/>
  <c r="C231" i="12"/>
  <c r="B231" i="12"/>
  <c r="A231" i="12"/>
  <c r="F230" i="12"/>
  <c r="G230" i="12" s="1"/>
  <c r="E230" i="12"/>
  <c r="D230" i="12"/>
  <c r="C230" i="12"/>
  <c r="B230" i="12"/>
  <c r="A230" i="12"/>
  <c r="F229" i="12"/>
  <c r="E229" i="12"/>
  <c r="H229" i="12" s="1"/>
  <c r="D229" i="12"/>
  <c r="C229" i="12"/>
  <c r="B229" i="12"/>
  <c r="A229" i="12"/>
  <c r="F228" i="12"/>
  <c r="G228" i="12" s="1"/>
  <c r="E228" i="12"/>
  <c r="H228" i="12" s="1"/>
  <c r="D228" i="12"/>
  <c r="C228" i="12"/>
  <c r="B228" i="12"/>
  <c r="A228" i="12"/>
  <c r="F227" i="12"/>
  <c r="G227" i="12" s="1"/>
  <c r="E227" i="12"/>
  <c r="D227" i="12"/>
  <c r="C227" i="12"/>
  <c r="B227" i="12"/>
  <c r="A227" i="12"/>
  <c r="F226" i="12"/>
  <c r="G226" i="12" s="1"/>
  <c r="J226" i="12" s="1"/>
  <c r="E226" i="12"/>
  <c r="D226" i="12"/>
  <c r="C226" i="12"/>
  <c r="B226" i="12"/>
  <c r="A226" i="12"/>
  <c r="J225" i="12"/>
  <c r="F225" i="12"/>
  <c r="G225" i="12" s="1"/>
  <c r="E225" i="12"/>
  <c r="H225" i="12" s="1"/>
  <c r="D225" i="12"/>
  <c r="C225" i="12"/>
  <c r="B225" i="12"/>
  <c r="A225" i="12"/>
  <c r="F224" i="12"/>
  <c r="G224" i="12" s="1"/>
  <c r="E224" i="12"/>
  <c r="D224" i="12"/>
  <c r="I224" i="12" s="1"/>
  <c r="C224" i="12"/>
  <c r="B224" i="12"/>
  <c r="A224" i="12"/>
  <c r="F223" i="12"/>
  <c r="G223" i="12" s="1"/>
  <c r="E223" i="12"/>
  <c r="D223" i="12"/>
  <c r="C223" i="12"/>
  <c r="B223" i="12"/>
  <c r="A223" i="12"/>
  <c r="F222" i="12"/>
  <c r="G222" i="12" s="1"/>
  <c r="E222" i="12"/>
  <c r="D222" i="12"/>
  <c r="C222" i="12"/>
  <c r="B222" i="12"/>
  <c r="A222" i="12"/>
  <c r="F221" i="12"/>
  <c r="E221" i="12"/>
  <c r="D221" i="12"/>
  <c r="C221" i="12"/>
  <c r="B221" i="12"/>
  <c r="A221" i="12"/>
  <c r="F220" i="12"/>
  <c r="G220" i="12" s="1"/>
  <c r="E220" i="12"/>
  <c r="D220" i="12"/>
  <c r="C220" i="12"/>
  <c r="B220" i="12"/>
  <c r="A220" i="12"/>
  <c r="G219" i="12"/>
  <c r="F219" i="12"/>
  <c r="E219" i="12"/>
  <c r="D219" i="12"/>
  <c r="C219" i="12"/>
  <c r="B219" i="12"/>
  <c r="A219" i="12"/>
  <c r="F218" i="12"/>
  <c r="G218" i="12" s="1"/>
  <c r="J218" i="12" s="1"/>
  <c r="E218" i="12"/>
  <c r="D218" i="12"/>
  <c r="I218" i="12" s="1"/>
  <c r="C218" i="12"/>
  <c r="B218" i="12"/>
  <c r="A218" i="12"/>
  <c r="F217" i="12"/>
  <c r="G217" i="12" s="1"/>
  <c r="E217" i="12"/>
  <c r="D217" i="12"/>
  <c r="J217" i="12" s="1"/>
  <c r="C217" i="12"/>
  <c r="B217" i="12"/>
  <c r="A217" i="12"/>
  <c r="F216" i="12"/>
  <c r="G216" i="12" s="1"/>
  <c r="E216" i="12"/>
  <c r="D216" i="12"/>
  <c r="C216" i="12"/>
  <c r="B216" i="12"/>
  <c r="A216" i="12"/>
  <c r="G215" i="12"/>
  <c r="F215" i="12"/>
  <c r="E215" i="12"/>
  <c r="D215" i="12"/>
  <c r="C215" i="12"/>
  <c r="B215" i="12"/>
  <c r="A215" i="12"/>
  <c r="F214" i="12"/>
  <c r="G214" i="12" s="1"/>
  <c r="E214" i="12"/>
  <c r="D214" i="12"/>
  <c r="C214" i="12"/>
  <c r="B214" i="12"/>
  <c r="A214" i="12"/>
  <c r="F213" i="12"/>
  <c r="E213" i="12"/>
  <c r="H213" i="12" s="1"/>
  <c r="D213" i="12"/>
  <c r="C213" i="12"/>
  <c r="B213" i="12"/>
  <c r="A213" i="12"/>
  <c r="F212" i="12"/>
  <c r="G212" i="12" s="1"/>
  <c r="E212" i="12"/>
  <c r="H212" i="12" s="1"/>
  <c r="D212" i="12"/>
  <c r="C212" i="12"/>
  <c r="B212" i="12"/>
  <c r="A212" i="12"/>
  <c r="F211" i="12"/>
  <c r="G211" i="12" s="1"/>
  <c r="E211" i="12"/>
  <c r="D211" i="12"/>
  <c r="C211" i="12"/>
  <c r="B211" i="12"/>
  <c r="A211" i="12"/>
  <c r="F210" i="12"/>
  <c r="G210" i="12" s="1"/>
  <c r="E210" i="12"/>
  <c r="D210" i="12"/>
  <c r="I210" i="12" s="1"/>
  <c r="C210" i="12"/>
  <c r="B210" i="12"/>
  <c r="A210" i="12"/>
  <c r="J209" i="12"/>
  <c r="K209" i="12" s="1"/>
  <c r="F209" i="12"/>
  <c r="G209" i="12" s="1"/>
  <c r="E209" i="12"/>
  <c r="H209" i="12" s="1"/>
  <c r="D209" i="12"/>
  <c r="C209" i="12"/>
  <c r="B209" i="12"/>
  <c r="A209" i="12"/>
  <c r="F208" i="12"/>
  <c r="G208" i="12" s="1"/>
  <c r="E208" i="12"/>
  <c r="D208" i="12"/>
  <c r="I208" i="12" s="1"/>
  <c r="C208" i="12"/>
  <c r="B208" i="12"/>
  <c r="A208" i="12"/>
  <c r="F207" i="12"/>
  <c r="G207" i="12" s="1"/>
  <c r="E207" i="12"/>
  <c r="D207" i="12"/>
  <c r="C207" i="12"/>
  <c r="B207" i="12"/>
  <c r="A207" i="12"/>
  <c r="B206" i="12"/>
  <c r="A206" i="12"/>
  <c r="F205" i="12"/>
  <c r="G205" i="12" s="1"/>
  <c r="E205" i="12"/>
  <c r="H205" i="12" s="1"/>
  <c r="D205" i="12"/>
  <c r="C205" i="12"/>
  <c r="B205" i="12"/>
  <c r="A205" i="12"/>
  <c r="F204" i="12"/>
  <c r="G204" i="12" s="1"/>
  <c r="E204" i="12"/>
  <c r="D204" i="12"/>
  <c r="C204" i="12"/>
  <c r="B204" i="12"/>
  <c r="A204" i="12"/>
  <c r="G203" i="12"/>
  <c r="J203" i="12" s="1"/>
  <c r="F203" i="12"/>
  <c r="E203" i="12"/>
  <c r="D203" i="12"/>
  <c r="C203" i="12"/>
  <c r="B203" i="12"/>
  <c r="A203" i="12"/>
  <c r="I202" i="12"/>
  <c r="F202" i="12"/>
  <c r="G202" i="12" s="1"/>
  <c r="E202" i="12"/>
  <c r="H202" i="12" s="1"/>
  <c r="D202" i="12"/>
  <c r="J202" i="12" s="1"/>
  <c r="C202" i="12"/>
  <c r="B202" i="12"/>
  <c r="A202" i="12"/>
  <c r="F201" i="12"/>
  <c r="G201" i="12" s="1"/>
  <c r="E201" i="12"/>
  <c r="H201" i="12" s="1"/>
  <c r="D201" i="12"/>
  <c r="J201" i="12" s="1"/>
  <c r="C201" i="12"/>
  <c r="B201" i="12"/>
  <c r="A201" i="12"/>
  <c r="B200" i="12"/>
  <c r="A200" i="12"/>
  <c r="F199" i="12"/>
  <c r="G199" i="12" s="1"/>
  <c r="J199" i="12" s="1"/>
  <c r="E199" i="12"/>
  <c r="D199" i="12"/>
  <c r="I199" i="12" s="1"/>
  <c r="C199" i="12"/>
  <c r="B199" i="12"/>
  <c r="A199" i="12"/>
  <c r="F198" i="12"/>
  <c r="G198" i="12" s="1"/>
  <c r="E198" i="12"/>
  <c r="H198" i="12" s="1"/>
  <c r="D198" i="12"/>
  <c r="C198" i="12"/>
  <c r="B198" i="12"/>
  <c r="A198" i="12"/>
  <c r="F197" i="12"/>
  <c r="G197" i="12" s="1"/>
  <c r="E197" i="12"/>
  <c r="D197" i="12"/>
  <c r="C197" i="12"/>
  <c r="B197" i="12"/>
  <c r="A197" i="12"/>
  <c r="J196" i="12"/>
  <c r="F196" i="12"/>
  <c r="G196" i="12" s="1"/>
  <c r="E196" i="12"/>
  <c r="D196" i="12"/>
  <c r="I196" i="12" s="1"/>
  <c r="C196" i="12"/>
  <c r="B196" i="12"/>
  <c r="A196" i="12"/>
  <c r="J195" i="12"/>
  <c r="F195" i="12"/>
  <c r="G195" i="12" s="1"/>
  <c r="E195" i="12"/>
  <c r="D195" i="12"/>
  <c r="I195" i="12" s="1"/>
  <c r="C195" i="12"/>
  <c r="B195" i="12"/>
  <c r="A195" i="12"/>
  <c r="F194" i="12"/>
  <c r="G194" i="12" s="1"/>
  <c r="E194" i="12"/>
  <c r="D194" i="12"/>
  <c r="I194" i="12" s="1"/>
  <c r="C194" i="12"/>
  <c r="B194" i="12"/>
  <c r="A194" i="12"/>
  <c r="G193" i="12"/>
  <c r="F193" i="12"/>
  <c r="E193" i="12"/>
  <c r="D193" i="12"/>
  <c r="C193" i="12"/>
  <c r="B193" i="12"/>
  <c r="A193" i="12"/>
  <c r="G192" i="12"/>
  <c r="F192" i="12"/>
  <c r="I192" i="12" s="1"/>
  <c r="E192" i="12"/>
  <c r="H192" i="12" s="1"/>
  <c r="D192" i="12"/>
  <c r="C192" i="12"/>
  <c r="B192" i="12"/>
  <c r="A192" i="12"/>
  <c r="I191" i="12"/>
  <c r="F191" i="12"/>
  <c r="G191" i="12" s="1"/>
  <c r="E191" i="12"/>
  <c r="H191" i="12" s="1"/>
  <c r="D191" i="12"/>
  <c r="J191" i="12" s="1"/>
  <c r="K191" i="12" s="1"/>
  <c r="C191" i="12"/>
  <c r="B191" i="12"/>
  <c r="A191" i="12"/>
  <c r="B190" i="12"/>
  <c r="A190" i="12"/>
  <c r="F189" i="12"/>
  <c r="E189" i="12"/>
  <c r="D189" i="12"/>
  <c r="C189" i="12"/>
  <c r="B189" i="12"/>
  <c r="A189" i="12"/>
  <c r="I188" i="12"/>
  <c r="F188" i="12"/>
  <c r="G188" i="12" s="1"/>
  <c r="J188" i="12" s="1"/>
  <c r="K188" i="12" s="1"/>
  <c r="E188" i="12"/>
  <c r="H188" i="12" s="1"/>
  <c r="D188" i="12"/>
  <c r="C188" i="12"/>
  <c r="B188" i="12"/>
  <c r="A188" i="12"/>
  <c r="F187" i="12"/>
  <c r="G187" i="12" s="1"/>
  <c r="E187" i="12"/>
  <c r="D187" i="12"/>
  <c r="C187" i="12"/>
  <c r="B187" i="12"/>
  <c r="A187" i="12"/>
  <c r="G186" i="12"/>
  <c r="F186" i="12"/>
  <c r="E186" i="12"/>
  <c r="D186" i="12"/>
  <c r="C186" i="12"/>
  <c r="B186" i="12"/>
  <c r="A186" i="12"/>
  <c r="F185" i="12"/>
  <c r="G185" i="12" s="1"/>
  <c r="J185" i="12" s="1"/>
  <c r="K185" i="12" s="1"/>
  <c r="E185" i="12"/>
  <c r="H185" i="12" s="1"/>
  <c r="D185" i="12"/>
  <c r="C185" i="12"/>
  <c r="B185" i="12"/>
  <c r="A185" i="12"/>
  <c r="F184" i="12"/>
  <c r="E184" i="12"/>
  <c r="H184" i="12" s="1"/>
  <c r="D184" i="12"/>
  <c r="C184" i="12"/>
  <c r="B184" i="12"/>
  <c r="A184" i="12"/>
  <c r="F183" i="12"/>
  <c r="G183" i="12" s="1"/>
  <c r="E183" i="12"/>
  <c r="H183" i="12" s="1"/>
  <c r="D183" i="12"/>
  <c r="C183" i="12"/>
  <c r="B183" i="12"/>
  <c r="A183" i="12"/>
  <c r="F182" i="12"/>
  <c r="G182" i="12" s="1"/>
  <c r="E182" i="12"/>
  <c r="D182" i="12"/>
  <c r="C182" i="12"/>
  <c r="B182" i="12"/>
  <c r="A182" i="12"/>
  <c r="F181" i="12"/>
  <c r="G181" i="12" s="1"/>
  <c r="E181" i="12"/>
  <c r="D181" i="12"/>
  <c r="C181" i="12"/>
  <c r="B181" i="12"/>
  <c r="A181" i="12"/>
  <c r="F180" i="12"/>
  <c r="G180" i="12" s="1"/>
  <c r="E180" i="12"/>
  <c r="H180" i="12" s="1"/>
  <c r="D180" i="12"/>
  <c r="C180" i="12"/>
  <c r="B180" i="12"/>
  <c r="A180" i="12"/>
  <c r="F179" i="12"/>
  <c r="G179" i="12" s="1"/>
  <c r="E179" i="12"/>
  <c r="D179" i="12"/>
  <c r="I179" i="12" s="1"/>
  <c r="C179" i="12"/>
  <c r="B179" i="12"/>
  <c r="A179" i="12"/>
  <c r="G178" i="12"/>
  <c r="F178" i="12"/>
  <c r="E178" i="12"/>
  <c r="D178" i="12"/>
  <c r="C178" i="12"/>
  <c r="B178" i="12"/>
  <c r="A178" i="12"/>
  <c r="F177" i="12"/>
  <c r="G177" i="12" s="1"/>
  <c r="J177" i="12" s="1"/>
  <c r="E177" i="12"/>
  <c r="D177" i="12"/>
  <c r="C177" i="12"/>
  <c r="B177" i="12"/>
  <c r="A177" i="12"/>
  <c r="F176" i="12"/>
  <c r="E176" i="12"/>
  <c r="D176" i="12"/>
  <c r="C176" i="12"/>
  <c r="B176" i="12"/>
  <c r="A176" i="12"/>
  <c r="F175" i="12"/>
  <c r="G175" i="12" s="1"/>
  <c r="E175" i="12"/>
  <c r="H175" i="12" s="1"/>
  <c r="D175" i="12"/>
  <c r="C175" i="12"/>
  <c r="B175" i="12"/>
  <c r="A175" i="12"/>
  <c r="G174" i="12"/>
  <c r="F174" i="12"/>
  <c r="E174" i="12"/>
  <c r="D174" i="12"/>
  <c r="C174" i="12"/>
  <c r="B174" i="12"/>
  <c r="A174" i="12"/>
  <c r="G173" i="12"/>
  <c r="F173" i="12"/>
  <c r="E173" i="12"/>
  <c r="D173" i="12"/>
  <c r="I173" i="12" s="1"/>
  <c r="C173" i="12"/>
  <c r="B173" i="12"/>
  <c r="A173" i="12"/>
  <c r="F172" i="12"/>
  <c r="G172" i="12" s="1"/>
  <c r="E172" i="12"/>
  <c r="H172" i="12" s="1"/>
  <c r="D172" i="12"/>
  <c r="J172" i="12" s="1"/>
  <c r="C172" i="12"/>
  <c r="B172" i="12"/>
  <c r="A172" i="12"/>
  <c r="B171" i="12"/>
  <c r="A171" i="12"/>
  <c r="F170" i="12"/>
  <c r="G170" i="12" s="1"/>
  <c r="J170" i="12" s="1"/>
  <c r="E170" i="12"/>
  <c r="D170" i="12"/>
  <c r="C170" i="12"/>
  <c r="B170" i="12"/>
  <c r="A170" i="12"/>
  <c r="F169" i="12"/>
  <c r="G169" i="12" s="1"/>
  <c r="E169" i="12"/>
  <c r="H169" i="12" s="1"/>
  <c r="D169" i="12"/>
  <c r="I169" i="12" s="1"/>
  <c r="C169" i="12"/>
  <c r="B169" i="12"/>
  <c r="A169" i="12"/>
  <c r="F168" i="12"/>
  <c r="G168" i="12" s="1"/>
  <c r="E168" i="12"/>
  <c r="D168" i="12"/>
  <c r="H168" i="12" s="1"/>
  <c r="C168" i="12"/>
  <c r="B168" i="12"/>
  <c r="A168" i="12"/>
  <c r="G167" i="12"/>
  <c r="F167" i="12"/>
  <c r="E167" i="12"/>
  <c r="D167" i="12"/>
  <c r="C167" i="12"/>
  <c r="B167" i="12"/>
  <c r="A167" i="12"/>
  <c r="G166" i="12"/>
  <c r="F166" i="12"/>
  <c r="E166" i="12"/>
  <c r="D166" i="12"/>
  <c r="C166" i="12"/>
  <c r="B166" i="12"/>
  <c r="A166" i="12"/>
  <c r="I165" i="12"/>
  <c r="F165" i="12"/>
  <c r="G165" i="12" s="1"/>
  <c r="E165" i="12"/>
  <c r="H165" i="12" s="1"/>
  <c r="D165" i="12"/>
  <c r="J165" i="12" s="1"/>
  <c r="C165" i="12"/>
  <c r="B165" i="12"/>
  <c r="A165" i="12"/>
  <c r="F164" i="12"/>
  <c r="G164" i="12" s="1"/>
  <c r="E164" i="12"/>
  <c r="H164" i="12" s="1"/>
  <c r="D164" i="12"/>
  <c r="J164" i="12" s="1"/>
  <c r="C164" i="12"/>
  <c r="B164" i="12"/>
  <c r="A164" i="12"/>
  <c r="G163" i="12"/>
  <c r="F163" i="12"/>
  <c r="E163" i="12"/>
  <c r="D163" i="12"/>
  <c r="C163" i="12"/>
  <c r="B163" i="12"/>
  <c r="A163" i="12"/>
  <c r="G162" i="12"/>
  <c r="J162" i="12" s="1"/>
  <c r="F162" i="12"/>
  <c r="E162" i="12"/>
  <c r="D162" i="12"/>
  <c r="C162" i="12"/>
  <c r="B162" i="12"/>
  <c r="A162" i="12"/>
  <c r="F161" i="12"/>
  <c r="G161" i="12" s="1"/>
  <c r="J161" i="12" s="1"/>
  <c r="K161" i="12" s="1"/>
  <c r="E161" i="12"/>
  <c r="H161" i="12" s="1"/>
  <c r="D161" i="12"/>
  <c r="I161" i="12" s="1"/>
  <c r="C161" i="12"/>
  <c r="B161" i="12"/>
  <c r="A161" i="12"/>
  <c r="F160" i="12"/>
  <c r="G160" i="12" s="1"/>
  <c r="E160" i="12"/>
  <c r="H160" i="12" s="1"/>
  <c r="D160" i="12"/>
  <c r="C160" i="12"/>
  <c r="B160" i="12"/>
  <c r="A160" i="12"/>
  <c r="G159" i="12"/>
  <c r="F159" i="12"/>
  <c r="E159" i="12"/>
  <c r="D159" i="12"/>
  <c r="C159" i="12"/>
  <c r="B159" i="12"/>
  <c r="A159" i="12"/>
  <c r="G158" i="12"/>
  <c r="F158" i="12"/>
  <c r="E158" i="12"/>
  <c r="H158" i="12" s="1"/>
  <c r="D158" i="12"/>
  <c r="J158" i="12" s="1"/>
  <c r="K158" i="12" s="1"/>
  <c r="C158" i="12"/>
  <c r="B158" i="12"/>
  <c r="A158" i="12"/>
  <c r="F157" i="12"/>
  <c r="G157" i="12" s="1"/>
  <c r="E157" i="12"/>
  <c r="H157" i="12" s="1"/>
  <c r="D157" i="12"/>
  <c r="J157" i="12" s="1"/>
  <c r="C157" i="12"/>
  <c r="B157" i="12"/>
  <c r="A157" i="12"/>
  <c r="G156" i="12"/>
  <c r="F156" i="12"/>
  <c r="E156" i="12"/>
  <c r="H156" i="12" s="1"/>
  <c r="D156" i="12"/>
  <c r="J156" i="12" s="1"/>
  <c r="C156" i="12"/>
  <c r="B156" i="12"/>
  <c r="A156" i="12"/>
  <c r="F155" i="12"/>
  <c r="G155" i="12" s="1"/>
  <c r="E155" i="12"/>
  <c r="D155" i="12"/>
  <c r="C155" i="12"/>
  <c r="B155" i="12"/>
  <c r="A155" i="12"/>
  <c r="F154" i="12"/>
  <c r="E154" i="12"/>
  <c r="D154" i="12"/>
  <c r="C154" i="12"/>
  <c r="B154" i="12"/>
  <c r="A154" i="12"/>
  <c r="B153" i="12"/>
  <c r="A153" i="12"/>
  <c r="G152" i="12"/>
  <c r="F152" i="12"/>
  <c r="E152" i="12"/>
  <c r="D152" i="12"/>
  <c r="C152" i="12"/>
  <c r="B152" i="12"/>
  <c r="A152" i="12"/>
  <c r="G151" i="12"/>
  <c r="F151" i="12"/>
  <c r="E151" i="12"/>
  <c r="H151" i="12" s="1"/>
  <c r="D151" i="12"/>
  <c r="J151" i="12" s="1"/>
  <c r="K151" i="12" s="1"/>
  <c r="C151" i="12"/>
  <c r="B151" i="12"/>
  <c r="A151" i="12"/>
  <c r="I150" i="12"/>
  <c r="F150" i="12"/>
  <c r="G150" i="12" s="1"/>
  <c r="E150" i="12"/>
  <c r="H150" i="12" s="1"/>
  <c r="D150" i="12"/>
  <c r="J150" i="12" s="1"/>
  <c r="C150" i="12"/>
  <c r="B150" i="12"/>
  <c r="A150" i="12"/>
  <c r="G149" i="12"/>
  <c r="F149" i="12"/>
  <c r="E149" i="12"/>
  <c r="H149" i="12" s="1"/>
  <c r="D149" i="12"/>
  <c r="C149" i="12"/>
  <c r="B149" i="12"/>
  <c r="A149" i="12"/>
  <c r="F148" i="12"/>
  <c r="G148" i="12" s="1"/>
  <c r="E148" i="12"/>
  <c r="D148" i="12"/>
  <c r="C148" i="12"/>
  <c r="B148" i="12"/>
  <c r="A148" i="12"/>
  <c r="G147" i="12"/>
  <c r="J147" i="12" s="1"/>
  <c r="K147" i="12" s="1"/>
  <c r="F147" i="12"/>
  <c r="E147" i="12"/>
  <c r="H147" i="12" s="1"/>
  <c r="D147" i="12"/>
  <c r="C147" i="12"/>
  <c r="B147" i="12"/>
  <c r="A147" i="12"/>
  <c r="F146" i="12"/>
  <c r="G146" i="12" s="1"/>
  <c r="E146" i="12"/>
  <c r="D146" i="12"/>
  <c r="I146" i="12" s="1"/>
  <c r="C146" i="12"/>
  <c r="B146" i="12"/>
  <c r="A146" i="12"/>
  <c r="F145" i="12"/>
  <c r="G145" i="12" s="1"/>
  <c r="E145" i="12"/>
  <c r="D145" i="12"/>
  <c r="C145" i="12"/>
  <c r="B145" i="12"/>
  <c r="A145" i="12"/>
  <c r="G144" i="12"/>
  <c r="J144" i="12" s="1"/>
  <c r="F144" i="12"/>
  <c r="E144" i="12"/>
  <c r="H144" i="12" s="1"/>
  <c r="D144" i="12"/>
  <c r="C144" i="12"/>
  <c r="B144" i="12"/>
  <c r="A144" i="12"/>
  <c r="F143" i="12"/>
  <c r="E143" i="12"/>
  <c r="H143" i="12" s="1"/>
  <c r="D143" i="12"/>
  <c r="C143" i="12"/>
  <c r="B143" i="12"/>
  <c r="A143" i="12"/>
  <c r="G142" i="12"/>
  <c r="F142" i="12"/>
  <c r="E142" i="12"/>
  <c r="H142" i="12" s="1"/>
  <c r="D142" i="12"/>
  <c r="C142" i="12"/>
  <c r="B142" i="12"/>
  <c r="A142" i="12"/>
  <c r="G141" i="12"/>
  <c r="F141" i="12"/>
  <c r="E141" i="12"/>
  <c r="H141" i="12" s="1"/>
  <c r="D141" i="12"/>
  <c r="C141" i="12"/>
  <c r="B141" i="12"/>
  <c r="A141" i="12"/>
  <c r="G140" i="12"/>
  <c r="J140" i="12" s="1"/>
  <c r="K140" i="12" s="1"/>
  <c r="F140" i="12"/>
  <c r="E140" i="12"/>
  <c r="H140" i="12" s="1"/>
  <c r="D140" i="12"/>
  <c r="C140" i="12"/>
  <c r="B140" i="12"/>
  <c r="A140" i="12"/>
  <c r="F139" i="12"/>
  <c r="E139" i="12"/>
  <c r="H139" i="12" s="1"/>
  <c r="D139" i="12"/>
  <c r="C139" i="12"/>
  <c r="B139" i="12"/>
  <c r="A139" i="12"/>
  <c r="G138" i="12"/>
  <c r="F138" i="12"/>
  <c r="E138" i="12"/>
  <c r="H138" i="12" s="1"/>
  <c r="D138" i="12"/>
  <c r="C138" i="12"/>
  <c r="B138" i="12"/>
  <c r="A138" i="12"/>
  <c r="F137" i="12"/>
  <c r="G137" i="12" s="1"/>
  <c r="E137" i="12"/>
  <c r="D137" i="12"/>
  <c r="C137" i="12"/>
  <c r="B137" i="12"/>
  <c r="A137" i="12"/>
  <c r="G136" i="12"/>
  <c r="J136" i="12" s="1"/>
  <c r="K136" i="12" s="1"/>
  <c r="F136" i="12"/>
  <c r="E136" i="12"/>
  <c r="H136" i="12" s="1"/>
  <c r="D136" i="12"/>
  <c r="C136" i="12"/>
  <c r="B136" i="12"/>
  <c r="A136" i="12"/>
  <c r="F135" i="12"/>
  <c r="E135" i="12"/>
  <c r="H135" i="12" s="1"/>
  <c r="D135" i="12"/>
  <c r="C135" i="12"/>
  <c r="B135" i="12"/>
  <c r="A135" i="12"/>
  <c r="G134" i="12"/>
  <c r="F134" i="12"/>
  <c r="E134" i="12"/>
  <c r="H134" i="12" s="1"/>
  <c r="D134" i="12"/>
  <c r="C134" i="12"/>
  <c r="B134" i="12"/>
  <c r="A134" i="12"/>
  <c r="F133" i="12"/>
  <c r="G133" i="12" s="1"/>
  <c r="E133" i="12"/>
  <c r="D133" i="12"/>
  <c r="C133" i="12"/>
  <c r="B133" i="12"/>
  <c r="A133" i="12"/>
  <c r="F132" i="12"/>
  <c r="E132" i="12"/>
  <c r="D132" i="12"/>
  <c r="C132" i="12"/>
  <c r="B132" i="12"/>
  <c r="A132" i="12"/>
  <c r="F131" i="12"/>
  <c r="E131" i="12"/>
  <c r="D131" i="12"/>
  <c r="C131" i="12"/>
  <c r="B131" i="12"/>
  <c r="A131" i="12"/>
  <c r="F130" i="12"/>
  <c r="G130" i="12" s="1"/>
  <c r="E130" i="12"/>
  <c r="D130" i="12"/>
  <c r="C130" i="12"/>
  <c r="B130" i="12"/>
  <c r="A130" i="12"/>
  <c r="B129" i="12"/>
  <c r="A129" i="12"/>
  <c r="F128" i="12"/>
  <c r="E128" i="12"/>
  <c r="D128" i="12"/>
  <c r="C128" i="12"/>
  <c r="B128" i="12"/>
  <c r="A128" i="12"/>
  <c r="F127" i="12"/>
  <c r="G127" i="12" s="1"/>
  <c r="E127" i="12"/>
  <c r="D127" i="12"/>
  <c r="C127" i="12"/>
  <c r="B127" i="12"/>
  <c r="A127" i="12"/>
  <c r="G126" i="12"/>
  <c r="F126" i="12"/>
  <c r="E126" i="12"/>
  <c r="D126" i="12"/>
  <c r="C126" i="12"/>
  <c r="B126" i="12"/>
  <c r="A126" i="12"/>
  <c r="G125" i="12"/>
  <c r="J125" i="12" s="1"/>
  <c r="F125" i="12"/>
  <c r="I125" i="12" s="1"/>
  <c r="E125" i="12"/>
  <c r="H125" i="12" s="1"/>
  <c r="D125" i="12"/>
  <c r="C125" i="12"/>
  <c r="B125" i="12"/>
  <c r="A125" i="12"/>
  <c r="F124" i="12"/>
  <c r="E124" i="12"/>
  <c r="H124" i="12" s="1"/>
  <c r="D124" i="12"/>
  <c r="C124" i="12"/>
  <c r="B124" i="12"/>
  <c r="A124" i="12"/>
  <c r="G123" i="12"/>
  <c r="F123" i="12"/>
  <c r="E123" i="12"/>
  <c r="H123" i="12" s="1"/>
  <c r="D123" i="12"/>
  <c r="C123" i="12"/>
  <c r="B123" i="12"/>
  <c r="A123" i="12"/>
  <c r="F122" i="12"/>
  <c r="G122" i="12" s="1"/>
  <c r="E122" i="12"/>
  <c r="D122" i="12"/>
  <c r="C122" i="12"/>
  <c r="B122" i="12"/>
  <c r="A122" i="12"/>
  <c r="G121" i="12"/>
  <c r="J121" i="12" s="1"/>
  <c r="K121" i="12" s="1"/>
  <c r="F121" i="12"/>
  <c r="I121" i="12" s="1"/>
  <c r="E121" i="12"/>
  <c r="H121" i="12" s="1"/>
  <c r="D121" i="12"/>
  <c r="C121" i="12"/>
  <c r="B121" i="12"/>
  <c r="A121" i="12"/>
  <c r="B120" i="12"/>
  <c r="A120" i="12"/>
  <c r="F119" i="12"/>
  <c r="G119" i="12" s="1"/>
  <c r="E119" i="12"/>
  <c r="D119" i="12"/>
  <c r="C119" i="12"/>
  <c r="B119" i="12"/>
  <c r="A119" i="12"/>
  <c r="G118" i="12"/>
  <c r="J118" i="12" s="1"/>
  <c r="F118" i="12"/>
  <c r="I118" i="12" s="1"/>
  <c r="E118" i="12"/>
  <c r="H118" i="12" s="1"/>
  <c r="D118" i="12"/>
  <c r="C118" i="12"/>
  <c r="B118" i="12"/>
  <c r="A118" i="12"/>
  <c r="F117" i="12"/>
  <c r="E117" i="12"/>
  <c r="H117" i="12" s="1"/>
  <c r="D117" i="12"/>
  <c r="C117" i="12"/>
  <c r="B117" i="12"/>
  <c r="A117" i="12"/>
  <c r="G116" i="12"/>
  <c r="F116" i="12"/>
  <c r="E116" i="12"/>
  <c r="H116" i="12" s="1"/>
  <c r="D116" i="12"/>
  <c r="C116" i="12"/>
  <c r="B116" i="12"/>
  <c r="A116" i="12"/>
  <c r="B115" i="12"/>
  <c r="A115" i="12"/>
  <c r="F114" i="12"/>
  <c r="E114" i="12"/>
  <c r="H114" i="12" s="1"/>
  <c r="D114" i="12"/>
  <c r="C114" i="12"/>
  <c r="B114" i="12"/>
  <c r="A114" i="12"/>
  <c r="F113" i="12"/>
  <c r="G113" i="12" s="1"/>
  <c r="E113" i="12"/>
  <c r="H113" i="12" s="1"/>
  <c r="D113" i="12"/>
  <c r="C113" i="12"/>
  <c r="B113" i="12"/>
  <c r="A113" i="12"/>
  <c r="F112" i="12"/>
  <c r="G112" i="12" s="1"/>
  <c r="E112" i="12"/>
  <c r="D112" i="12"/>
  <c r="C112" i="12"/>
  <c r="B112" i="12"/>
  <c r="A112" i="12"/>
  <c r="G111" i="12"/>
  <c r="F111" i="12"/>
  <c r="E111" i="12"/>
  <c r="D111" i="12"/>
  <c r="C111" i="12"/>
  <c r="B111" i="12"/>
  <c r="A111" i="12"/>
  <c r="F110" i="12"/>
  <c r="E110" i="12"/>
  <c r="H110" i="12" s="1"/>
  <c r="D110" i="12"/>
  <c r="C110" i="12"/>
  <c r="B110" i="12"/>
  <c r="A110" i="12"/>
  <c r="B109" i="12"/>
  <c r="A109" i="12"/>
  <c r="G108" i="12"/>
  <c r="F108" i="12"/>
  <c r="E108" i="12"/>
  <c r="D108" i="12"/>
  <c r="C108" i="12"/>
  <c r="B108" i="12"/>
  <c r="A108" i="12"/>
  <c r="F107" i="12"/>
  <c r="E107" i="12"/>
  <c r="H107" i="12" s="1"/>
  <c r="D107" i="12"/>
  <c r="C107" i="12"/>
  <c r="B107" i="12"/>
  <c r="A107" i="12"/>
  <c r="F106" i="12"/>
  <c r="G106" i="12" s="1"/>
  <c r="E106" i="12"/>
  <c r="H106" i="12" s="1"/>
  <c r="D106" i="12"/>
  <c r="C106" i="12"/>
  <c r="B106" i="12"/>
  <c r="A106" i="12"/>
  <c r="F105" i="12"/>
  <c r="G105" i="12" s="1"/>
  <c r="E105" i="12"/>
  <c r="D105" i="12"/>
  <c r="C105" i="12"/>
  <c r="B105" i="12"/>
  <c r="A105" i="12"/>
  <c r="B104" i="12"/>
  <c r="A104" i="12"/>
  <c r="G103" i="12"/>
  <c r="F103" i="12"/>
  <c r="E103" i="12"/>
  <c r="D103" i="12"/>
  <c r="C103" i="12"/>
  <c r="B103" i="12"/>
  <c r="A103" i="12"/>
  <c r="F102" i="12"/>
  <c r="G102" i="12" s="1"/>
  <c r="E102" i="12"/>
  <c r="D102" i="12"/>
  <c r="C102" i="12"/>
  <c r="B102" i="12"/>
  <c r="A102" i="12"/>
  <c r="F101" i="12"/>
  <c r="I101" i="12" s="1"/>
  <c r="E101" i="12"/>
  <c r="H101" i="12" s="1"/>
  <c r="D101" i="12"/>
  <c r="C101" i="12"/>
  <c r="B101" i="12"/>
  <c r="A101" i="12"/>
  <c r="F100" i="12"/>
  <c r="E100" i="12"/>
  <c r="D100" i="12"/>
  <c r="C100" i="12"/>
  <c r="B100" i="12"/>
  <c r="A100" i="12"/>
  <c r="B99" i="12"/>
  <c r="A99" i="12"/>
  <c r="F98" i="12"/>
  <c r="I98" i="12" s="1"/>
  <c r="E98" i="12"/>
  <c r="H98" i="12" s="1"/>
  <c r="D98" i="12"/>
  <c r="C98" i="12"/>
  <c r="B98" i="12"/>
  <c r="A98" i="12"/>
  <c r="F97" i="12"/>
  <c r="E97" i="12"/>
  <c r="D97" i="12"/>
  <c r="C97" i="12"/>
  <c r="B97" i="12"/>
  <c r="A97" i="12"/>
  <c r="G96" i="12"/>
  <c r="F96" i="12"/>
  <c r="E96" i="12"/>
  <c r="D96" i="12"/>
  <c r="C96" i="12"/>
  <c r="B96" i="12"/>
  <c r="A96" i="12"/>
  <c r="F95" i="12"/>
  <c r="G95" i="12" s="1"/>
  <c r="E95" i="12"/>
  <c r="D95" i="12"/>
  <c r="C95" i="12"/>
  <c r="B95" i="12"/>
  <c r="A95" i="12"/>
  <c r="B94" i="12"/>
  <c r="A94" i="12"/>
  <c r="G93" i="12"/>
  <c r="F93" i="12"/>
  <c r="E93" i="12"/>
  <c r="D93" i="12"/>
  <c r="J93" i="12" s="1"/>
  <c r="C93" i="12"/>
  <c r="B93" i="12"/>
  <c r="A93" i="12"/>
  <c r="G92" i="12"/>
  <c r="F92" i="12"/>
  <c r="E92" i="12"/>
  <c r="D92" i="12"/>
  <c r="C92" i="12"/>
  <c r="B92" i="12"/>
  <c r="A92" i="12"/>
  <c r="F91" i="12"/>
  <c r="I91" i="12" s="1"/>
  <c r="E91" i="12"/>
  <c r="H91" i="12" s="1"/>
  <c r="D91" i="12"/>
  <c r="C91" i="12"/>
  <c r="B91" i="12"/>
  <c r="A91" i="12"/>
  <c r="F90" i="12"/>
  <c r="G90" i="12" s="1"/>
  <c r="E90" i="12"/>
  <c r="H90" i="12" s="1"/>
  <c r="D90" i="12"/>
  <c r="J90" i="12" s="1"/>
  <c r="C90" i="12"/>
  <c r="B90" i="12"/>
  <c r="A90" i="12"/>
  <c r="F89" i="12"/>
  <c r="G89" i="12" s="1"/>
  <c r="E89" i="12"/>
  <c r="D89" i="12"/>
  <c r="C89" i="12"/>
  <c r="B89" i="12"/>
  <c r="A89" i="12"/>
  <c r="G88" i="12"/>
  <c r="F88" i="12"/>
  <c r="E88" i="12"/>
  <c r="D88" i="12"/>
  <c r="C88" i="12"/>
  <c r="B88" i="12"/>
  <c r="A88" i="12"/>
  <c r="F87" i="12"/>
  <c r="I87" i="12" s="1"/>
  <c r="E87" i="12"/>
  <c r="H87" i="12" s="1"/>
  <c r="D87" i="12"/>
  <c r="C87" i="12"/>
  <c r="B87" i="12"/>
  <c r="A87" i="12"/>
  <c r="F86" i="12"/>
  <c r="G86" i="12" s="1"/>
  <c r="E86" i="12"/>
  <c r="D86" i="12"/>
  <c r="C86" i="12"/>
  <c r="B86" i="12"/>
  <c r="A86" i="12"/>
  <c r="G85" i="12"/>
  <c r="F85" i="12"/>
  <c r="E85" i="12"/>
  <c r="D85" i="12"/>
  <c r="C85" i="12"/>
  <c r="B85" i="12"/>
  <c r="A85" i="12"/>
  <c r="F84" i="12"/>
  <c r="G84" i="12" s="1"/>
  <c r="E84" i="12"/>
  <c r="D84" i="12"/>
  <c r="C84" i="12"/>
  <c r="B84" i="12"/>
  <c r="A84" i="12"/>
  <c r="F83" i="12"/>
  <c r="E83" i="12"/>
  <c r="D83" i="12"/>
  <c r="C83" i="12"/>
  <c r="B83" i="12"/>
  <c r="A83" i="12"/>
  <c r="F82" i="12"/>
  <c r="G82" i="12" s="1"/>
  <c r="J82" i="12" s="1"/>
  <c r="K82" i="12" s="1"/>
  <c r="E82" i="12"/>
  <c r="H82" i="12" s="1"/>
  <c r="D82" i="12"/>
  <c r="C82" i="12"/>
  <c r="B82" i="12"/>
  <c r="A82" i="12"/>
  <c r="F81" i="12"/>
  <c r="G81" i="12" s="1"/>
  <c r="E81" i="12"/>
  <c r="D81" i="12"/>
  <c r="C81" i="12"/>
  <c r="B81" i="12"/>
  <c r="A81" i="12"/>
  <c r="B80" i="12"/>
  <c r="A80" i="12"/>
  <c r="F79" i="12"/>
  <c r="G79" i="12" s="1"/>
  <c r="J79" i="12" s="1"/>
  <c r="K79" i="12" s="1"/>
  <c r="E79" i="12"/>
  <c r="H79" i="12" s="1"/>
  <c r="D79" i="12"/>
  <c r="C79" i="12"/>
  <c r="B79" i="12"/>
  <c r="A79" i="12"/>
  <c r="F78" i="12"/>
  <c r="G78" i="12" s="1"/>
  <c r="E78" i="12"/>
  <c r="H78" i="12" s="1"/>
  <c r="D78" i="12"/>
  <c r="C78" i="12"/>
  <c r="B78" i="12"/>
  <c r="A78" i="12"/>
  <c r="F77" i="12"/>
  <c r="G77" i="12" s="1"/>
  <c r="E77" i="12"/>
  <c r="D77" i="12"/>
  <c r="C77" i="12"/>
  <c r="B77" i="12"/>
  <c r="A77" i="12"/>
  <c r="G76" i="12"/>
  <c r="F76" i="12"/>
  <c r="E76" i="12"/>
  <c r="D76" i="12"/>
  <c r="C76" i="12"/>
  <c r="B76" i="12"/>
  <c r="A76" i="12"/>
  <c r="F75" i="12"/>
  <c r="G75" i="12" s="1"/>
  <c r="E75" i="12"/>
  <c r="D75" i="12"/>
  <c r="J75" i="12" s="1"/>
  <c r="C75" i="12"/>
  <c r="B75" i="12"/>
  <c r="A75" i="12"/>
  <c r="G74" i="12"/>
  <c r="F74" i="12"/>
  <c r="E74" i="12"/>
  <c r="D74" i="12"/>
  <c r="C74" i="12"/>
  <c r="B74" i="12"/>
  <c r="A74" i="12"/>
  <c r="F73" i="12"/>
  <c r="G73" i="12" s="1"/>
  <c r="E73" i="12"/>
  <c r="D73" i="12"/>
  <c r="C73" i="12"/>
  <c r="B73" i="12"/>
  <c r="A73" i="12"/>
  <c r="F72" i="12"/>
  <c r="E72" i="12"/>
  <c r="D72" i="12"/>
  <c r="C72" i="12"/>
  <c r="B72" i="12"/>
  <c r="A72" i="12"/>
  <c r="F71" i="12"/>
  <c r="G71" i="12" s="1"/>
  <c r="J71" i="12" s="1"/>
  <c r="K71" i="12" s="1"/>
  <c r="E71" i="12"/>
  <c r="H71" i="12" s="1"/>
  <c r="D71" i="12"/>
  <c r="C71" i="12"/>
  <c r="B71" i="12"/>
  <c r="A71" i="12"/>
  <c r="F70" i="12"/>
  <c r="G70" i="12" s="1"/>
  <c r="E70" i="12"/>
  <c r="D70" i="12"/>
  <c r="C70" i="12"/>
  <c r="B70" i="12"/>
  <c r="A70" i="12"/>
  <c r="G69" i="12"/>
  <c r="F69" i="12"/>
  <c r="E69" i="12"/>
  <c r="D69" i="12"/>
  <c r="H69" i="12" s="1"/>
  <c r="C69" i="12"/>
  <c r="B69" i="12"/>
  <c r="A69" i="12"/>
  <c r="F68" i="12"/>
  <c r="I68" i="12" s="1"/>
  <c r="E68" i="12"/>
  <c r="H68" i="12" s="1"/>
  <c r="D68" i="12"/>
  <c r="C68" i="12"/>
  <c r="B68" i="12"/>
  <c r="A68" i="12"/>
  <c r="B67" i="12"/>
  <c r="A67" i="12"/>
  <c r="G66" i="12"/>
  <c r="F66" i="12"/>
  <c r="E66" i="12"/>
  <c r="D66" i="12"/>
  <c r="H66" i="12" s="1"/>
  <c r="C66" i="12"/>
  <c r="B66" i="12"/>
  <c r="A66" i="12"/>
  <c r="F65" i="12"/>
  <c r="I65" i="12" s="1"/>
  <c r="E65" i="12"/>
  <c r="H65" i="12" s="1"/>
  <c r="D65" i="12"/>
  <c r="C65" i="12"/>
  <c r="B65" i="12"/>
  <c r="A65" i="12"/>
  <c r="F64" i="12"/>
  <c r="G64" i="12" s="1"/>
  <c r="E64" i="12"/>
  <c r="D64" i="12"/>
  <c r="C64" i="12"/>
  <c r="B64" i="12"/>
  <c r="A64" i="12"/>
  <c r="F63" i="12"/>
  <c r="G63" i="12" s="1"/>
  <c r="E63" i="12"/>
  <c r="D63" i="12"/>
  <c r="C63" i="12"/>
  <c r="B63" i="12"/>
  <c r="A63" i="12"/>
  <c r="F62" i="12"/>
  <c r="G62" i="12" s="1"/>
  <c r="E62" i="12"/>
  <c r="D62" i="12"/>
  <c r="C62" i="12"/>
  <c r="B62" i="12"/>
  <c r="A62" i="12"/>
  <c r="F61" i="12"/>
  <c r="G61" i="12" s="1"/>
  <c r="E61" i="12"/>
  <c r="D61" i="12"/>
  <c r="I61" i="12" s="1"/>
  <c r="C61" i="12"/>
  <c r="B61" i="12"/>
  <c r="A61" i="12"/>
  <c r="F60" i="12"/>
  <c r="G60" i="12" s="1"/>
  <c r="J60" i="12" s="1"/>
  <c r="E60" i="12"/>
  <c r="D60" i="12"/>
  <c r="C60" i="12"/>
  <c r="B60" i="12"/>
  <c r="A60" i="12"/>
  <c r="F59" i="12"/>
  <c r="G59" i="12" s="1"/>
  <c r="E59" i="12"/>
  <c r="D59" i="12"/>
  <c r="I59" i="12" s="1"/>
  <c r="C59" i="12"/>
  <c r="B59" i="12"/>
  <c r="A59" i="12"/>
  <c r="F58" i="12"/>
  <c r="G58" i="12" s="1"/>
  <c r="E58" i="12"/>
  <c r="D58" i="12"/>
  <c r="C58" i="12"/>
  <c r="B58" i="12"/>
  <c r="A58" i="12"/>
  <c r="F57" i="12"/>
  <c r="G57" i="12" s="1"/>
  <c r="E57" i="12"/>
  <c r="D57" i="12"/>
  <c r="C57" i="12"/>
  <c r="B57" i="12"/>
  <c r="A57" i="12"/>
  <c r="F56" i="12"/>
  <c r="G56" i="12" s="1"/>
  <c r="E56" i="12"/>
  <c r="D56" i="12"/>
  <c r="I56" i="12" s="1"/>
  <c r="C56" i="12"/>
  <c r="B56" i="12"/>
  <c r="A56" i="12"/>
  <c r="F55" i="12"/>
  <c r="G55" i="12" s="1"/>
  <c r="J55" i="12" s="1"/>
  <c r="E55" i="12"/>
  <c r="H55" i="12" s="1"/>
  <c r="D55" i="12"/>
  <c r="C55" i="12"/>
  <c r="B55" i="12"/>
  <c r="A55" i="12"/>
  <c r="F54" i="12"/>
  <c r="G54" i="12" s="1"/>
  <c r="E54" i="12"/>
  <c r="D54" i="12"/>
  <c r="C54" i="12"/>
  <c r="B54" i="12"/>
  <c r="A54" i="12"/>
  <c r="G53" i="12"/>
  <c r="F53" i="12"/>
  <c r="E53" i="12"/>
  <c r="D53" i="12"/>
  <c r="C53" i="12"/>
  <c r="B53" i="12"/>
  <c r="A53" i="12"/>
  <c r="F52" i="12"/>
  <c r="G52" i="12" s="1"/>
  <c r="J52" i="12" s="1"/>
  <c r="E52" i="12"/>
  <c r="H52" i="12" s="1"/>
  <c r="D52" i="12"/>
  <c r="C52" i="12"/>
  <c r="B52" i="12"/>
  <c r="A52" i="12"/>
  <c r="B51" i="12"/>
  <c r="A51" i="12"/>
  <c r="F50" i="12"/>
  <c r="G50" i="12" s="1"/>
  <c r="E50" i="12"/>
  <c r="D50" i="12"/>
  <c r="C50" i="12"/>
  <c r="B50" i="12"/>
  <c r="A50" i="12"/>
  <c r="F49" i="12"/>
  <c r="G49" i="12" s="1"/>
  <c r="E49" i="12"/>
  <c r="D49" i="12"/>
  <c r="I49" i="12" s="1"/>
  <c r="C49" i="12"/>
  <c r="B49" i="12"/>
  <c r="A49" i="12"/>
  <c r="I48" i="12"/>
  <c r="F48" i="12"/>
  <c r="G48" i="12" s="1"/>
  <c r="E48" i="12"/>
  <c r="D48" i="12"/>
  <c r="C48" i="12"/>
  <c r="B48" i="12"/>
  <c r="A48" i="12"/>
  <c r="F47" i="12"/>
  <c r="G47" i="12" s="1"/>
  <c r="E47" i="12"/>
  <c r="D47" i="12"/>
  <c r="C47" i="12"/>
  <c r="B47" i="12"/>
  <c r="A47" i="12"/>
  <c r="G46" i="12"/>
  <c r="F46" i="12"/>
  <c r="E46" i="12"/>
  <c r="D46" i="12"/>
  <c r="J46" i="12" s="1"/>
  <c r="C46" i="12"/>
  <c r="B46" i="12"/>
  <c r="A46" i="12"/>
  <c r="F45" i="12"/>
  <c r="G45" i="12" s="1"/>
  <c r="J45" i="12" s="1"/>
  <c r="E45" i="12"/>
  <c r="H45" i="12" s="1"/>
  <c r="D45" i="12"/>
  <c r="C45" i="12"/>
  <c r="B45" i="12"/>
  <c r="A45" i="12"/>
  <c r="F44" i="12"/>
  <c r="G44" i="12" s="1"/>
  <c r="J44" i="12" s="1"/>
  <c r="E44" i="12"/>
  <c r="H44" i="12" s="1"/>
  <c r="D44" i="12"/>
  <c r="I44" i="12" s="1"/>
  <c r="C44" i="12"/>
  <c r="B44" i="12"/>
  <c r="A44" i="12"/>
  <c r="F43" i="12"/>
  <c r="G43" i="12" s="1"/>
  <c r="E43" i="12"/>
  <c r="D43" i="12"/>
  <c r="C43" i="12"/>
  <c r="B43" i="12"/>
  <c r="A43" i="12"/>
  <c r="F42" i="12"/>
  <c r="G42" i="12" s="1"/>
  <c r="E42" i="12"/>
  <c r="D42" i="12"/>
  <c r="C42" i="12"/>
  <c r="B42" i="12"/>
  <c r="A42" i="12"/>
  <c r="F41" i="12"/>
  <c r="G41" i="12" s="1"/>
  <c r="E41" i="12"/>
  <c r="D41" i="12"/>
  <c r="I41" i="12" s="1"/>
  <c r="C41" i="12"/>
  <c r="B41" i="12"/>
  <c r="A41" i="12"/>
  <c r="I40" i="12"/>
  <c r="F40" i="12"/>
  <c r="G40" i="12" s="1"/>
  <c r="E40" i="12"/>
  <c r="D40" i="12"/>
  <c r="C40" i="12"/>
  <c r="B40" i="12"/>
  <c r="A40" i="12"/>
  <c r="F39" i="12"/>
  <c r="G39" i="12" s="1"/>
  <c r="E39" i="12"/>
  <c r="D39" i="12"/>
  <c r="C39" i="12"/>
  <c r="B39" i="12"/>
  <c r="A39" i="12"/>
  <c r="G38" i="12"/>
  <c r="F38" i="12"/>
  <c r="E38" i="12"/>
  <c r="D38" i="12"/>
  <c r="J38" i="12" s="1"/>
  <c r="C38" i="12"/>
  <c r="B38" i="12"/>
  <c r="A38" i="12"/>
  <c r="F37" i="12"/>
  <c r="G37" i="12" s="1"/>
  <c r="J37" i="12" s="1"/>
  <c r="E37" i="12"/>
  <c r="D37" i="12"/>
  <c r="C37" i="12"/>
  <c r="B37" i="12"/>
  <c r="A37" i="12"/>
  <c r="B36" i="12"/>
  <c r="A36" i="12"/>
  <c r="F35" i="12"/>
  <c r="I35" i="12" s="1"/>
  <c r="H34" i="12"/>
  <c r="F34" i="12"/>
  <c r="I34" i="12" s="1"/>
  <c r="I33" i="12"/>
  <c r="H33" i="12"/>
  <c r="F33" i="12"/>
  <c r="G33" i="12" s="1"/>
  <c r="J33" i="12" s="1"/>
  <c r="K33" i="12" s="1"/>
  <c r="H32" i="12"/>
  <c r="G32" i="12"/>
  <c r="J32" i="12" s="1"/>
  <c r="K32" i="12" s="1"/>
  <c r="F32" i="12"/>
  <c r="I32" i="12" s="1"/>
  <c r="F31" i="12"/>
  <c r="G31" i="12" s="1"/>
  <c r="D31" i="12"/>
  <c r="H31" i="12" s="1"/>
  <c r="C31" i="12"/>
  <c r="B31" i="12"/>
  <c r="A31" i="12"/>
  <c r="H30" i="12"/>
  <c r="G30" i="12"/>
  <c r="F30" i="12"/>
  <c r="D30" i="12"/>
  <c r="C30" i="12"/>
  <c r="B30" i="12"/>
  <c r="A30" i="12"/>
  <c r="F29" i="12"/>
  <c r="G29" i="12" s="1"/>
  <c r="D29" i="12"/>
  <c r="H29" i="12" s="1"/>
  <c r="C29" i="12"/>
  <c r="B29" i="12"/>
  <c r="A29" i="12"/>
  <c r="F28" i="12"/>
  <c r="G28" i="12" s="1"/>
  <c r="E28" i="12"/>
  <c r="D28" i="12"/>
  <c r="C28" i="12"/>
  <c r="B28" i="12"/>
  <c r="A28" i="12"/>
  <c r="F27" i="12"/>
  <c r="E27" i="12"/>
  <c r="D27" i="12"/>
  <c r="C27" i="12"/>
  <c r="B27" i="12"/>
  <c r="A27" i="12"/>
  <c r="B26" i="12"/>
  <c r="A26" i="12"/>
  <c r="F25" i="12"/>
  <c r="G25" i="12" s="1"/>
  <c r="E25" i="12"/>
  <c r="D25" i="12"/>
  <c r="C25" i="12"/>
  <c r="B25" i="12"/>
  <c r="A25" i="12"/>
  <c r="F24" i="12"/>
  <c r="E24" i="12"/>
  <c r="D24" i="12"/>
  <c r="C24" i="12"/>
  <c r="B24" i="12"/>
  <c r="A24" i="12"/>
  <c r="F23" i="12"/>
  <c r="G23" i="12" s="1"/>
  <c r="J23" i="12" s="1"/>
  <c r="E23" i="12"/>
  <c r="D23" i="12"/>
  <c r="C23" i="12"/>
  <c r="B23" i="12"/>
  <c r="A23" i="12"/>
  <c r="B22" i="12"/>
  <c r="A22" i="12"/>
  <c r="F21" i="12"/>
  <c r="I21" i="12" s="1"/>
  <c r="E21" i="12"/>
  <c r="D21" i="12"/>
  <c r="C21" i="12"/>
  <c r="B21" i="12"/>
  <c r="A21" i="12"/>
  <c r="F20" i="12"/>
  <c r="G20" i="12" s="1"/>
  <c r="J20" i="12" s="1"/>
  <c r="E20" i="12"/>
  <c r="H20" i="12" s="1"/>
  <c r="D20" i="12"/>
  <c r="C20" i="12"/>
  <c r="B20" i="12"/>
  <c r="A20" i="12"/>
  <c r="F19" i="12"/>
  <c r="G19" i="12" s="1"/>
  <c r="E19" i="12"/>
  <c r="D19" i="12"/>
  <c r="C19" i="12"/>
  <c r="B19" i="12"/>
  <c r="A19" i="12"/>
  <c r="G18" i="12"/>
  <c r="F18" i="12"/>
  <c r="E18" i="12"/>
  <c r="D18" i="12"/>
  <c r="C18" i="12"/>
  <c r="B18" i="12"/>
  <c r="A18" i="12"/>
  <c r="F17" i="12"/>
  <c r="I17" i="12" s="1"/>
  <c r="E17" i="12"/>
  <c r="H17" i="12" s="1"/>
  <c r="D17" i="12"/>
  <c r="C17" i="12"/>
  <c r="B17" i="12"/>
  <c r="A17" i="12"/>
  <c r="B16" i="12"/>
  <c r="A16" i="12"/>
  <c r="H912" i="11"/>
  <c r="G912" i="11"/>
  <c r="G911" i="11"/>
  <c r="H911" i="11" s="1"/>
  <c r="H910" i="11"/>
  <c r="H909" i="11" s="1"/>
  <c r="G910" i="11"/>
  <c r="B908" i="11"/>
  <c r="H906" i="11"/>
  <c r="G906" i="11"/>
  <c r="G905" i="11"/>
  <c r="H905" i="11" s="1"/>
  <c r="H904" i="11"/>
  <c r="G904" i="11"/>
  <c r="G903" i="11"/>
  <c r="H903" i="11" s="1"/>
  <c r="F902" i="11"/>
  <c r="G902" i="11" s="1"/>
  <c r="H902" i="11" s="1"/>
  <c r="H901" i="11"/>
  <c r="G901" i="11"/>
  <c r="B897" i="11"/>
  <c r="H895" i="11"/>
  <c r="G895" i="11"/>
  <c r="G894" i="11"/>
  <c r="H894" i="11" s="1"/>
  <c r="H893" i="11"/>
  <c r="G893" i="11"/>
  <c r="G892" i="11"/>
  <c r="H892" i="11" s="1"/>
  <c r="F891" i="11"/>
  <c r="G891" i="11" s="1"/>
  <c r="H891" i="11" s="1"/>
  <c r="H890" i="11"/>
  <c r="H887" i="11" s="1"/>
  <c r="H889" i="11" s="1"/>
  <c r="G890" i="11"/>
  <c r="B886" i="11"/>
  <c r="F884" i="11"/>
  <c r="G884" i="11" s="1"/>
  <c r="H884" i="11" s="1"/>
  <c r="H883" i="11"/>
  <c r="G883" i="11"/>
  <c r="F883" i="11"/>
  <c r="G882" i="11"/>
  <c r="H882" i="11" s="1"/>
  <c r="F882" i="11"/>
  <c r="B878" i="11"/>
  <c r="F875" i="11"/>
  <c r="G875" i="11" s="1"/>
  <c r="H875" i="11" s="1"/>
  <c r="H874" i="11"/>
  <c r="G874" i="11"/>
  <c r="F874" i="11"/>
  <c r="G873" i="11"/>
  <c r="H873" i="11" s="1"/>
  <c r="F873" i="11"/>
  <c r="F872" i="11"/>
  <c r="G872" i="11" s="1"/>
  <c r="H872" i="11" s="1"/>
  <c r="F871" i="11"/>
  <c r="G871" i="11" s="1"/>
  <c r="H871" i="11" s="1"/>
  <c r="B867" i="11"/>
  <c r="G865" i="11"/>
  <c r="H865" i="11" s="1"/>
  <c r="G864" i="11"/>
  <c r="H864" i="11" s="1"/>
  <c r="G863" i="11"/>
  <c r="H863" i="11" s="1"/>
  <c r="G862" i="11"/>
  <c r="H862" i="11" s="1"/>
  <c r="G861" i="11"/>
  <c r="H861" i="11" s="1"/>
  <c r="H860" i="11" s="1"/>
  <c r="B859" i="11"/>
  <c r="G857" i="11"/>
  <c r="H857" i="11" s="1"/>
  <c r="G856" i="11"/>
  <c r="H856" i="11" s="1"/>
  <c r="G855" i="11"/>
  <c r="H855" i="11" s="1"/>
  <c r="G854" i="11"/>
  <c r="H854" i="11" s="1"/>
  <c r="G853" i="11"/>
  <c r="H853" i="11" s="1"/>
  <c r="G851" i="11"/>
  <c r="H851" i="11" s="1"/>
  <c r="G850" i="11"/>
  <c r="H850" i="11" s="1"/>
  <c r="G849" i="11"/>
  <c r="H849" i="11" s="1"/>
  <c r="G848" i="11"/>
  <c r="H848" i="11" s="1"/>
  <c r="G847" i="11"/>
  <c r="H847" i="11" s="1"/>
  <c r="H843" i="11"/>
  <c r="H845" i="11" s="1"/>
  <c r="B842" i="11"/>
  <c r="H839" i="11"/>
  <c r="G839" i="11"/>
  <c r="H838" i="11"/>
  <c r="H837" i="11" s="1"/>
  <c r="G838" i="11"/>
  <c r="B836" i="11"/>
  <c r="H834" i="11"/>
  <c r="G834" i="11"/>
  <c r="H833" i="11"/>
  <c r="G833" i="11"/>
  <c r="H832" i="11"/>
  <c r="G832" i="11"/>
  <c r="H831" i="11"/>
  <c r="G831" i="11"/>
  <c r="H830" i="11"/>
  <c r="G830" i="11"/>
  <c r="H829" i="11"/>
  <c r="G829" i="11"/>
  <c r="H828" i="11"/>
  <c r="H827" i="11" s="1"/>
  <c r="G828" i="11"/>
  <c r="B826" i="11"/>
  <c r="H824" i="11"/>
  <c r="G824" i="11"/>
  <c r="H823" i="11"/>
  <c r="G823" i="11"/>
  <c r="H822" i="11"/>
  <c r="H819" i="11" s="1"/>
  <c r="H821" i="11" s="1"/>
  <c r="G822" i="11"/>
  <c r="B818" i="11"/>
  <c r="H816" i="11"/>
  <c r="G816" i="11"/>
  <c r="G815" i="11"/>
  <c r="H815" i="11" s="1"/>
  <c r="H814" i="11"/>
  <c r="G814" i="11"/>
  <c r="G813" i="11"/>
  <c r="H813" i="11" s="1"/>
  <c r="H809" i="11" s="1"/>
  <c r="H811" i="11" s="1"/>
  <c r="H812" i="11"/>
  <c r="G812" i="11"/>
  <c r="B808" i="11"/>
  <c r="H806" i="11"/>
  <c r="G806" i="11"/>
  <c r="H805" i="11"/>
  <c r="G805" i="11"/>
  <c r="H804" i="11"/>
  <c r="G804" i="11"/>
  <c r="H803" i="11"/>
  <c r="G803" i="11"/>
  <c r="H802" i="11"/>
  <c r="G802" i="11"/>
  <c r="H801" i="11"/>
  <c r="G801" i="11"/>
  <c r="H800" i="11"/>
  <c r="G800" i="11"/>
  <c r="H799" i="11"/>
  <c r="G799" i="11"/>
  <c r="H798" i="11"/>
  <c r="G798" i="11"/>
  <c r="H797" i="11"/>
  <c r="H794" i="11" s="1"/>
  <c r="H796" i="11" s="1"/>
  <c r="G797" i="11"/>
  <c r="B793" i="11"/>
  <c r="J789" i="11"/>
  <c r="I789" i="11"/>
  <c r="I788" i="11"/>
  <c r="J788" i="11" s="1"/>
  <c r="J787" i="11"/>
  <c r="I787" i="11"/>
  <c r="I786" i="11"/>
  <c r="J786" i="11" s="1"/>
  <c r="I785" i="11"/>
  <c r="J785" i="11" s="1"/>
  <c r="I784" i="11"/>
  <c r="J784" i="11" s="1"/>
  <c r="I783" i="11"/>
  <c r="J783" i="11" s="1"/>
  <c r="I782" i="11"/>
  <c r="J782" i="11" s="1"/>
  <c r="I781" i="11"/>
  <c r="J781" i="11" s="1"/>
  <c r="I780" i="11"/>
  <c r="J780" i="11" s="1"/>
  <c r="I779" i="11"/>
  <c r="J779" i="11" s="1"/>
  <c r="I778" i="11"/>
  <c r="J778" i="11" s="1"/>
  <c r="I777" i="11"/>
  <c r="J777" i="11" s="1"/>
  <c r="I776" i="11"/>
  <c r="J776" i="11" s="1"/>
  <c r="I775" i="11"/>
  <c r="J775" i="11" s="1"/>
  <c r="I774" i="11"/>
  <c r="J774" i="11" s="1"/>
  <c r="I773" i="11"/>
  <c r="J773" i="11" s="1"/>
  <c r="I772" i="11"/>
  <c r="J772" i="11" s="1"/>
  <c r="I771" i="11"/>
  <c r="J771" i="11" s="1"/>
  <c r="I770" i="11"/>
  <c r="J770" i="11" s="1"/>
  <c r="I769" i="11"/>
  <c r="J769" i="11" s="1"/>
  <c r="I768" i="11"/>
  <c r="J768" i="11" s="1"/>
  <c r="I767" i="11"/>
  <c r="J767" i="11" s="1"/>
  <c r="I766" i="11"/>
  <c r="J766" i="11" s="1"/>
  <c r="I765" i="11"/>
  <c r="J765" i="11" s="1"/>
  <c r="I764" i="11"/>
  <c r="J764" i="11" s="1"/>
  <c r="I763" i="11"/>
  <c r="J763" i="11" s="1"/>
  <c r="I762" i="11"/>
  <c r="J762" i="11" s="1"/>
  <c r="I761" i="11"/>
  <c r="J761" i="11" s="1"/>
  <c r="I760" i="11"/>
  <c r="J760" i="11" s="1"/>
  <c r="I759" i="11"/>
  <c r="J759" i="11" s="1"/>
  <c r="I758" i="11"/>
  <c r="J758" i="11" s="1"/>
  <c r="I757" i="11"/>
  <c r="J757" i="11" s="1"/>
  <c r="I756" i="11"/>
  <c r="J756" i="11" s="1"/>
  <c r="I755" i="11"/>
  <c r="J755" i="11" s="1"/>
  <c r="I754" i="11"/>
  <c r="J754" i="11" s="1"/>
  <c r="I753" i="11"/>
  <c r="J753" i="11" s="1"/>
  <c r="I752" i="11"/>
  <c r="J752" i="11" s="1"/>
  <c r="I751" i="11"/>
  <c r="J751" i="11" s="1"/>
  <c r="I748" i="11"/>
  <c r="J748" i="11" s="1"/>
  <c r="F748" i="11"/>
  <c r="F747" i="11"/>
  <c r="I747" i="11" s="1"/>
  <c r="J747" i="11" s="1"/>
  <c r="I746" i="11"/>
  <c r="J746" i="11" s="1"/>
  <c r="F746" i="11"/>
  <c r="F745" i="11"/>
  <c r="I745" i="11" s="1"/>
  <c r="J745" i="11" s="1"/>
  <c r="I744" i="11"/>
  <c r="J744" i="11" s="1"/>
  <c r="F744" i="11"/>
  <c r="F743" i="11"/>
  <c r="I743" i="11" s="1"/>
  <c r="J743" i="11" s="1"/>
  <c r="I742" i="11"/>
  <c r="J742" i="11" s="1"/>
  <c r="F742" i="11"/>
  <c r="F741" i="11"/>
  <c r="I741" i="11" s="1"/>
  <c r="J741" i="11" s="1"/>
  <c r="I740" i="11"/>
  <c r="J740" i="11" s="1"/>
  <c r="F740" i="11"/>
  <c r="F739" i="11"/>
  <c r="I739" i="11" s="1"/>
  <c r="J739" i="11" s="1"/>
  <c r="I738" i="11"/>
  <c r="J738" i="11" s="1"/>
  <c r="F738" i="11"/>
  <c r="F737" i="11"/>
  <c r="I737" i="11" s="1"/>
  <c r="J737" i="11" s="1"/>
  <c r="I736" i="11"/>
  <c r="J736" i="11" s="1"/>
  <c r="F736" i="11"/>
  <c r="F735" i="11"/>
  <c r="I735" i="11" s="1"/>
  <c r="J735" i="11" s="1"/>
  <c r="I734" i="11"/>
  <c r="J734" i="11" s="1"/>
  <c r="F734" i="11"/>
  <c r="F733" i="11"/>
  <c r="I733" i="11" s="1"/>
  <c r="J733" i="11" s="1"/>
  <c r="I732" i="11"/>
  <c r="J732" i="11" s="1"/>
  <c r="F732" i="11"/>
  <c r="F731" i="11"/>
  <c r="I731" i="11" s="1"/>
  <c r="J731" i="11" s="1"/>
  <c r="I730" i="11"/>
  <c r="J730" i="11" s="1"/>
  <c r="F730" i="11"/>
  <c r="F729" i="11"/>
  <c r="I729" i="11" s="1"/>
  <c r="J729" i="11" s="1"/>
  <c r="I728" i="11"/>
  <c r="J728" i="11" s="1"/>
  <c r="F728" i="11"/>
  <c r="F727" i="11"/>
  <c r="I727" i="11" s="1"/>
  <c r="J727" i="11" s="1"/>
  <c r="I726" i="11"/>
  <c r="J726" i="11" s="1"/>
  <c r="F726" i="11"/>
  <c r="J725" i="11"/>
  <c r="B724" i="11"/>
  <c r="G722" i="11"/>
  <c r="H722" i="11" s="1"/>
  <c r="G721" i="11"/>
  <c r="H721" i="11" s="1"/>
  <c r="G720" i="11"/>
  <c r="H720" i="11" s="1"/>
  <c r="G719" i="11"/>
  <c r="H719" i="11" s="1"/>
  <c r="G718" i="11"/>
  <c r="H718" i="11" s="1"/>
  <c r="G717" i="11"/>
  <c r="H717" i="11" s="1"/>
  <c r="G716" i="11"/>
  <c r="H716" i="11" s="1"/>
  <c r="G715" i="11"/>
  <c r="H715" i="11" s="1"/>
  <c r="G714" i="11"/>
  <c r="H714" i="11" s="1"/>
  <c r="G713" i="11"/>
  <c r="H713" i="11" s="1"/>
  <c r="G712" i="11"/>
  <c r="H712" i="11" s="1"/>
  <c r="G711" i="11"/>
  <c r="H711" i="11" s="1"/>
  <c r="G710" i="11"/>
  <c r="H710" i="11" s="1"/>
  <c r="G709" i="11"/>
  <c r="H709" i="11" s="1"/>
  <c r="G708" i="11"/>
  <c r="H708" i="11" s="1"/>
  <c r="G707" i="11"/>
  <c r="H707" i="11" s="1"/>
  <c r="G706" i="11"/>
  <c r="H706" i="11" s="1"/>
  <c r="G705" i="11"/>
  <c r="H705" i="11" s="1"/>
  <c r="G704" i="11"/>
  <c r="H704" i="11" s="1"/>
  <c r="G703" i="11"/>
  <c r="H703" i="11" s="1"/>
  <c r="G702" i="11"/>
  <c r="H702" i="11" s="1"/>
  <c r="G701" i="11"/>
  <c r="H701" i="11" s="1"/>
  <c r="G700" i="11"/>
  <c r="H700" i="11" s="1"/>
  <c r="G699" i="11"/>
  <c r="H699" i="11" s="1"/>
  <c r="G698" i="11"/>
  <c r="H698" i="11" s="1"/>
  <c r="G697" i="11"/>
  <c r="H697" i="11" s="1"/>
  <c r="G696" i="11"/>
  <c r="H696" i="11" s="1"/>
  <c r="G695" i="11"/>
  <c r="H695" i="11" s="1"/>
  <c r="G694" i="11"/>
  <c r="H694" i="11" s="1"/>
  <c r="G693" i="11"/>
  <c r="H693" i="11" s="1"/>
  <c r="G692" i="11"/>
  <c r="H692" i="11" s="1"/>
  <c r="H691" i="11"/>
  <c r="G691" i="11"/>
  <c r="G690" i="11"/>
  <c r="H690" i="11" s="1"/>
  <c r="H689" i="11"/>
  <c r="G689" i="11"/>
  <c r="G688" i="11"/>
  <c r="H688" i="11" s="1"/>
  <c r="G687" i="11"/>
  <c r="H687" i="11" s="1"/>
  <c r="G686" i="11"/>
  <c r="H686" i="11" s="1"/>
  <c r="G685" i="11"/>
  <c r="H685" i="11" s="1"/>
  <c r="G684" i="11"/>
  <c r="H684" i="11" s="1"/>
  <c r="H682" i="11"/>
  <c r="G682" i="11"/>
  <c r="G681" i="11"/>
  <c r="H681" i="11" s="1"/>
  <c r="H680" i="11"/>
  <c r="G680" i="11"/>
  <c r="G679" i="11"/>
  <c r="H679" i="11" s="1"/>
  <c r="G678" i="11"/>
  <c r="H678" i="11" s="1"/>
  <c r="G677" i="11"/>
  <c r="H677" i="11" s="1"/>
  <c r="G676" i="11"/>
  <c r="H676" i="11" s="1"/>
  <c r="G675" i="11"/>
  <c r="H675" i="11" s="1"/>
  <c r="H674" i="11"/>
  <c r="G674" i="11"/>
  <c r="G673" i="11"/>
  <c r="H673" i="11" s="1"/>
  <c r="H672" i="11"/>
  <c r="G672" i="11"/>
  <c r="G671" i="11"/>
  <c r="H671" i="11" s="1"/>
  <c r="G670" i="11"/>
  <c r="H670" i="11" s="1"/>
  <c r="G669" i="11"/>
  <c r="H669" i="11" s="1"/>
  <c r="G668" i="11"/>
  <c r="H668" i="11" s="1"/>
  <c r="G667" i="11"/>
  <c r="H667" i="11" s="1"/>
  <c r="H666" i="11"/>
  <c r="G666" i="11"/>
  <c r="G665" i="11"/>
  <c r="H665" i="11" s="1"/>
  <c r="H664" i="11"/>
  <c r="G664" i="11"/>
  <c r="G663" i="11"/>
  <c r="H663" i="11" s="1"/>
  <c r="H662" i="11"/>
  <c r="G662" i="11"/>
  <c r="G661" i="11"/>
  <c r="H661" i="11" s="1"/>
  <c r="H660" i="11"/>
  <c r="G660" i="11"/>
  <c r="B658" i="11"/>
  <c r="H656" i="11"/>
  <c r="G656" i="11"/>
  <c r="G655" i="11"/>
  <c r="H655" i="11" s="1"/>
  <c r="H654" i="11"/>
  <c r="G654" i="11"/>
  <c r="G653" i="11"/>
  <c r="H653" i="11" s="1"/>
  <c r="H652" i="11"/>
  <c r="G652" i="11"/>
  <c r="G651" i="11"/>
  <c r="H651" i="11" s="1"/>
  <c r="H650" i="11"/>
  <c r="G650" i="11"/>
  <c r="G649" i="11"/>
  <c r="H649" i="11" s="1"/>
  <c r="H648" i="11"/>
  <c r="G648" i="11"/>
  <c r="G647" i="11"/>
  <c r="H647" i="11" s="1"/>
  <c r="H646" i="11"/>
  <c r="G646" i="11"/>
  <c r="G645" i="11"/>
  <c r="H645" i="11" s="1"/>
  <c r="H644" i="11"/>
  <c r="G644" i="11"/>
  <c r="G643" i="11"/>
  <c r="H643" i="11" s="1"/>
  <c r="H642" i="11"/>
  <c r="G642" i="11"/>
  <c r="G641" i="11"/>
  <c r="H641" i="11" s="1"/>
  <c r="H640" i="11"/>
  <c r="G640" i="11"/>
  <c r="G639" i="11"/>
  <c r="H639" i="11" s="1"/>
  <c r="H638" i="11"/>
  <c r="G638" i="11"/>
  <c r="G637" i="11"/>
  <c r="H637" i="11" s="1"/>
  <c r="H636" i="11"/>
  <c r="G636" i="11"/>
  <c r="G635" i="11"/>
  <c r="H635" i="11" s="1"/>
  <c r="H634" i="11"/>
  <c r="G634" i="11"/>
  <c r="G633" i="11"/>
  <c r="H633" i="11" s="1"/>
  <c r="H632" i="11"/>
  <c r="G632" i="11"/>
  <c r="G631" i="11"/>
  <c r="H631" i="11" s="1"/>
  <c r="H630" i="11"/>
  <c r="G630" i="11"/>
  <c r="G629" i="11"/>
  <c r="H629" i="11" s="1"/>
  <c r="H628" i="11"/>
  <c r="G628" i="11"/>
  <c r="G627" i="11"/>
  <c r="H627" i="11" s="1"/>
  <c r="H626" i="11"/>
  <c r="G626" i="11"/>
  <c r="G625" i="11"/>
  <c r="H625" i="11" s="1"/>
  <c r="H624" i="11"/>
  <c r="G624" i="11"/>
  <c r="G623" i="11"/>
  <c r="H623" i="11" s="1"/>
  <c r="H622" i="11"/>
  <c r="G622" i="11"/>
  <c r="G621" i="11"/>
  <c r="H621" i="11" s="1"/>
  <c r="H620" i="11"/>
  <c r="G620" i="11"/>
  <c r="G619" i="11"/>
  <c r="H619" i="11" s="1"/>
  <c r="H618" i="11"/>
  <c r="G618" i="11"/>
  <c r="G616" i="11"/>
  <c r="H616" i="11" s="1"/>
  <c r="H615" i="11"/>
  <c r="G615" i="11"/>
  <c r="G614" i="11"/>
  <c r="H614" i="11" s="1"/>
  <c r="H613" i="11"/>
  <c r="G613" i="11"/>
  <c r="G612" i="11"/>
  <c r="H612" i="11" s="1"/>
  <c r="H611" i="11"/>
  <c r="G611" i="11"/>
  <c r="G610" i="11"/>
  <c r="H610" i="11" s="1"/>
  <c r="H609" i="11"/>
  <c r="G609" i="11"/>
  <c r="G608" i="11"/>
  <c r="H608" i="11" s="1"/>
  <c r="H607" i="11"/>
  <c r="G607" i="11"/>
  <c r="G606" i="11"/>
  <c r="H606" i="11" s="1"/>
  <c r="H605" i="11"/>
  <c r="G605" i="11"/>
  <c r="G604" i="11"/>
  <c r="H604" i="11" s="1"/>
  <c r="H603" i="11"/>
  <c r="G603" i="11"/>
  <c r="G602" i="11"/>
  <c r="H602" i="11" s="1"/>
  <c r="H601" i="11"/>
  <c r="G601" i="11"/>
  <c r="G600" i="11"/>
  <c r="H600" i="11" s="1"/>
  <c r="H599" i="11"/>
  <c r="G599" i="11"/>
  <c r="G598" i="11"/>
  <c r="H598" i="11" s="1"/>
  <c r="H597" i="11"/>
  <c r="G597" i="11"/>
  <c r="G596" i="11"/>
  <c r="H596" i="11" s="1"/>
  <c r="H595" i="11"/>
  <c r="G595" i="11"/>
  <c r="G594" i="11"/>
  <c r="H594" i="11" s="1"/>
  <c r="B592" i="11"/>
  <c r="B590" i="11"/>
  <c r="J587" i="11"/>
  <c r="I587" i="11"/>
  <c r="J586" i="11"/>
  <c r="I586" i="11"/>
  <c r="J585" i="11"/>
  <c r="I585" i="11"/>
  <c r="J584" i="11"/>
  <c r="I584" i="11"/>
  <c r="J583" i="11"/>
  <c r="I583" i="11"/>
  <c r="J582" i="11"/>
  <c r="I582" i="11"/>
  <c r="J581" i="11"/>
  <c r="I581" i="11"/>
  <c r="J580" i="11"/>
  <c r="I580" i="11"/>
  <c r="J579" i="11"/>
  <c r="I579" i="11"/>
  <c r="J578" i="11"/>
  <c r="I578" i="11"/>
  <c r="J577" i="11"/>
  <c r="I577" i="11"/>
  <c r="J576" i="11"/>
  <c r="I576" i="11"/>
  <c r="J575" i="11"/>
  <c r="I575" i="11"/>
  <c r="J574" i="11"/>
  <c r="I574" i="11"/>
  <c r="J573" i="11"/>
  <c r="I573" i="11"/>
  <c r="I572" i="11"/>
  <c r="J572" i="11" s="1"/>
  <c r="J571" i="11"/>
  <c r="I571" i="11"/>
  <c r="I570" i="11"/>
  <c r="J570" i="11" s="1"/>
  <c r="J569" i="11"/>
  <c r="I569" i="11"/>
  <c r="I568" i="11"/>
  <c r="J568" i="11" s="1"/>
  <c r="J567" i="11"/>
  <c r="I567" i="11"/>
  <c r="I566" i="11"/>
  <c r="J566" i="11" s="1"/>
  <c r="J565" i="11"/>
  <c r="I565" i="11"/>
  <c r="I564" i="11"/>
  <c r="J564" i="11" s="1"/>
  <c r="J563" i="11"/>
  <c r="I563" i="11"/>
  <c r="I562" i="11"/>
  <c r="J562" i="11" s="1"/>
  <c r="J561" i="11"/>
  <c r="I561" i="11"/>
  <c r="I560" i="11"/>
  <c r="J560" i="11" s="1"/>
  <c r="J559" i="11"/>
  <c r="I559" i="11"/>
  <c r="I558" i="11"/>
  <c r="J558" i="11" s="1"/>
  <c r="J557" i="11"/>
  <c r="I557" i="11"/>
  <c r="I556" i="11"/>
  <c r="J556" i="11" s="1"/>
  <c r="J555" i="11"/>
  <c r="I555" i="11"/>
  <c r="I554" i="11"/>
  <c r="J554" i="11" s="1"/>
  <c r="J553" i="11"/>
  <c r="I553" i="11"/>
  <c r="I552" i="11"/>
  <c r="J552" i="11" s="1"/>
  <c r="J551" i="11"/>
  <c r="I551" i="11"/>
  <c r="I550" i="11"/>
  <c r="J550" i="11" s="1"/>
  <c r="J549" i="11"/>
  <c r="I549" i="11"/>
  <c r="J546" i="11"/>
  <c r="I545" i="11"/>
  <c r="J545" i="11" s="1"/>
  <c r="J544" i="11"/>
  <c r="I544" i="11"/>
  <c r="I543" i="11"/>
  <c r="J543" i="11" s="1"/>
  <c r="J542" i="11"/>
  <c r="I542" i="11"/>
  <c r="I541" i="11"/>
  <c r="J541" i="11" s="1"/>
  <c r="J540" i="11"/>
  <c r="I540" i="11"/>
  <c r="I539" i="11"/>
  <c r="J539" i="11" s="1"/>
  <c r="I536" i="11" s="1"/>
  <c r="B536" i="11"/>
  <c r="G534" i="11"/>
  <c r="H534" i="11" s="1"/>
  <c r="H533" i="11"/>
  <c r="H530" i="11" s="1"/>
  <c r="G533" i="11"/>
  <c r="B530" i="11"/>
  <c r="D527" i="11"/>
  <c r="G527" i="11" s="1"/>
  <c r="H527" i="11" s="1"/>
  <c r="H526" i="11"/>
  <c r="G526" i="11"/>
  <c r="D526" i="11"/>
  <c r="G525" i="11"/>
  <c r="H525" i="11" s="1"/>
  <c r="D525" i="11"/>
  <c r="D524" i="11"/>
  <c r="G524" i="11" s="1"/>
  <c r="H524" i="11" s="1"/>
  <c r="D523" i="11"/>
  <c r="G523" i="11" s="1"/>
  <c r="H523" i="11" s="1"/>
  <c r="B520" i="11"/>
  <c r="D518" i="11"/>
  <c r="G518" i="11" s="1"/>
  <c r="H518" i="11" s="1"/>
  <c r="D517" i="11"/>
  <c r="G517" i="11" s="1"/>
  <c r="H517" i="11" s="1"/>
  <c r="H516" i="11"/>
  <c r="G516" i="11"/>
  <c r="D516" i="11"/>
  <c r="G515" i="11"/>
  <c r="H515" i="11" s="1"/>
  <c r="D515" i="11"/>
  <c r="D514" i="11"/>
  <c r="G514" i="11" s="1"/>
  <c r="H514" i="11" s="1"/>
  <c r="D513" i="11"/>
  <c r="G513" i="11" s="1"/>
  <c r="H513" i="11" s="1"/>
  <c r="H512" i="11"/>
  <c r="G512" i="11"/>
  <c r="D512" i="11"/>
  <c r="G511" i="11"/>
  <c r="H511" i="11" s="1"/>
  <c r="D511" i="11"/>
  <c r="D510" i="11"/>
  <c r="G510" i="11" s="1"/>
  <c r="H510" i="11" s="1"/>
  <c r="D509" i="11"/>
  <c r="G509" i="11" s="1"/>
  <c r="H509" i="11" s="1"/>
  <c r="H508" i="11"/>
  <c r="G508" i="11"/>
  <c r="D508" i="11"/>
  <c r="G507" i="11"/>
  <c r="H507" i="11" s="1"/>
  <c r="D507" i="11"/>
  <c r="D506" i="11"/>
  <c r="G506" i="11" s="1"/>
  <c r="H506" i="11" s="1"/>
  <c r="D505" i="11"/>
  <c r="G505" i="11" s="1"/>
  <c r="H505" i="11" s="1"/>
  <c r="H504" i="11"/>
  <c r="G504" i="11"/>
  <c r="D504" i="11"/>
  <c r="G503" i="11"/>
  <c r="H503" i="11" s="1"/>
  <c r="D503" i="11"/>
  <c r="D502" i="11"/>
  <c r="G502" i="11" s="1"/>
  <c r="H502" i="11" s="1"/>
  <c r="D501" i="11"/>
  <c r="G501" i="11" s="1"/>
  <c r="H501" i="11" s="1"/>
  <c r="H500" i="11"/>
  <c r="G500" i="11"/>
  <c r="D500" i="11"/>
  <c r="G499" i="11"/>
  <c r="H499" i="11" s="1"/>
  <c r="D499" i="11"/>
  <c r="D495" i="11"/>
  <c r="G495" i="11" s="1"/>
  <c r="H495" i="11" s="1"/>
  <c r="D494" i="11"/>
  <c r="G494" i="11" s="1"/>
  <c r="H494" i="11" s="1"/>
  <c r="H493" i="11"/>
  <c r="G493" i="11"/>
  <c r="D493" i="11"/>
  <c r="G492" i="11"/>
  <c r="H492" i="11" s="1"/>
  <c r="D492" i="11"/>
  <c r="D491" i="11"/>
  <c r="G491" i="11" s="1"/>
  <c r="H491" i="11" s="1"/>
  <c r="D490" i="11"/>
  <c r="G490" i="11" s="1"/>
  <c r="H490" i="11" s="1"/>
  <c r="H489" i="11"/>
  <c r="G489" i="11"/>
  <c r="D489" i="11"/>
  <c r="G488" i="11"/>
  <c r="H488" i="11" s="1"/>
  <c r="D488" i="11"/>
  <c r="B485" i="11"/>
  <c r="H483" i="11"/>
  <c r="G483" i="11"/>
  <c r="D483" i="11"/>
  <c r="G482" i="11"/>
  <c r="H482" i="11" s="1"/>
  <c r="D482" i="11"/>
  <c r="D481" i="11"/>
  <c r="G481" i="11" s="1"/>
  <c r="H481" i="11" s="1"/>
  <c r="D480" i="11"/>
  <c r="G480" i="11" s="1"/>
  <c r="H480" i="11" s="1"/>
  <c r="H479" i="11"/>
  <c r="G479" i="11"/>
  <c r="D479" i="11"/>
  <c r="G478" i="11"/>
  <c r="H478" i="11" s="1"/>
  <c r="D478" i="11"/>
  <c r="D477" i="11"/>
  <c r="G477" i="11" s="1"/>
  <c r="H477" i="11" s="1"/>
  <c r="D476" i="11"/>
  <c r="G476" i="11" s="1"/>
  <c r="H476" i="11" s="1"/>
  <c r="H475" i="11"/>
  <c r="G475" i="11"/>
  <c r="D475" i="11"/>
  <c r="G474" i="11"/>
  <c r="H474" i="11" s="1"/>
  <c r="D474" i="11"/>
  <c r="D473" i="11"/>
  <c r="G473" i="11" s="1"/>
  <c r="H473" i="11" s="1"/>
  <c r="D472" i="11"/>
  <c r="G472" i="11" s="1"/>
  <c r="H472" i="11" s="1"/>
  <c r="H471" i="11"/>
  <c r="G471" i="11"/>
  <c r="D471" i="11"/>
  <c r="G470" i="11"/>
  <c r="H470" i="11" s="1"/>
  <c r="D470" i="11"/>
  <c r="D469" i="11"/>
  <c r="G469" i="11" s="1"/>
  <c r="H469" i="11" s="1"/>
  <c r="D468" i="11"/>
  <c r="G468" i="11" s="1"/>
  <c r="H468" i="11" s="1"/>
  <c r="H467" i="11"/>
  <c r="G467" i="11"/>
  <c r="D467" i="11"/>
  <c r="G466" i="11"/>
  <c r="H466" i="11" s="1"/>
  <c r="D466" i="11"/>
  <c r="D465" i="11"/>
  <c r="G465" i="11" s="1"/>
  <c r="H465" i="11" s="1"/>
  <c r="D464" i="11"/>
  <c r="G464" i="11" s="1"/>
  <c r="H464" i="11" s="1"/>
  <c r="H463" i="11"/>
  <c r="G463" i="11"/>
  <c r="D463" i="11"/>
  <c r="G462" i="11"/>
  <c r="H462" i="11" s="1"/>
  <c r="D462" i="11"/>
  <c r="D461" i="11"/>
  <c r="G461" i="11" s="1"/>
  <c r="H461" i="11" s="1"/>
  <c r="D460" i="11"/>
  <c r="G460" i="11" s="1"/>
  <c r="H460" i="11" s="1"/>
  <c r="H459" i="11"/>
  <c r="G459" i="11"/>
  <c r="D459" i="11"/>
  <c r="G456" i="11"/>
  <c r="H456" i="11" s="1"/>
  <c r="E456" i="11"/>
  <c r="D456" i="11"/>
  <c r="G455" i="11"/>
  <c r="H455" i="11" s="1"/>
  <c r="E455" i="11"/>
  <c r="D455" i="11"/>
  <c r="G454" i="11"/>
  <c r="H454" i="11" s="1"/>
  <c r="E454" i="11"/>
  <c r="D454" i="11"/>
  <c r="G453" i="11"/>
  <c r="H453" i="11" s="1"/>
  <c r="E453" i="11"/>
  <c r="D453" i="11"/>
  <c r="G452" i="11"/>
  <c r="H452" i="11" s="1"/>
  <c r="E452" i="11"/>
  <c r="D452" i="11"/>
  <c r="G451" i="11"/>
  <c r="H451" i="11" s="1"/>
  <c r="E451" i="11"/>
  <c r="D451" i="11"/>
  <c r="G450" i="11"/>
  <c r="H450" i="11" s="1"/>
  <c r="E450" i="11"/>
  <c r="E449" i="11"/>
  <c r="D449" i="11"/>
  <c r="G449" i="11" s="1"/>
  <c r="H449" i="11" s="1"/>
  <c r="E448" i="11"/>
  <c r="D448" i="11"/>
  <c r="D447" i="11"/>
  <c r="G447" i="11" s="1"/>
  <c r="H447" i="11" s="1"/>
  <c r="E446" i="11"/>
  <c r="G446" i="11" s="1"/>
  <c r="H446" i="11" s="1"/>
  <c r="H445" i="11"/>
  <c r="G445" i="11"/>
  <c r="E445" i="11"/>
  <c r="D445" i="11"/>
  <c r="H444" i="11"/>
  <c r="G444" i="11"/>
  <c r="E444" i="11"/>
  <c r="D444" i="11"/>
  <c r="H443" i="11"/>
  <c r="G443" i="11"/>
  <c r="E443" i="11"/>
  <c r="D443" i="11"/>
  <c r="H442" i="11"/>
  <c r="G442" i="11"/>
  <c r="E442" i="11"/>
  <c r="D442" i="11"/>
  <c r="H441" i="11"/>
  <c r="G441" i="11"/>
  <c r="E441" i="11"/>
  <c r="D441" i="11"/>
  <c r="H440" i="11"/>
  <c r="G440" i="11"/>
  <c r="E440" i="11"/>
  <c r="D440" i="11"/>
  <c r="H439" i="11"/>
  <c r="G439" i="11"/>
  <c r="E439" i="11"/>
  <c r="D439" i="11"/>
  <c r="H438" i="11"/>
  <c r="G438" i="11"/>
  <c r="D438" i="11"/>
  <c r="G437" i="11"/>
  <c r="H437" i="11" s="1"/>
  <c r="E437" i="11"/>
  <c r="E436" i="11"/>
  <c r="D436" i="11"/>
  <c r="G436" i="11" s="1"/>
  <c r="H436" i="11" s="1"/>
  <c r="E435" i="11"/>
  <c r="D435" i="11"/>
  <c r="E434" i="11"/>
  <c r="D434" i="11"/>
  <c r="G434" i="11" s="1"/>
  <c r="H434" i="11" s="1"/>
  <c r="E433" i="11"/>
  <c r="D433" i="11"/>
  <c r="E432" i="11"/>
  <c r="D432" i="11"/>
  <c r="G432" i="11" s="1"/>
  <c r="H432" i="11" s="1"/>
  <c r="D431" i="11"/>
  <c r="G431" i="11" s="1"/>
  <c r="H431" i="11" s="1"/>
  <c r="E430" i="11"/>
  <c r="G430" i="11" s="1"/>
  <c r="H430" i="11" s="1"/>
  <c r="H429" i="11"/>
  <c r="G429" i="11"/>
  <c r="E429" i="11"/>
  <c r="G428" i="11"/>
  <c r="H428" i="11" s="1"/>
  <c r="E428" i="11"/>
  <c r="D428" i="11"/>
  <c r="G427" i="11"/>
  <c r="H427" i="11" s="1"/>
  <c r="E427" i="11"/>
  <c r="D427" i="11"/>
  <c r="G426" i="11"/>
  <c r="H426" i="11" s="1"/>
  <c r="E426" i="11"/>
  <c r="D426" i="11"/>
  <c r="G425" i="11"/>
  <c r="H425" i="11" s="1"/>
  <c r="E425" i="11"/>
  <c r="D425" i="11"/>
  <c r="G424" i="11"/>
  <c r="H424" i="11" s="1"/>
  <c r="E424" i="11"/>
  <c r="D424" i="11"/>
  <c r="G423" i="11"/>
  <c r="H423" i="11" s="1"/>
  <c r="E423" i="11"/>
  <c r="D423" i="11"/>
  <c r="G422" i="11"/>
  <c r="H422" i="11" s="1"/>
  <c r="E422" i="11"/>
  <c r="D422" i="11"/>
  <c r="G421" i="11"/>
  <c r="H421" i="11" s="1"/>
  <c r="E421" i="11"/>
  <c r="D421" i="11"/>
  <c r="G420" i="11"/>
  <c r="H420" i="11" s="1"/>
  <c r="E420" i="11"/>
  <c r="D420" i="11"/>
  <c r="G419" i="11"/>
  <c r="H419" i="11" s="1"/>
  <c r="E419" i="11"/>
  <c r="D419" i="11"/>
  <c r="G418" i="11"/>
  <c r="H418" i="11" s="1"/>
  <c r="E418" i="11"/>
  <c r="D418" i="11"/>
  <c r="G415" i="11"/>
  <c r="H415" i="11" s="1"/>
  <c r="D415" i="11"/>
  <c r="D414" i="11"/>
  <c r="G414" i="11" s="1"/>
  <c r="H414" i="11" s="1"/>
  <c r="D413" i="11"/>
  <c r="G413" i="11" s="1"/>
  <c r="H413" i="11" s="1"/>
  <c r="H412" i="11"/>
  <c r="G412" i="11"/>
  <c r="D412" i="11"/>
  <c r="G411" i="11"/>
  <c r="H411" i="11" s="1"/>
  <c r="D411" i="11"/>
  <c r="D410" i="11"/>
  <c r="G410" i="11" s="1"/>
  <c r="H410" i="11" s="1"/>
  <c r="H409" i="11"/>
  <c r="G409" i="11"/>
  <c r="G408" i="11"/>
  <c r="H408" i="11" s="1"/>
  <c r="D407" i="11"/>
  <c r="G407" i="11" s="1"/>
  <c r="H407" i="11" s="1"/>
  <c r="H406" i="11"/>
  <c r="G406" i="11"/>
  <c r="D406" i="11"/>
  <c r="G405" i="11"/>
  <c r="H405" i="11" s="1"/>
  <c r="D405" i="11"/>
  <c r="D404" i="11"/>
  <c r="G404" i="11" s="1"/>
  <c r="H404" i="11" s="1"/>
  <c r="D403" i="11"/>
  <c r="G403" i="11" s="1"/>
  <c r="H403" i="11" s="1"/>
  <c r="H402" i="11"/>
  <c r="G402" i="11"/>
  <c r="D402" i="11"/>
  <c r="G401" i="11"/>
  <c r="H401" i="11" s="1"/>
  <c r="D401" i="11"/>
  <c r="D400" i="11"/>
  <c r="G400" i="11" s="1"/>
  <c r="H400" i="11" s="1"/>
  <c r="D399" i="11"/>
  <c r="G399" i="11" s="1"/>
  <c r="H399" i="11" s="1"/>
  <c r="H398" i="11"/>
  <c r="G398" i="11"/>
  <c r="D398" i="11"/>
  <c r="G397" i="11"/>
  <c r="H397" i="11" s="1"/>
  <c r="D397" i="11"/>
  <c r="G396" i="11"/>
  <c r="H396" i="11" s="1"/>
  <c r="H395" i="11"/>
  <c r="G395" i="11"/>
  <c r="D395" i="11"/>
  <c r="G394" i="11"/>
  <c r="H394" i="11" s="1"/>
  <c r="D393" i="11"/>
  <c r="G393" i="11" s="1"/>
  <c r="H393" i="11" s="1"/>
  <c r="H390" i="11"/>
  <c r="G390" i="11"/>
  <c r="E390" i="11"/>
  <c r="D390" i="11"/>
  <c r="H389" i="11"/>
  <c r="G389" i="11"/>
  <c r="E389" i="11"/>
  <c r="D389" i="11"/>
  <c r="H388" i="11"/>
  <c r="G388" i="11"/>
  <c r="E388" i="11"/>
  <c r="D388" i="11"/>
  <c r="H387" i="11"/>
  <c r="G387" i="11"/>
  <c r="E387" i="11"/>
  <c r="D387" i="11"/>
  <c r="H386" i="11"/>
  <c r="G386" i="11"/>
  <c r="E386" i="11"/>
  <c r="D386" i="11"/>
  <c r="H385" i="11"/>
  <c r="G385" i="11"/>
  <c r="E385" i="11"/>
  <c r="D385" i="11"/>
  <c r="H384" i="11"/>
  <c r="G384" i="11"/>
  <c r="E384" i="11"/>
  <c r="D384" i="11"/>
  <c r="B381" i="11"/>
  <c r="A381" i="11"/>
  <c r="G379" i="11"/>
  <c r="H379" i="11" s="1"/>
  <c r="H378" i="11"/>
  <c r="G378" i="11"/>
  <c r="G377" i="11"/>
  <c r="H377" i="11" s="1"/>
  <c r="H376" i="11"/>
  <c r="G376" i="11"/>
  <c r="G375" i="11"/>
  <c r="H375" i="11" s="1"/>
  <c r="H374" i="11"/>
  <c r="G374" i="11"/>
  <c r="G373" i="11"/>
  <c r="H373" i="11" s="1"/>
  <c r="H372" i="11"/>
  <c r="G372" i="11"/>
  <c r="G371" i="11"/>
  <c r="H371" i="11" s="1"/>
  <c r="H370" i="11"/>
  <c r="G370" i="11"/>
  <c r="G369" i="11"/>
  <c r="H369" i="11" s="1"/>
  <c r="H368" i="11"/>
  <c r="G368" i="11"/>
  <c r="G367" i="11"/>
  <c r="H367" i="11" s="1"/>
  <c r="H366" i="11"/>
  <c r="G366" i="11"/>
  <c r="G365" i="11"/>
  <c r="H365" i="11" s="1"/>
  <c r="H364" i="11"/>
  <c r="G364" i="11"/>
  <c r="G363" i="11"/>
  <c r="H363" i="11" s="1"/>
  <c r="H362" i="11"/>
  <c r="G362" i="11"/>
  <c r="G361" i="11"/>
  <c r="H361" i="11" s="1"/>
  <c r="H360" i="11"/>
  <c r="G360" i="11"/>
  <c r="G359" i="11"/>
  <c r="H359" i="11" s="1"/>
  <c r="H358" i="11"/>
  <c r="G358" i="11"/>
  <c r="G357" i="11"/>
  <c r="H357" i="11" s="1"/>
  <c r="H356" i="11"/>
  <c r="G356" i="11"/>
  <c r="G355" i="11"/>
  <c r="H355" i="11" s="1"/>
  <c r="H354" i="11"/>
  <c r="G354" i="11"/>
  <c r="G353" i="11"/>
  <c r="H353" i="11" s="1"/>
  <c r="H352" i="11"/>
  <c r="G352" i="11"/>
  <c r="G351" i="11"/>
  <c r="H351" i="11" s="1"/>
  <c r="H350" i="11"/>
  <c r="G350" i="11"/>
  <c r="G349" i="11"/>
  <c r="H349" i="11" s="1"/>
  <c r="H348" i="11"/>
  <c r="G348" i="11"/>
  <c r="G347" i="11"/>
  <c r="H347" i="11" s="1"/>
  <c r="H346" i="11"/>
  <c r="G346" i="11"/>
  <c r="G345" i="11"/>
  <c r="H345" i="11" s="1"/>
  <c r="H344" i="11"/>
  <c r="G344" i="11"/>
  <c r="G343" i="11"/>
  <c r="H343" i="11" s="1"/>
  <c r="H342" i="11"/>
  <c r="G342" i="11"/>
  <c r="G341" i="11"/>
  <c r="H341" i="11" s="1"/>
  <c r="H338" i="11"/>
  <c r="G338" i="11"/>
  <c r="G337" i="11"/>
  <c r="H337" i="11" s="1"/>
  <c r="H336" i="11"/>
  <c r="G336" i="11"/>
  <c r="G335" i="11"/>
  <c r="H335" i="11" s="1"/>
  <c r="H334" i="11"/>
  <c r="G334" i="11"/>
  <c r="G333" i="11"/>
  <c r="H333" i="11" s="1"/>
  <c r="H332" i="11"/>
  <c r="G332" i="11"/>
  <c r="G331" i="11"/>
  <c r="H331" i="11" s="1"/>
  <c r="H330" i="11"/>
  <c r="G330" i="11"/>
  <c r="G329" i="11"/>
  <c r="H329" i="11" s="1"/>
  <c r="H328" i="11"/>
  <c r="G328" i="11"/>
  <c r="G327" i="11"/>
  <c r="H327" i="11" s="1"/>
  <c r="H326" i="11"/>
  <c r="G326" i="11"/>
  <c r="G325" i="11"/>
  <c r="H325" i="11" s="1"/>
  <c r="H324" i="11"/>
  <c r="G324" i="11"/>
  <c r="G323" i="11"/>
  <c r="H323" i="11" s="1"/>
  <c r="H322" i="11"/>
  <c r="G322" i="11"/>
  <c r="G321" i="11"/>
  <c r="H321" i="11" s="1"/>
  <c r="H320" i="11"/>
  <c r="G320" i="11"/>
  <c r="G319" i="11"/>
  <c r="H319" i="11" s="1"/>
  <c r="H318" i="11"/>
  <c r="G318" i="11"/>
  <c r="G317" i="11"/>
  <c r="H317" i="11" s="1"/>
  <c r="H316" i="11"/>
  <c r="G316" i="11"/>
  <c r="B313" i="11"/>
  <c r="H310" i="11"/>
  <c r="G310" i="11"/>
  <c r="G309" i="11"/>
  <c r="H309" i="11" s="1"/>
  <c r="H308" i="11"/>
  <c r="G308" i="11"/>
  <c r="G307" i="11"/>
  <c r="H307" i="11" s="1"/>
  <c r="H306" i="11"/>
  <c r="G306" i="11"/>
  <c r="G305" i="11"/>
  <c r="H305" i="11" s="1"/>
  <c r="G304" i="11"/>
  <c r="H304" i="11" s="1"/>
  <c r="G303" i="11"/>
  <c r="H303" i="11" s="1"/>
  <c r="G302" i="11"/>
  <c r="H302" i="11" s="1"/>
  <c r="G301" i="11"/>
  <c r="H301" i="11" s="1"/>
  <c r="H300" i="11"/>
  <c r="G300" i="11"/>
  <c r="G299" i="11"/>
  <c r="H299" i="11" s="1"/>
  <c r="H298" i="11"/>
  <c r="G298" i="11"/>
  <c r="G297" i="11"/>
  <c r="H297" i="11" s="1"/>
  <c r="H296" i="11"/>
  <c r="G296" i="11"/>
  <c r="G295" i="11"/>
  <c r="H295" i="11" s="1"/>
  <c r="G294" i="11"/>
  <c r="H294" i="11" s="1"/>
  <c r="G293" i="11"/>
  <c r="H293" i="11" s="1"/>
  <c r="H292" i="11"/>
  <c r="G292" i="11"/>
  <c r="G291" i="11"/>
  <c r="H291" i="11" s="1"/>
  <c r="H290" i="11"/>
  <c r="G290" i="11"/>
  <c r="G289" i="11"/>
  <c r="H289" i="11" s="1"/>
  <c r="G288" i="11"/>
  <c r="H288" i="11" s="1"/>
  <c r="G287" i="11"/>
  <c r="H287" i="11" s="1"/>
  <c r="G286" i="11"/>
  <c r="H286" i="11" s="1"/>
  <c r="G285" i="11"/>
  <c r="H285" i="11" s="1"/>
  <c r="H284" i="11"/>
  <c r="G284" i="11"/>
  <c r="G283" i="11"/>
  <c r="H283" i="11" s="1"/>
  <c r="H282" i="11"/>
  <c r="G282" i="11"/>
  <c r="G281" i="11"/>
  <c r="H281" i="11" s="1"/>
  <c r="G280" i="11"/>
  <c r="H280" i="11" s="1"/>
  <c r="H279" i="11"/>
  <c r="G279" i="11"/>
  <c r="G278" i="11"/>
  <c r="H278" i="11" s="1"/>
  <c r="H277" i="11"/>
  <c r="G277" i="11"/>
  <c r="G276" i="11"/>
  <c r="H276" i="11" s="1"/>
  <c r="H275" i="11"/>
  <c r="G275" i="11"/>
  <c r="G274" i="11"/>
  <c r="H274" i="11" s="1"/>
  <c r="H273" i="11"/>
  <c r="G273" i="11"/>
  <c r="G272" i="11"/>
  <c r="H272" i="11" s="1"/>
  <c r="G268" i="11"/>
  <c r="H268" i="11" s="1"/>
  <c r="G267" i="11"/>
  <c r="H267" i="11" s="1"/>
  <c r="G266" i="11"/>
  <c r="H266" i="11" s="1"/>
  <c r="H265" i="11"/>
  <c r="G265" i="11"/>
  <c r="G264" i="11"/>
  <c r="H264" i="11" s="1"/>
  <c r="G263" i="11"/>
  <c r="H263" i="11" s="1"/>
  <c r="G262" i="11"/>
  <c r="H262" i="11" s="1"/>
  <c r="B259" i="11"/>
  <c r="G257" i="11"/>
  <c r="H257" i="11" s="1"/>
  <c r="G256" i="11"/>
  <c r="H256" i="11" s="1"/>
  <c r="G255" i="11"/>
  <c r="H255" i="11" s="1"/>
  <c r="H254" i="11"/>
  <c r="G254" i="11"/>
  <c r="G253" i="11"/>
  <c r="H253" i="11" s="1"/>
  <c r="G252" i="11"/>
  <c r="H252" i="11" s="1"/>
  <c r="G250" i="11"/>
  <c r="H250" i="11" s="1"/>
  <c r="G249" i="11"/>
  <c r="H249" i="11" s="1"/>
  <c r="G248" i="11"/>
  <c r="H248" i="11" s="1"/>
  <c r="G247" i="11"/>
  <c r="H247" i="11" s="1"/>
  <c r="G246" i="11"/>
  <c r="H246" i="11" s="1"/>
  <c r="H245" i="11"/>
  <c r="G245" i="11"/>
  <c r="G244" i="11"/>
  <c r="H244" i="11" s="1"/>
  <c r="G243" i="11"/>
  <c r="H243" i="11" s="1"/>
  <c r="G242" i="11"/>
  <c r="H242" i="11" s="1"/>
  <c r="G241" i="11"/>
  <c r="H241" i="11" s="1"/>
  <c r="G240" i="11"/>
  <c r="H240" i="11" s="1"/>
  <c r="G239" i="11"/>
  <c r="H239" i="11" s="1"/>
  <c r="G238" i="11"/>
  <c r="H238" i="11" s="1"/>
  <c r="H237" i="11"/>
  <c r="G237" i="11"/>
  <c r="G236" i="11"/>
  <c r="H236" i="11" s="1"/>
  <c r="G235" i="11"/>
  <c r="H235" i="11" s="1"/>
  <c r="G234" i="11"/>
  <c r="H234" i="11" s="1"/>
  <c r="G233" i="11"/>
  <c r="H233" i="11" s="1"/>
  <c r="G232" i="11"/>
  <c r="H232" i="11" s="1"/>
  <c r="G231" i="11"/>
  <c r="H231" i="11" s="1"/>
  <c r="G230" i="11"/>
  <c r="H230" i="11" s="1"/>
  <c r="H229" i="11"/>
  <c r="G229" i="11"/>
  <c r="G228" i="11"/>
  <c r="H228" i="11" s="1"/>
  <c r="G227" i="11"/>
  <c r="H227" i="11" s="1"/>
  <c r="G226" i="11"/>
  <c r="H226" i="11" s="1"/>
  <c r="G225" i="11"/>
  <c r="H225" i="11" s="1"/>
  <c r="G224" i="11"/>
  <c r="H224" i="11" s="1"/>
  <c r="G223" i="11"/>
  <c r="H223" i="11" s="1"/>
  <c r="G222" i="11"/>
  <c r="H222" i="11" s="1"/>
  <c r="H221" i="11"/>
  <c r="G221" i="11"/>
  <c r="G220" i="11"/>
  <c r="H220" i="11" s="1"/>
  <c r="G219" i="11"/>
  <c r="H219" i="11" s="1"/>
  <c r="G218" i="11"/>
  <c r="H218" i="11" s="1"/>
  <c r="G217" i="11"/>
  <c r="H217" i="11" s="1"/>
  <c r="G216" i="11"/>
  <c r="H216" i="11" s="1"/>
  <c r="G215" i="11"/>
  <c r="H215" i="11" s="1"/>
  <c r="G214" i="11"/>
  <c r="H214" i="11" s="1"/>
  <c r="H213" i="11"/>
  <c r="G213" i="11"/>
  <c r="G212" i="11"/>
  <c r="H212" i="11" s="1"/>
  <c r="G209" i="11"/>
  <c r="H209" i="11" s="1"/>
  <c r="G208" i="11"/>
  <c r="H208" i="11" s="1"/>
  <c r="G207" i="11"/>
  <c r="H207" i="11" s="1"/>
  <c r="G206" i="11"/>
  <c r="H206" i="11" s="1"/>
  <c r="G205" i="11"/>
  <c r="H205" i="11" s="1"/>
  <c r="G204" i="11"/>
  <c r="H204" i="11" s="1"/>
  <c r="H203" i="11"/>
  <c r="G203" i="11"/>
  <c r="B200" i="11"/>
  <c r="G198" i="11"/>
  <c r="H198" i="11" s="1"/>
  <c r="G197" i="11"/>
  <c r="H197" i="11" s="1"/>
  <c r="G196" i="11"/>
  <c r="H196" i="11" s="1"/>
  <c r="G195" i="11"/>
  <c r="H195" i="11" s="1"/>
  <c r="G194" i="11"/>
  <c r="H194" i="11" s="1"/>
  <c r="G193" i="11"/>
  <c r="H193" i="11" s="1"/>
  <c r="H192" i="11"/>
  <c r="G192" i="11"/>
  <c r="G191" i="11"/>
  <c r="H191" i="11" s="1"/>
  <c r="G190" i="11"/>
  <c r="H190" i="11" s="1"/>
  <c r="G189" i="11"/>
  <c r="H189" i="11" s="1"/>
  <c r="G188" i="11"/>
  <c r="H188" i="11" s="1"/>
  <c r="G187" i="11"/>
  <c r="H187" i="11" s="1"/>
  <c r="G186" i="11"/>
  <c r="H186" i="11" s="1"/>
  <c r="G185" i="11"/>
  <c r="H185" i="11" s="1"/>
  <c r="H184" i="11"/>
  <c r="G184" i="11"/>
  <c r="G183" i="11"/>
  <c r="H183" i="11" s="1"/>
  <c r="G182" i="11"/>
  <c r="H182" i="11" s="1"/>
  <c r="G181" i="11"/>
  <c r="H181" i="11" s="1"/>
  <c r="G180" i="11"/>
  <c r="H180" i="11" s="1"/>
  <c r="G179" i="11"/>
  <c r="H179" i="11" s="1"/>
  <c r="G178" i="11"/>
  <c r="H178" i="11" s="1"/>
  <c r="G177" i="11"/>
  <c r="H177" i="11" s="1"/>
  <c r="H176" i="11"/>
  <c r="G176" i="11"/>
  <c r="G175" i="11"/>
  <c r="H175" i="11" s="1"/>
  <c r="G174" i="11"/>
  <c r="H174" i="11" s="1"/>
  <c r="G173" i="11"/>
  <c r="H173" i="11" s="1"/>
  <c r="G172" i="11"/>
  <c r="H172" i="11" s="1"/>
  <c r="G171" i="11"/>
  <c r="H171" i="11" s="1"/>
  <c r="G170" i="11"/>
  <c r="H170" i="11" s="1"/>
  <c r="G169" i="11"/>
  <c r="H169" i="11" s="1"/>
  <c r="H168" i="11"/>
  <c r="G168" i="11"/>
  <c r="G167" i="11"/>
  <c r="H167" i="11" s="1"/>
  <c r="G166" i="11"/>
  <c r="H166" i="11" s="1"/>
  <c r="G165" i="11"/>
  <c r="H165" i="11" s="1"/>
  <c r="G164" i="11"/>
  <c r="H164" i="11" s="1"/>
  <c r="G163" i="11"/>
  <c r="H163" i="11" s="1"/>
  <c r="G162" i="11"/>
  <c r="H162" i="11" s="1"/>
  <c r="G161" i="11"/>
  <c r="H161" i="11" s="1"/>
  <c r="H160" i="11"/>
  <c r="G160" i="11"/>
  <c r="G159" i="11"/>
  <c r="H159" i="11" s="1"/>
  <c r="G158" i="11"/>
  <c r="H158" i="11" s="1"/>
  <c r="G157" i="11"/>
  <c r="H157" i="11" s="1"/>
  <c r="G156" i="11"/>
  <c r="H156" i="11" s="1"/>
  <c r="G155" i="11"/>
  <c r="H155" i="11" s="1"/>
  <c r="G154" i="11"/>
  <c r="H154" i="11" s="1"/>
  <c r="G153" i="11"/>
  <c r="H153" i="11" s="1"/>
  <c r="H152" i="11"/>
  <c r="G152" i="11"/>
  <c r="G151" i="11"/>
  <c r="H151" i="11" s="1"/>
  <c r="B148" i="11"/>
  <c r="B146" i="11"/>
  <c r="F144" i="11"/>
  <c r="G144" i="11" s="1"/>
  <c r="H144" i="11" s="1"/>
  <c r="E144" i="11"/>
  <c r="D144" i="11"/>
  <c r="G143" i="11"/>
  <c r="H143" i="11" s="1"/>
  <c r="F143" i="11"/>
  <c r="E143" i="11"/>
  <c r="D143" i="11"/>
  <c r="H142" i="11"/>
  <c r="F142" i="11"/>
  <c r="E142" i="11"/>
  <c r="D142" i="11"/>
  <c r="G142" i="11" s="1"/>
  <c r="F141" i="11"/>
  <c r="E141" i="11"/>
  <c r="G141" i="11" s="1"/>
  <c r="H141" i="11" s="1"/>
  <c r="D141" i="11"/>
  <c r="F140" i="11"/>
  <c r="G140" i="11" s="1"/>
  <c r="H140" i="11" s="1"/>
  <c r="E140" i="11"/>
  <c r="D140" i="11"/>
  <c r="G139" i="11"/>
  <c r="H139" i="11" s="1"/>
  <c r="F139" i="11"/>
  <c r="E139" i="11"/>
  <c r="D139" i="11"/>
  <c r="H138" i="11"/>
  <c r="F138" i="11"/>
  <c r="E138" i="11"/>
  <c r="D138" i="11"/>
  <c r="G138" i="11" s="1"/>
  <c r="F137" i="11"/>
  <c r="E137" i="11"/>
  <c r="G137" i="11" s="1"/>
  <c r="H137" i="11" s="1"/>
  <c r="D137" i="11"/>
  <c r="F136" i="11"/>
  <c r="G136" i="11" s="1"/>
  <c r="H136" i="11" s="1"/>
  <c r="E136" i="11"/>
  <c r="D136" i="11"/>
  <c r="G135" i="11"/>
  <c r="H135" i="11" s="1"/>
  <c r="F135" i="11"/>
  <c r="E135" i="11"/>
  <c r="D135" i="11"/>
  <c r="H134" i="11"/>
  <c r="F134" i="11"/>
  <c r="E134" i="11"/>
  <c r="D134" i="11"/>
  <c r="G134" i="11" s="1"/>
  <c r="F133" i="11"/>
  <c r="E133" i="11"/>
  <c r="G133" i="11" s="1"/>
  <c r="H133" i="11" s="1"/>
  <c r="D133" i="11"/>
  <c r="F132" i="11"/>
  <c r="G132" i="11" s="1"/>
  <c r="H132" i="11" s="1"/>
  <c r="E132" i="11"/>
  <c r="D132" i="11"/>
  <c r="G131" i="11"/>
  <c r="H131" i="11" s="1"/>
  <c r="F131" i="11"/>
  <c r="E131" i="11"/>
  <c r="D131" i="11"/>
  <c r="F130" i="11"/>
  <c r="E130" i="11"/>
  <c r="D130" i="11"/>
  <c r="F129" i="11"/>
  <c r="G129" i="11" s="1"/>
  <c r="H129" i="11" s="1"/>
  <c r="E129" i="11"/>
  <c r="D129" i="11"/>
  <c r="G128" i="11"/>
  <c r="H128" i="11" s="1"/>
  <c r="F128" i="11"/>
  <c r="E128" i="11"/>
  <c r="D128" i="11"/>
  <c r="F127" i="11"/>
  <c r="E127" i="11"/>
  <c r="D127" i="11"/>
  <c r="G127" i="11" s="1"/>
  <c r="H127" i="11" s="1"/>
  <c r="F126" i="11"/>
  <c r="E126" i="11"/>
  <c r="D126" i="11"/>
  <c r="G126" i="11" s="1"/>
  <c r="H126" i="11" s="1"/>
  <c r="F125" i="11"/>
  <c r="E125" i="11"/>
  <c r="G125" i="11" s="1"/>
  <c r="H125" i="11" s="1"/>
  <c r="D125" i="11"/>
  <c r="F124" i="11"/>
  <c r="G124" i="11" s="1"/>
  <c r="H124" i="11" s="1"/>
  <c r="E124" i="11"/>
  <c r="D124" i="11"/>
  <c r="G123" i="11"/>
  <c r="H123" i="11" s="1"/>
  <c r="F123" i="11"/>
  <c r="E123" i="11"/>
  <c r="D123" i="11"/>
  <c r="F122" i="11"/>
  <c r="E122" i="11"/>
  <c r="D122" i="11"/>
  <c r="F121" i="11"/>
  <c r="G121" i="11" s="1"/>
  <c r="H121" i="11" s="1"/>
  <c r="E121" i="11"/>
  <c r="D121" i="11"/>
  <c r="G120" i="11"/>
  <c r="H120" i="11" s="1"/>
  <c r="F120" i="11"/>
  <c r="E120" i="11"/>
  <c r="D120" i="11"/>
  <c r="H119" i="11"/>
  <c r="F119" i="11"/>
  <c r="E119" i="11"/>
  <c r="D119" i="11"/>
  <c r="G119" i="11" s="1"/>
  <c r="F118" i="11"/>
  <c r="E118" i="11"/>
  <c r="D118" i="11"/>
  <c r="G118" i="11" s="1"/>
  <c r="H118" i="11" s="1"/>
  <c r="F117" i="11"/>
  <c r="E117" i="11"/>
  <c r="G117" i="11" s="1"/>
  <c r="H117" i="11" s="1"/>
  <c r="D117" i="11"/>
  <c r="F116" i="11"/>
  <c r="G116" i="11" s="1"/>
  <c r="H116" i="11" s="1"/>
  <c r="E116" i="11"/>
  <c r="D116" i="11"/>
  <c r="G115" i="11"/>
  <c r="H115" i="11" s="1"/>
  <c r="F115" i="11"/>
  <c r="E115" i="11"/>
  <c r="D115" i="11"/>
  <c r="F114" i="11"/>
  <c r="E114" i="11"/>
  <c r="D114" i="11"/>
  <c r="F113" i="11"/>
  <c r="G113" i="11" s="1"/>
  <c r="H113" i="11" s="1"/>
  <c r="E113" i="11"/>
  <c r="D113" i="11"/>
  <c r="G112" i="11"/>
  <c r="H112" i="11" s="1"/>
  <c r="F112" i="11"/>
  <c r="E112" i="11"/>
  <c r="D112" i="11"/>
  <c r="H111" i="11"/>
  <c r="F111" i="11"/>
  <c r="E111" i="11"/>
  <c r="D111" i="11"/>
  <c r="G111" i="11" s="1"/>
  <c r="F110" i="11"/>
  <c r="E110" i="11"/>
  <c r="D110" i="11"/>
  <c r="G110" i="11" s="1"/>
  <c r="H110" i="11" s="1"/>
  <c r="F109" i="11"/>
  <c r="E109" i="11"/>
  <c r="G109" i="11" s="1"/>
  <c r="H109" i="11" s="1"/>
  <c r="D109" i="11"/>
  <c r="F108" i="11"/>
  <c r="G108" i="11" s="1"/>
  <c r="H108" i="11" s="1"/>
  <c r="E108" i="11"/>
  <c r="D108" i="11"/>
  <c r="G107" i="11"/>
  <c r="H107" i="11" s="1"/>
  <c r="F107" i="11"/>
  <c r="E107" i="11"/>
  <c r="D107" i="11"/>
  <c r="F106" i="11"/>
  <c r="E106" i="11"/>
  <c r="D106" i="11"/>
  <c r="G105" i="11"/>
  <c r="H105" i="11" s="1"/>
  <c r="H104" i="11"/>
  <c r="G104" i="11"/>
  <c r="F103" i="11"/>
  <c r="E103" i="11"/>
  <c r="G103" i="11" s="1"/>
  <c r="H103" i="11" s="1"/>
  <c r="D103" i="11"/>
  <c r="F102" i="11"/>
  <c r="G102" i="11" s="1"/>
  <c r="H102" i="11" s="1"/>
  <c r="E102" i="11"/>
  <c r="D102" i="11"/>
  <c r="G101" i="11"/>
  <c r="H101" i="11" s="1"/>
  <c r="F101" i="11"/>
  <c r="E101" i="11"/>
  <c r="D101" i="11"/>
  <c r="H100" i="11"/>
  <c r="F100" i="11"/>
  <c r="E100" i="11"/>
  <c r="D100" i="11"/>
  <c r="G100" i="11" s="1"/>
  <c r="G99" i="11"/>
  <c r="H99" i="11" s="1"/>
  <c r="F99" i="11"/>
  <c r="E99" i="11"/>
  <c r="D99" i="11"/>
  <c r="H98" i="11"/>
  <c r="F98" i="11"/>
  <c r="E98" i="11"/>
  <c r="D98" i="11"/>
  <c r="G98" i="11" s="1"/>
  <c r="F97" i="11"/>
  <c r="E97" i="11"/>
  <c r="G97" i="11" s="1"/>
  <c r="H97" i="11" s="1"/>
  <c r="D97" i="11"/>
  <c r="F96" i="11"/>
  <c r="E96" i="11"/>
  <c r="D96" i="11"/>
  <c r="F95" i="11"/>
  <c r="E95" i="11"/>
  <c r="G95" i="11" s="1"/>
  <c r="H95" i="11" s="1"/>
  <c r="D95" i="11"/>
  <c r="F94" i="11"/>
  <c r="G94" i="11" s="1"/>
  <c r="H94" i="11" s="1"/>
  <c r="E94" i="11"/>
  <c r="D94" i="11"/>
  <c r="G93" i="11"/>
  <c r="H93" i="11" s="1"/>
  <c r="F93" i="11"/>
  <c r="E93" i="11"/>
  <c r="D93" i="11"/>
  <c r="H92" i="11"/>
  <c r="F92" i="11"/>
  <c r="E92" i="11"/>
  <c r="D92" i="11"/>
  <c r="G92" i="11" s="1"/>
  <c r="H91" i="11"/>
  <c r="F91" i="11"/>
  <c r="E91" i="11"/>
  <c r="D91" i="11"/>
  <c r="G91" i="11" s="1"/>
  <c r="F90" i="11"/>
  <c r="E90" i="11"/>
  <c r="G90" i="11" s="1"/>
  <c r="H90" i="11" s="1"/>
  <c r="D90" i="11"/>
  <c r="F89" i="11"/>
  <c r="G89" i="11" s="1"/>
  <c r="H89" i="11" s="1"/>
  <c r="E89" i="11"/>
  <c r="D89" i="11"/>
  <c r="G88" i="11"/>
  <c r="H88" i="11" s="1"/>
  <c r="F88" i="11"/>
  <c r="E88" i="11"/>
  <c r="D88" i="11"/>
  <c r="F87" i="11"/>
  <c r="E87" i="11"/>
  <c r="D87" i="11"/>
  <c r="G87" i="11" s="1"/>
  <c r="H87" i="11" s="1"/>
  <c r="F86" i="11"/>
  <c r="E86" i="11"/>
  <c r="G86" i="11" s="1"/>
  <c r="H86" i="11" s="1"/>
  <c r="D86" i="11"/>
  <c r="F85" i="11"/>
  <c r="G85" i="11" s="1"/>
  <c r="H85" i="11" s="1"/>
  <c r="E85" i="11"/>
  <c r="D85" i="11"/>
  <c r="G84" i="11"/>
  <c r="H84" i="11" s="1"/>
  <c r="F84" i="11"/>
  <c r="E84" i="11"/>
  <c r="D84" i="11"/>
  <c r="H83" i="11"/>
  <c r="F83" i="11"/>
  <c r="E83" i="11"/>
  <c r="D83" i="11"/>
  <c r="G83" i="11" s="1"/>
  <c r="B80" i="11"/>
  <c r="F78" i="11"/>
  <c r="E78" i="11"/>
  <c r="G78" i="11" s="1"/>
  <c r="H78" i="11" s="1"/>
  <c r="D78" i="11"/>
  <c r="F77" i="11"/>
  <c r="G77" i="11" s="1"/>
  <c r="H77" i="11" s="1"/>
  <c r="E77" i="11"/>
  <c r="D77" i="11"/>
  <c r="G76" i="11"/>
  <c r="H76" i="11" s="1"/>
  <c r="F76" i="11"/>
  <c r="E76" i="11"/>
  <c r="D76" i="11"/>
  <c r="H75" i="11"/>
  <c r="F75" i="11"/>
  <c r="E75" i="11"/>
  <c r="D75" i="11"/>
  <c r="G75" i="11" s="1"/>
  <c r="F74" i="11"/>
  <c r="E74" i="11"/>
  <c r="G74" i="11" s="1"/>
  <c r="H74" i="11" s="1"/>
  <c r="D74" i="11"/>
  <c r="F73" i="11"/>
  <c r="G73" i="11" s="1"/>
  <c r="H73" i="11" s="1"/>
  <c r="E73" i="11"/>
  <c r="D73" i="11"/>
  <c r="G72" i="11"/>
  <c r="H72" i="11" s="1"/>
  <c r="F72" i="11"/>
  <c r="E72" i="11"/>
  <c r="D72" i="11"/>
  <c r="F71" i="11"/>
  <c r="E71" i="11"/>
  <c r="D71" i="11"/>
  <c r="G71" i="11" s="1"/>
  <c r="H71" i="11" s="1"/>
  <c r="F70" i="11"/>
  <c r="E70" i="11"/>
  <c r="G70" i="11" s="1"/>
  <c r="H70" i="11" s="1"/>
  <c r="D70" i="11"/>
  <c r="F69" i="11"/>
  <c r="G69" i="11" s="1"/>
  <c r="H69" i="11" s="1"/>
  <c r="E69" i="11"/>
  <c r="D69" i="11"/>
  <c r="G68" i="11"/>
  <c r="H68" i="11" s="1"/>
  <c r="F68" i="11"/>
  <c r="E68" i="11"/>
  <c r="D68" i="11"/>
  <c r="H67" i="11"/>
  <c r="F67" i="11"/>
  <c r="E67" i="11"/>
  <c r="D67" i="11"/>
  <c r="G67" i="11" s="1"/>
  <c r="F66" i="11"/>
  <c r="E66" i="11"/>
  <c r="G66" i="11" s="1"/>
  <c r="H66" i="11" s="1"/>
  <c r="D66" i="11"/>
  <c r="F65" i="11"/>
  <c r="G65" i="11" s="1"/>
  <c r="H65" i="11" s="1"/>
  <c r="E65" i="11"/>
  <c r="D65" i="11"/>
  <c r="G64" i="11"/>
  <c r="H64" i="11" s="1"/>
  <c r="F64" i="11"/>
  <c r="E64" i="11"/>
  <c r="D64" i="11"/>
  <c r="F63" i="11"/>
  <c r="E63" i="11"/>
  <c r="D63" i="11"/>
  <c r="G63" i="11" s="1"/>
  <c r="H63" i="11" s="1"/>
  <c r="F62" i="11"/>
  <c r="E62" i="11"/>
  <c r="G62" i="11" s="1"/>
  <c r="H62" i="11" s="1"/>
  <c r="D62" i="11"/>
  <c r="F61" i="11"/>
  <c r="G61" i="11" s="1"/>
  <c r="H61" i="11" s="1"/>
  <c r="E61" i="11"/>
  <c r="D61" i="11"/>
  <c r="G60" i="11"/>
  <c r="H60" i="11" s="1"/>
  <c r="F60" i="11"/>
  <c r="E60" i="11"/>
  <c r="D60" i="11"/>
  <c r="H59" i="11"/>
  <c r="F59" i="11"/>
  <c r="E59" i="11"/>
  <c r="D59" i="11"/>
  <c r="G59" i="11" s="1"/>
  <c r="F58" i="11"/>
  <c r="E58" i="11"/>
  <c r="G58" i="11" s="1"/>
  <c r="H58" i="11" s="1"/>
  <c r="D58" i="11"/>
  <c r="F57" i="11"/>
  <c r="G57" i="11" s="1"/>
  <c r="H57" i="11" s="1"/>
  <c r="E57" i="11"/>
  <c r="D57" i="11"/>
  <c r="G56" i="11"/>
  <c r="H56" i="11" s="1"/>
  <c r="F56" i="11"/>
  <c r="E56" i="11"/>
  <c r="D56" i="11"/>
  <c r="F55" i="11"/>
  <c r="E55" i="11"/>
  <c r="D55" i="11"/>
  <c r="F54" i="11"/>
  <c r="E54" i="11"/>
  <c r="G54" i="11" s="1"/>
  <c r="H54" i="11" s="1"/>
  <c r="D54" i="11"/>
  <c r="F53" i="11"/>
  <c r="G53" i="11" s="1"/>
  <c r="H53" i="11" s="1"/>
  <c r="E53" i="11"/>
  <c r="D53" i="11"/>
  <c r="G52" i="11"/>
  <c r="H52" i="11" s="1"/>
  <c r="F52" i="11"/>
  <c r="E52" i="11"/>
  <c r="D52" i="11"/>
  <c r="F51" i="11"/>
  <c r="E51" i="11"/>
  <c r="D51" i="11"/>
  <c r="F50" i="11"/>
  <c r="E50" i="11"/>
  <c r="G50" i="11" s="1"/>
  <c r="H50" i="11" s="1"/>
  <c r="D50" i="11"/>
  <c r="F49" i="11"/>
  <c r="G49" i="11" s="1"/>
  <c r="H49" i="11" s="1"/>
  <c r="E49" i="11"/>
  <c r="D49" i="11"/>
  <c r="G48" i="11"/>
  <c r="H48" i="11" s="1"/>
  <c r="F48" i="11"/>
  <c r="E48" i="11"/>
  <c r="D48" i="11"/>
  <c r="F47" i="11"/>
  <c r="E47" i="11"/>
  <c r="D47" i="11"/>
  <c r="F46" i="11"/>
  <c r="E46" i="11"/>
  <c r="G46" i="11" s="1"/>
  <c r="H46" i="11" s="1"/>
  <c r="D46" i="11"/>
  <c r="F45" i="11"/>
  <c r="G45" i="11" s="1"/>
  <c r="H45" i="11" s="1"/>
  <c r="E45" i="11"/>
  <c r="D45" i="11"/>
  <c r="G44" i="11"/>
  <c r="H44" i="11" s="1"/>
  <c r="F44" i="11"/>
  <c r="E44" i="11"/>
  <c r="D44" i="11"/>
  <c r="F43" i="11"/>
  <c r="E43" i="11"/>
  <c r="D43" i="11"/>
  <c r="F42" i="11"/>
  <c r="E42" i="11"/>
  <c r="G42" i="11" s="1"/>
  <c r="H42" i="11" s="1"/>
  <c r="D42" i="11"/>
  <c r="F41" i="11"/>
  <c r="G41" i="11" s="1"/>
  <c r="H41" i="11" s="1"/>
  <c r="E41" i="11"/>
  <c r="D41" i="11"/>
  <c r="G40" i="11"/>
  <c r="H40" i="11" s="1"/>
  <c r="F40" i="11"/>
  <c r="E40" i="11"/>
  <c r="D40" i="11"/>
  <c r="F37" i="11"/>
  <c r="E37" i="11"/>
  <c r="D37" i="11"/>
  <c r="F36" i="11"/>
  <c r="E36" i="11"/>
  <c r="G36" i="11" s="1"/>
  <c r="H36" i="11" s="1"/>
  <c r="D36" i="11"/>
  <c r="F35" i="11"/>
  <c r="G35" i="11" s="1"/>
  <c r="H35" i="11" s="1"/>
  <c r="E35" i="11"/>
  <c r="D35" i="11"/>
  <c r="G34" i="11"/>
  <c r="H34" i="11" s="1"/>
  <c r="F34" i="11"/>
  <c r="E34" i="11"/>
  <c r="D34" i="11"/>
  <c r="F33" i="11"/>
  <c r="E33" i="11"/>
  <c r="D33" i="11"/>
  <c r="F32" i="11"/>
  <c r="E32" i="11"/>
  <c r="G32" i="11" s="1"/>
  <c r="H32" i="11" s="1"/>
  <c r="D32" i="11"/>
  <c r="F31" i="11"/>
  <c r="G31" i="11" s="1"/>
  <c r="H31" i="11" s="1"/>
  <c r="E31" i="11"/>
  <c r="D31" i="11"/>
  <c r="G30" i="11"/>
  <c r="H30" i="11" s="1"/>
  <c r="F30" i="11"/>
  <c r="E30" i="11"/>
  <c r="D30" i="11"/>
  <c r="H29" i="11"/>
  <c r="F29" i="11"/>
  <c r="E29" i="11"/>
  <c r="D29" i="11"/>
  <c r="G29" i="11" s="1"/>
  <c r="F28" i="11"/>
  <c r="E28" i="11"/>
  <c r="G28" i="11" s="1"/>
  <c r="H28" i="11" s="1"/>
  <c r="D28" i="11"/>
  <c r="F27" i="11"/>
  <c r="G27" i="11" s="1"/>
  <c r="H27" i="11" s="1"/>
  <c r="E27" i="11"/>
  <c r="D27" i="11"/>
  <c r="F26" i="11"/>
  <c r="E26" i="11"/>
  <c r="D26" i="11"/>
  <c r="G26" i="11" s="1"/>
  <c r="H26" i="11" s="1"/>
  <c r="F25" i="11"/>
  <c r="E25" i="11"/>
  <c r="D25" i="11"/>
  <c r="G25" i="11" s="1"/>
  <c r="H25" i="11" s="1"/>
  <c r="F24" i="11"/>
  <c r="E24" i="11"/>
  <c r="G24" i="11" s="1"/>
  <c r="H24" i="11" s="1"/>
  <c r="D24" i="11"/>
  <c r="G23" i="11"/>
  <c r="H23" i="11" s="1"/>
  <c r="F23" i="11"/>
  <c r="E23" i="11"/>
  <c r="D23" i="11"/>
  <c r="G22" i="11"/>
  <c r="H22" i="11" s="1"/>
  <c r="F22" i="11"/>
  <c r="E22" i="11"/>
  <c r="D22" i="11"/>
  <c r="H21" i="11"/>
  <c r="F21" i="11"/>
  <c r="E21" i="11"/>
  <c r="D21" i="11"/>
  <c r="G21" i="11" s="1"/>
  <c r="F20" i="11"/>
  <c r="E20" i="11"/>
  <c r="G20" i="11" s="1"/>
  <c r="H20" i="11" s="1"/>
  <c r="D20" i="11"/>
  <c r="F19" i="11"/>
  <c r="G19" i="11" s="1"/>
  <c r="H19" i="11" s="1"/>
  <c r="E19" i="11"/>
  <c r="D19" i="11"/>
  <c r="G18" i="11"/>
  <c r="H18" i="11" s="1"/>
  <c r="F18" i="11"/>
  <c r="E18" i="11"/>
  <c r="D18" i="11"/>
  <c r="H17" i="11"/>
  <c r="F17" i="11"/>
  <c r="E17" i="11"/>
  <c r="D17" i="11"/>
  <c r="G17" i="11" s="1"/>
  <c r="B14" i="11"/>
  <c r="B12" i="11"/>
  <c r="A12" i="11"/>
  <c r="D10" i="11"/>
  <c r="G10" i="11" s="1"/>
  <c r="H10" i="11" s="1"/>
  <c r="D9" i="11"/>
  <c r="G9" i="11" s="1"/>
  <c r="H9" i="11" s="1"/>
  <c r="G8" i="11"/>
  <c r="H8" i="11" s="1"/>
  <c r="D8" i="11"/>
  <c r="B7" i="11"/>
  <c r="B5" i="11"/>
  <c r="J371" i="10"/>
  <c r="I371" i="10"/>
  <c r="H371" i="10"/>
  <c r="K371" i="10" s="1"/>
  <c r="L371" i="10" s="1"/>
  <c r="I370" i="10"/>
  <c r="G370" i="10"/>
  <c r="H370" i="10" s="1"/>
  <c r="K370" i="10" s="1"/>
  <c r="L370" i="10" s="1"/>
  <c r="I369" i="10"/>
  <c r="G369" i="10"/>
  <c r="J369" i="10" s="1"/>
  <c r="I368" i="10"/>
  <c r="G368" i="10"/>
  <c r="L367" i="10"/>
  <c r="K367" i="10"/>
  <c r="J367" i="10"/>
  <c r="I367" i="10"/>
  <c r="I366" i="10"/>
  <c r="G366" i="10"/>
  <c r="J366" i="10" s="1"/>
  <c r="K365" i="10"/>
  <c r="L365" i="10" s="1"/>
  <c r="J365" i="10"/>
  <c r="I365" i="10"/>
  <c r="H365" i="10"/>
  <c r="I364" i="10"/>
  <c r="G364" i="10"/>
  <c r="J363" i="10"/>
  <c r="I363" i="10"/>
  <c r="H363" i="10"/>
  <c r="K363" i="10" s="1"/>
  <c r="L363" i="10" s="1"/>
  <c r="G363" i="10"/>
  <c r="K362" i="10"/>
  <c r="L362" i="10" s="1"/>
  <c r="J362" i="10"/>
  <c r="I362" i="10"/>
  <c r="I361" i="10"/>
  <c r="G361" i="10"/>
  <c r="J360" i="10"/>
  <c r="I360" i="10"/>
  <c r="G360" i="10"/>
  <c r="H360" i="10" s="1"/>
  <c r="K360" i="10" s="1"/>
  <c r="K359" i="10"/>
  <c r="L359" i="10" s="1"/>
  <c r="J359" i="10"/>
  <c r="I359" i="10"/>
  <c r="K358" i="10"/>
  <c r="L358" i="10" s="1"/>
  <c r="J358" i="10"/>
  <c r="I358" i="10"/>
  <c r="I357" i="10"/>
  <c r="G357" i="10"/>
  <c r="K356" i="10"/>
  <c r="J356" i="10"/>
  <c r="I356" i="10"/>
  <c r="L356" i="10" s="1"/>
  <c r="I355" i="10"/>
  <c r="G355" i="10"/>
  <c r="H355" i="10" s="1"/>
  <c r="K355" i="10" s="1"/>
  <c r="L355" i="10" s="1"/>
  <c r="F353" i="10"/>
  <c r="I353" i="10" s="1"/>
  <c r="L353" i="10" s="1"/>
  <c r="E353" i="10"/>
  <c r="C353" i="10"/>
  <c r="B353" i="10"/>
  <c r="A353" i="10"/>
  <c r="F352" i="10"/>
  <c r="E352" i="10"/>
  <c r="C352" i="10"/>
  <c r="B352" i="10"/>
  <c r="A352" i="10"/>
  <c r="F351" i="10"/>
  <c r="E351" i="10"/>
  <c r="C351" i="10"/>
  <c r="B351" i="10"/>
  <c r="A351" i="10"/>
  <c r="F350" i="10"/>
  <c r="I350" i="10" s="1"/>
  <c r="L350" i="10" s="1"/>
  <c r="E350" i="10"/>
  <c r="C350" i="10"/>
  <c r="B350" i="10"/>
  <c r="A350" i="10"/>
  <c r="F349" i="10"/>
  <c r="E349" i="10"/>
  <c r="C349" i="10"/>
  <c r="B349" i="10"/>
  <c r="A349" i="10"/>
  <c r="F348" i="10"/>
  <c r="E348" i="10"/>
  <c r="C348" i="10"/>
  <c r="B348" i="10"/>
  <c r="A348" i="10"/>
  <c r="F347" i="10"/>
  <c r="E347" i="10"/>
  <c r="C347" i="10"/>
  <c r="B347" i="10"/>
  <c r="A347" i="10"/>
  <c r="F346" i="10"/>
  <c r="E346" i="10"/>
  <c r="C346" i="10"/>
  <c r="B346" i="10"/>
  <c r="A346" i="10"/>
  <c r="F345" i="10"/>
  <c r="I345" i="10" s="1"/>
  <c r="L345" i="10" s="1"/>
  <c r="E345" i="10"/>
  <c r="C345" i="10"/>
  <c r="B345" i="10"/>
  <c r="A345" i="10"/>
  <c r="F344" i="10"/>
  <c r="E344" i="10"/>
  <c r="C344" i="10"/>
  <c r="B344" i="10"/>
  <c r="A344" i="10"/>
  <c r="F343" i="10"/>
  <c r="E343" i="10"/>
  <c r="C343" i="10"/>
  <c r="B343" i="10"/>
  <c r="A343" i="10"/>
  <c r="F342" i="10"/>
  <c r="E342" i="10"/>
  <c r="C342" i="10"/>
  <c r="B342" i="10"/>
  <c r="A342" i="10"/>
  <c r="B341" i="10"/>
  <c r="A341" i="10"/>
  <c r="F340" i="10"/>
  <c r="E340" i="10"/>
  <c r="C340" i="10"/>
  <c r="B340" i="10"/>
  <c r="A340" i="10"/>
  <c r="F339" i="10"/>
  <c r="E339" i="10"/>
  <c r="C339" i="10"/>
  <c r="B339" i="10"/>
  <c r="A339" i="10"/>
  <c r="F338" i="10"/>
  <c r="E338" i="10"/>
  <c r="I338" i="10" s="1"/>
  <c r="L338" i="10" s="1"/>
  <c r="C338" i="10"/>
  <c r="B338" i="10"/>
  <c r="A338" i="10"/>
  <c r="F337" i="10"/>
  <c r="E337" i="10"/>
  <c r="C337" i="10"/>
  <c r="B337" i="10"/>
  <c r="A337" i="10"/>
  <c r="F336" i="10"/>
  <c r="E336" i="10"/>
  <c r="C336" i="10"/>
  <c r="B336" i="10"/>
  <c r="A336" i="10"/>
  <c r="F335" i="10"/>
  <c r="E335" i="10"/>
  <c r="C335" i="10"/>
  <c r="B335" i="10"/>
  <c r="A335" i="10"/>
  <c r="F334" i="10"/>
  <c r="E334" i="10"/>
  <c r="C334" i="10"/>
  <c r="B334" i="10"/>
  <c r="A334" i="10"/>
  <c r="F333" i="10"/>
  <c r="I333" i="10" s="1"/>
  <c r="L333" i="10" s="1"/>
  <c r="E333" i="10"/>
  <c r="C333" i="10"/>
  <c r="B333" i="10"/>
  <c r="A333" i="10"/>
  <c r="F332" i="10"/>
  <c r="E332" i="10"/>
  <c r="I332" i="10" s="1"/>
  <c r="L332" i="10" s="1"/>
  <c r="C332" i="10"/>
  <c r="B332" i="10"/>
  <c r="A332" i="10"/>
  <c r="F331" i="10"/>
  <c r="E331" i="10"/>
  <c r="C331" i="10"/>
  <c r="B331" i="10"/>
  <c r="A331" i="10"/>
  <c r="F330" i="10"/>
  <c r="I330" i="10" s="1"/>
  <c r="L330" i="10" s="1"/>
  <c r="E330" i="10"/>
  <c r="C330" i="10"/>
  <c r="B330" i="10"/>
  <c r="A330" i="10"/>
  <c r="F329" i="10"/>
  <c r="E329" i="10"/>
  <c r="C329" i="10"/>
  <c r="B329" i="10"/>
  <c r="A329" i="10"/>
  <c r="F328" i="10"/>
  <c r="E328" i="10"/>
  <c r="I328" i="10" s="1"/>
  <c r="L328" i="10" s="1"/>
  <c r="C328" i="10"/>
  <c r="B328" i="10"/>
  <c r="A328" i="10"/>
  <c r="F327" i="10"/>
  <c r="I327" i="10" s="1"/>
  <c r="L327" i="10" s="1"/>
  <c r="E327" i="10"/>
  <c r="C327" i="10"/>
  <c r="B327" i="10"/>
  <c r="A327" i="10"/>
  <c r="F326" i="10"/>
  <c r="E326" i="10"/>
  <c r="C326" i="10"/>
  <c r="B326" i="10"/>
  <c r="A326" i="10"/>
  <c r="F325" i="10"/>
  <c r="E325" i="10"/>
  <c r="C325" i="10"/>
  <c r="B325" i="10"/>
  <c r="A325" i="10"/>
  <c r="F324" i="10"/>
  <c r="E324" i="10"/>
  <c r="C324" i="10"/>
  <c r="B324" i="10"/>
  <c r="A324" i="10"/>
  <c r="F323" i="10"/>
  <c r="I323" i="10" s="1"/>
  <c r="L323" i="10" s="1"/>
  <c r="E323" i="10"/>
  <c r="C323" i="10"/>
  <c r="B323" i="10"/>
  <c r="A323" i="10"/>
  <c r="F322" i="10"/>
  <c r="I322" i="10" s="1"/>
  <c r="L322" i="10" s="1"/>
  <c r="E322" i="10"/>
  <c r="C322" i="10"/>
  <c r="B322" i="10"/>
  <c r="A322" i="10"/>
  <c r="B321" i="10"/>
  <c r="A321" i="10"/>
  <c r="F320" i="10"/>
  <c r="E320" i="10"/>
  <c r="C320" i="10"/>
  <c r="B320" i="10"/>
  <c r="A320" i="10"/>
  <c r="F319" i="10"/>
  <c r="E319" i="10"/>
  <c r="C319" i="10"/>
  <c r="B319" i="10"/>
  <c r="A319" i="10"/>
  <c r="F318" i="10"/>
  <c r="I318" i="10" s="1"/>
  <c r="L318" i="10" s="1"/>
  <c r="E318" i="10"/>
  <c r="C318" i="10"/>
  <c r="B318" i="10"/>
  <c r="A318" i="10"/>
  <c r="F317" i="10"/>
  <c r="E317" i="10"/>
  <c r="C317" i="10"/>
  <c r="B317" i="10"/>
  <c r="A317" i="10"/>
  <c r="F316" i="10"/>
  <c r="E316" i="10"/>
  <c r="C316" i="10"/>
  <c r="B316" i="10"/>
  <c r="A316" i="10"/>
  <c r="F315" i="10"/>
  <c r="I315" i="10" s="1"/>
  <c r="L315" i="10" s="1"/>
  <c r="E315" i="10"/>
  <c r="C315" i="10"/>
  <c r="B315" i="10"/>
  <c r="A315" i="10"/>
  <c r="F314" i="10"/>
  <c r="E314" i="10"/>
  <c r="C314" i="10"/>
  <c r="B314" i="10"/>
  <c r="A314" i="10"/>
  <c r="F313" i="10"/>
  <c r="E313" i="10"/>
  <c r="I313" i="10" s="1"/>
  <c r="L313" i="10" s="1"/>
  <c r="C313" i="10"/>
  <c r="B313" i="10"/>
  <c r="A313" i="10"/>
  <c r="F312" i="10"/>
  <c r="I312" i="10" s="1"/>
  <c r="L312" i="10" s="1"/>
  <c r="E312" i="10"/>
  <c r="C312" i="10"/>
  <c r="B312" i="10"/>
  <c r="A312" i="10"/>
  <c r="F311" i="10"/>
  <c r="E311" i="10"/>
  <c r="C311" i="10"/>
  <c r="B311" i="10"/>
  <c r="A311" i="10"/>
  <c r="F310" i="10"/>
  <c r="E310" i="10"/>
  <c r="C310" i="10"/>
  <c r="B310" i="10"/>
  <c r="A310" i="10"/>
  <c r="F309" i="10"/>
  <c r="E309" i="10"/>
  <c r="C309" i="10"/>
  <c r="B309" i="10"/>
  <c r="A309" i="10"/>
  <c r="F308" i="10"/>
  <c r="I308" i="10" s="1"/>
  <c r="L308" i="10" s="1"/>
  <c r="E308" i="10"/>
  <c r="C308" i="10"/>
  <c r="B308" i="10"/>
  <c r="A308" i="10"/>
  <c r="F307" i="10"/>
  <c r="I307" i="10" s="1"/>
  <c r="L307" i="10" s="1"/>
  <c r="E307" i="10"/>
  <c r="C307" i="10"/>
  <c r="B307" i="10"/>
  <c r="A307" i="10"/>
  <c r="F306" i="10"/>
  <c r="E306" i="10"/>
  <c r="C306" i="10"/>
  <c r="B306" i="10"/>
  <c r="A306" i="10"/>
  <c r="F305" i="10"/>
  <c r="E305" i="10"/>
  <c r="C305" i="10"/>
  <c r="B305" i="10"/>
  <c r="A305" i="10"/>
  <c r="F304" i="10"/>
  <c r="E304" i="10"/>
  <c r="C304" i="10"/>
  <c r="B304" i="10"/>
  <c r="A304" i="10"/>
  <c r="F303" i="10"/>
  <c r="E303" i="10"/>
  <c r="C303" i="10"/>
  <c r="B303" i="10"/>
  <c r="A303" i="10"/>
  <c r="F302" i="10"/>
  <c r="I302" i="10" s="1"/>
  <c r="L302" i="10" s="1"/>
  <c r="E302" i="10"/>
  <c r="C302" i="10"/>
  <c r="B302" i="10"/>
  <c r="A302" i="10"/>
  <c r="B301" i="10"/>
  <c r="A301" i="10"/>
  <c r="F300" i="10"/>
  <c r="E300" i="10"/>
  <c r="C300" i="10"/>
  <c r="B300" i="10"/>
  <c r="A300" i="10"/>
  <c r="F299" i="10"/>
  <c r="I299" i="10" s="1"/>
  <c r="L299" i="10" s="1"/>
  <c r="E299" i="10"/>
  <c r="C299" i="10"/>
  <c r="B299" i="10"/>
  <c r="A299" i="10"/>
  <c r="F298" i="10"/>
  <c r="E298" i="10"/>
  <c r="I298" i="10" s="1"/>
  <c r="L298" i="10" s="1"/>
  <c r="C298" i="10"/>
  <c r="B298" i="10"/>
  <c r="A298" i="10"/>
  <c r="F297" i="10"/>
  <c r="E297" i="10"/>
  <c r="C297" i="10"/>
  <c r="B297" i="10"/>
  <c r="A297" i="10"/>
  <c r="F296" i="10"/>
  <c r="I296" i="10" s="1"/>
  <c r="L296" i="10" s="1"/>
  <c r="E296" i="10"/>
  <c r="C296" i="10"/>
  <c r="B296" i="10"/>
  <c r="A296" i="10"/>
  <c r="F295" i="10"/>
  <c r="E295" i="10"/>
  <c r="C295" i="10"/>
  <c r="B295" i="10"/>
  <c r="A295" i="10"/>
  <c r="B294" i="10"/>
  <c r="A294" i="10"/>
  <c r="F293" i="10"/>
  <c r="E293" i="10"/>
  <c r="C293" i="10"/>
  <c r="B293" i="10"/>
  <c r="A293" i="10"/>
  <c r="F292" i="10"/>
  <c r="E292" i="10"/>
  <c r="C292" i="10"/>
  <c r="B292" i="10"/>
  <c r="A292" i="10"/>
  <c r="F291" i="10"/>
  <c r="E291" i="10"/>
  <c r="C291" i="10"/>
  <c r="B291" i="10"/>
  <c r="A291" i="10"/>
  <c r="F290" i="10"/>
  <c r="E290" i="10"/>
  <c r="C290" i="10"/>
  <c r="B290" i="10"/>
  <c r="A290" i="10"/>
  <c r="F289" i="10"/>
  <c r="I289" i="10" s="1"/>
  <c r="L289" i="10" s="1"/>
  <c r="E289" i="10"/>
  <c r="C289" i="10"/>
  <c r="B289" i="10"/>
  <c r="A289" i="10"/>
  <c r="F288" i="10"/>
  <c r="E288" i="10"/>
  <c r="C288" i="10"/>
  <c r="B288" i="10"/>
  <c r="A288" i="10"/>
  <c r="F287" i="10"/>
  <c r="E287" i="10"/>
  <c r="I287" i="10" s="1"/>
  <c r="L287" i="10" s="1"/>
  <c r="C287" i="10"/>
  <c r="B287" i="10"/>
  <c r="A287" i="10"/>
  <c r="F286" i="10"/>
  <c r="E286" i="10"/>
  <c r="C286" i="10"/>
  <c r="B286" i="10"/>
  <c r="A286" i="10"/>
  <c r="F285" i="10"/>
  <c r="E285" i="10"/>
  <c r="C285" i="10"/>
  <c r="B285" i="10"/>
  <c r="A285" i="10"/>
  <c r="F284" i="10"/>
  <c r="E284" i="10"/>
  <c r="C284" i="10"/>
  <c r="B284" i="10"/>
  <c r="A284" i="10"/>
  <c r="F283" i="10"/>
  <c r="E283" i="10"/>
  <c r="C283" i="10"/>
  <c r="B283" i="10"/>
  <c r="A283" i="10"/>
  <c r="F282" i="10"/>
  <c r="E282" i="10"/>
  <c r="C282" i="10"/>
  <c r="B282" i="10"/>
  <c r="A282" i="10"/>
  <c r="B281" i="10"/>
  <c r="A281" i="10"/>
  <c r="F280" i="10"/>
  <c r="E280" i="10"/>
  <c r="C280" i="10"/>
  <c r="B280" i="10"/>
  <c r="A280" i="10"/>
  <c r="F279" i="10"/>
  <c r="E279" i="10"/>
  <c r="C279" i="10"/>
  <c r="B279" i="10"/>
  <c r="A279" i="10"/>
  <c r="F278" i="10"/>
  <c r="I278" i="10" s="1"/>
  <c r="L278" i="10" s="1"/>
  <c r="E278" i="10"/>
  <c r="C278" i="10"/>
  <c r="B278" i="10"/>
  <c r="A278" i="10"/>
  <c r="F277" i="10"/>
  <c r="E277" i="10"/>
  <c r="C277" i="10"/>
  <c r="B277" i="10"/>
  <c r="A277" i="10"/>
  <c r="F276" i="10"/>
  <c r="E276" i="10"/>
  <c r="I276" i="10" s="1"/>
  <c r="L276" i="10" s="1"/>
  <c r="C276" i="10"/>
  <c r="B276" i="10"/>
  <c r="A276" i="10"/>
  <c r="F275" i="10"/>
  <c r="E275" i="10"/>
  <c r="C275" i="10"/>
  <c r="B275" i="10"/>
  <c r="A275" i="10"/>
  <c r="I274" i="10"/>
  <c r="L274" i="10" s="1"/>
  <c r="F274" i="10"/>
  <c r="E274" i="10"/>
  <c r="C274" i="10"/>
  <c r="B274" i="10"/>
  <c r="A274" i="10"/>
  <c r="F273" i="10"/>
  <c r="E273" i="10"/>
  <c r="C273" i="10"/>
  <c r="B273" i="10"/>
  <c r="A273" i="10"/>
  <c r="F272" i="10"/>
  <c r="E272" i="10"/>
  <c r="I272" i="10" s="1"/>
  <c r="L272" i="10" s="1"/>
  <c r="C272" i="10"/>
  <c r="B272" i="10"/>
  <c r="A272" i="10"/>
  <c r="F271" i="10"/>
  <c r="I271" i="10" s="1"/>
  <c r="L271" i="10" s="1"/>
  <c r="E271" i="10"/>
  <c r="C271" i="10"/>
  <c r="B271" i="10"/>
  <c r="A271" i="10"/>
  <c r="F270" i="10"/>
  <c r="E270" i="10"/>
  <c r="I270" i="10" s="1"/>
  <c r="L270" i="10" s="1"/>
  <c r="C270" i="10"/>
  <c r="B270" i="10"/>
  <c r="A270" i="10"/>
  <c r="F269" i="10"/>
  <c r="E269" i="10"/>
  <c r="C269" i="10"/>
  <c r="B269" i="10"/>
  <c r="A269" i="10"/>
  <c r="F268" i="10"/>
  <c r="E268" i="10"/>
  <c r="C268" i="10"/>
  <c r="B268" i="10"/>
  <c r="A268" i="10"/>
  <c r="F267" i="10"/>
  <c r="I267" i="10" s="1"/>
  <c r="L267" i="10" s="1"/>
  <c r="E267" i="10"/>
  <c r="C267" i="10"/>
  <c r="B267" i="10"/>
  <c r="A267" i="10"/>
  <c r="F266" i="10"/>
  <c r="E266" i="10"/>
  <c r="C266" i="10"/>
  <c r="B266" i="10"/>
  <c r="A266" i="10"/>
  <c r="F265" i="10"/>
  <c r="E265" i="10"/>
  <c r="C265" i="10"/>
  <c r="B265" i="10"/>
  <c r="A265" i="10"/>
  <c r="F264" i="10"/>
  <c r="E264" i="10"/>
  <c r="C264" i="10"/>
  <c r="B264" i="10"/>
  <c r="A264" i="10"/>
  <c r="F263" i="10"/>
  <c r="E263" i="10"/>
  <c r="C263" i="10"/>
  <c r="B263" i="10"/>
  <c r="A263" i="10"/>
  <c r="F262" i="10"/>
  <c r="E262" i="10"/>
  <c r="C262" i="10"/>
  <c r="B262" i="10"/>
  <c r="A262" i="10"/>
  <c r="F261" i="10"/>
  <c r="E261" i="10"/>
  <c r="C261" i="10"/>
  <c r="B261" i="10"/>
  <c r="A261" i="10"/>
  <c r="B260" i="10"/>
  <c r="A260" i="10"/>
  <c r="F259" i="10"/>
  <c r="I259" i="10" s="1"/>
  <c r="L259" i="10" s="1"/>
  <c r="E259" i="10"/>
  <c r="C259" i="10"/>
  <c r="B259" i="10"/>
  <c r="A259" i="10"/>
  <c r="F258" i="10"/>
  <c r="E258" i="10"/>
  <c r="C258" i="10"/>
  <c r="B258" i="10"/>
  <c r="A258" i="10"/>
  <c r="F257" i="10"/>
  <c r="E257" i="10"/>
  <c r="C257" i="10"/>
  <c r="B257" i="10"/>
  <c r="A257" i="10"/>
  <c r="F256" i="10"/>
  <c r="E256" i="10"/>
  <c r="C256" i="10"/>
  <c r="B256" i="10"/>
  <c r="A256" i="10"/>
  <c r="F255" i="10"/>
  <c r="I255" i="10" s="1"/>
  <c r="L255" i="10" s="1"/>
  <c r="E255" i="10"/>
  <c r="C255" i="10"/>
  <c r="B255" i="10"/>
  <c r="A255" i="10"/>
  <c r="F254" i="10"/>
  <c r="I254" i="10" s="1"/>
  <c r="L254" i="10" s="1"/>
  <c r="E254" i="10"/>
  <c r="C254" i="10"/>
  <c r="B254" i="10"/>
  <c r="A254" i="10"/>
  <c r="F253" i="10"/>
  <c r="E253" i="10"/>
  <c r="C253" i="10"/>
  <c r="B253" i="10"/>
  <c r="A253" i="10"/>
  <c r="F252" i="10"/>
  <c r="E252" i="10"/>
  <c r="C252" i="10"/>
  <c r="B252" i="10"/>
  <c r="A252" i="10"/>
  <c r="I251" i="10"/>
  <c r="L251" i="10" s="1"/>
  <c r="F251" i="10"/>
  <c r="E251" i="10"/>
  <c r="C251" i="10"/>
  <c r="B251" i="10"/>
  <c r="A251" i="10"/>
  <c r="F250" i="10"/>
  <c r="E250" i="10"/>
  <c r="C250" i="10"/>
  <c r="B250" i="10"/>
  <c r="A250" i="10"/>
  <c r="F249" i="10"/>
  <c r="E249" i="10"/>
  <c r="I249" i="10" s="1"/>
  <c r="L249" i="10" s="1"/>
  <c r="C249" i="10"/>
  <c r="B249" i="10"/>
  <c r="A249" i="10"/>
  <c r="L248" i="10"/>
  <c r="F248" i="10"/>
  <c r="I248" i="10" s="1"/>
  <c r="E248" i="10"/>
  <c r="C248" i="10"/>
  <c r="B248" i="10"/>
  <c r="A248" i="10"/>
  <c r="F247" i="10"/>
  <c r="E247" i="10"/>
  <c r="C247" i="10"/>
  <c r="B247" i="10"/>
  <c r="A247" i="10"/>
  <c r="F246" i="10"/>
  <c r="E246" i="10"/>
  <c r="C246" i="10"/>
  <c r="B246" i="10"/>
  <c r="A246" i="10"/>
  <c r="F245" i="10"/>
  <c r="E245" i="10"/>
  <c r="C245" i="10"/>
  <c r="B245" i="10"/>
  <c r="A245" i="10"/>
  <c r="F244" i="10"/>
  <c r="E244" i="10"/>
  <c r="C244" i="10"/>
  <c r="B244" i="10"/>
  <c r="A244" i="10"/>
  <c r="F243" i="10"/>
  <c r="E243" i="10"/>
  <c r="C243" i="10"/>
  <c r="B243" i="10"/>
  <c r="A243" i="10"/>
  <c r="F242" i="10"/>
  <c r="E242" i="10"/>
  <c r="C242" i="10"/>
  <c r="B242" i="10"/>
  <c r="A242" i="10"/>
  <c r="F241" i="10"/>
  <c r="E241" i="10"/>
  <c r="C241" i="10"/>
  <c r="B241" i="10"/>
  <c r="A241" i="10"/>
  <c r="F240" i="10"/>
  <c r="E240" i="10"/>
  <c r="C240" i="10"/>
  <c r="B240" i="10"/>
  <c r="A240" i="10"/>
  <c r="F239" i="10"/>
  <c r="E239" i="10"/>
  <c r="C239" i="10"/>
  <c r="B239" i="10"/>
  <c r="A239" i="10"/>
  <c r="F238" i="10"/>
  <c r="I238" i="10" s="1"/>
  <c r="L238" i="10" s="1"/>
  <c r="E238" i="10"/>
  <c r="C238" i="10"/>
  <c r="B238" i="10"/>
  <c r="A238" i="10"/>
  <c r="F237" i="10"/>
  <c r="E237" i="10"/>
  <c r="C237" i="10"/>
  <c r="B237" i="10"/>
  <c r="A237" i="10"/>
  <c r="F236" i="10"/>
  <c r="E236" i="10"/>
  <c r="C236" i="10"/>
  <c r="B236" i="10"/>
  <c r="A236" i="10"/>
  <c r="F235" i="10"/>
  <c r="I235" i="10" s="1"/>
  <c r="L235" i="10" s="1"/>
  <c r="E235" i="10"/>
  <c r="C235" i="10"/>
  <c r="B235" i="10"/>
  <c r="A235" i="10"/>
  <c r="F234" i="10"/>
  <c r="E234" i="10"/>
  <c r="C234" i="10"/>
  <c r="B234" i="10"/>
  <c r="A234" i="10"/>
  <c r="F233" i="10"/>
  <c r="E233" i="10"/>
  <c r="I233" i="10" s="1"/>
  <c r="L233" i="10" s="1"/>
  <c r="C233" i="10"/>
  <c r="B233" i="10"/>
  <c r="A233" i="10"/>
  <c r="F232" i="10"/>
  <c r="I232" i="10" s="1"/>
  <c r="L232" i="10" s="1"/>
  <c r="E232" i="10"/>
  <c r="C232" i="10"/>
  <c r="B232" i="10"/>
  <c r="A232" i="10"/>
  <c r="F231" i="10"/>
  <c r="E231" i="10"/>
  <c r="C231" i="10"/>
  <c r="B231" i="10"/>
  <c r="A231" i="10"/>
  <c r="F230" i="10"/>
  <c r="E230" i="10"/>
  <c r="C230" i="10"/>
  <c r="B230" i="10"/>
  <c r="A230" i="10"/>
  <c r="F229" i="10"/>
  <c r="E229" i="10"/>
  <c r="I229" i="10" s="1"/>
  <c r="L229" i="10" s="1"/>
  <c r="C229" i="10"/>
  <c r="B229" i="10"/>
  <c r="A229" i="10"/>
  <c r="F228" i="10"/>
  <c r="E228" i="10"/>
  <c r="C228" i="10"/>
  <c r="B228" i="10"/>
  <c r="A228" i="10"/>
  <c r="F227" i="10"/>
  <c r="E227" i="10"/>
  <c r="I227" i="10" s="1"/>
  <c r="L227" i="10" s="1"/>
  <c r="C227" i="10"/>
  <c r="B227" i="10"/>
  <c r="A227" i="10"/>
  <c r="F226" i="10"/>
  <c r="E226" i="10"/>
  <c r="C226" i="10"/>
  <c r="B226" i="10"/>
  <c r="A226" i="10"/>
  <c r="F225" i="10"/>
  <c r="E225" i="10"/>
  <c r="C225" i="10"/>
  <c r="B225" i="10"/>
  <c r="A225" i="10"/>
  <c r="F224" i="10"/>
  <c r="E224" i="10"/>
  <c r="C224" i="10"/>
  <c r="B224" i="10"/>
  <c r="A224" i="10"/>
  <c r="F223" i="10"/>
  <c r="E223" i="10"/>
  <c r="C223" i="10"/>
  <c r="B223" i="10"/>
  <c r="A223" i="10"/>
  <c r="F222" i="10"/>
  <c r="E222" i="10"/>
  <c r="C222" i="10"/>
  <c r="B222" i="10"/>
  <c r="A222" i="10"/>
  <c r="F221" i="10"/>
  <c r="E221" i="10"/>
  <c r="C221" i="10"/>
  <c r="B221" i="10"/>
  <c r="A221" i="10"/>
  <c r="F220" i="10"/>
  <c r="E220" i="10"/>
  <c r="C220" i="10"/>
  <c r="B220" i="10"/>
  <c r="A220" i="10"/>
  <c r="F219" i="10"/>
  <c r="E219" i="10"/>
  <c r="C219" i="10"/>
  <c r="B219" i="10"/>
  <c r="A219" i="10"/>
  <c r="F218" i="10"/>
  <c r="E218" i="10"/>
  <c r="C218" i="10"/>
  <c r="B218" i="10"/>
  <c r="A218" i="10"/>
  <c r="F217" i="10"/>
  <c r="E217" i="10"/>
  <c r="C217" i="10"/>
  <c r="B217" i="10"/>
  <c r="A217" i="10"/>
  <c r="F216" i="10"/>
  <c r="E216" i="10"/>
  <c r="C216" i="10"/>
  <c r="B216" i="10"/>
  <c r="A216" i="10"/>
  <c r="F215" i="10"/>
  <c r="I215" i="10" s="1"/>
  <c r="L215" i="10" s="1"/>
  <c r="E215" i="10"/>
  <c r="C215" i="10"/>
  <c r="B215" i="10"/>
  <c r="A215" i="10"/>
  <c r="F214" i="10"/>
  <c r="E214" i="10"/>
  <c r="C214" i="10"/>
  <c r="B214" i="10"/>
  <c r="A214" i="10"/>
  <c r="F213" i="10"/>
  <c r="I213" i="10" s="1"/>
  <c r="L213" i="10" s="1"/>
  <c r="E213" i="10"/>
  <c r="C213" i="10"/>
  <c r="B213" i="10"/>
  <c r="A213" i="10"/>
  <c r="F212" i="10"/>
  <c r="E212" i="10"/>
  <c r="C212" i="10"/>
  <c r="B212" i="10"/>
  <c r="A212" i="10"/>
  <c r="F211" i="10"/>
  <c r="E211" i="10"/>
  <c r="C211" i="10"/>
  <c r="B211" i="10"/>
  <c r="A211" i="10"/>
  <c r="F210" i="10"/>
  <c r="I210" i="10" s="1"/>
  <c r="L210" i="10" s="1"/>
  <c r="E210" i="10"/>
  <c r="C210" i="10"/>
  <c r="B210" i="10"/>
  <c r="A210" i="10"/>
  <c r="F209" i="10"/>
  <c r="I209" i="10" s="1"/>
  <c r="L209" i="10" s="1"/>
  <c r="E209" i="10"/>
  <c r="C209" i="10"/>
  <c r="B209" i="10"/>
  <c r="A209" i="10"/>
  <c r="B208" i="10"/>
  <c r="A208" i="10"/>
  <c r="F207" i="10"/>
  <c r="I207" i="10" s="1"/>
  <c r="L207" i="10" s="1"/>
  <c r="E207" i="10"/>
  <c r="C207" i="10"/>
  <c r="B207" i="10"/>
  <c r="A207" i="10"/>
  <c r="F206" i="10"/>
  <c r="E206" i="10"/>
  <c r="C206" i="10"/>
  <c r="B206" i="10"/>
  <c r="A206" i="10"/>
  <c r="F205" i="10"/>
  <c r="E205" i="10"/>
  <c r="C205" i="10"/>
  <c r="B205" i="10"/>
  <c r="A205" i="10"/>
  <c r="F204" i="10"/>
  <c r="E204" i="10"/>
  <c r="C204" i="10"/>
  <c r="B204" i="10"/>
  <c r="A204" i="10"/>
  <c r="F203" i="10"/>
  <c r="I203" i="10" s="1"/>
  <c r="L203" i="10" s="1"/>
  <c r="E203" i="10"/>
  <c r="C203" i="10"/>
  <c r="B203" i="10"/>
  <c r="A203" i="10"/>
  <c r="B202" i="10"/>
  <c r="A202" i="10"/>
  <c r="F201" i="10"/>
  <c r="E201" i="10"/>
  <c r="C201" i="10"/>
  <c r="B201" i="10"/>
  <c r="A201" i="10"/>
  <c r="F200" i="10"/>
  <c r="I200" i="10" s="1"/>
  <c r="L200" i="10" s="1"/>
  <c r="E200" i="10"/>
  <c r="C200" i="10"/>
  <c r="B200" i="10"/>
  <c r="A200" i="10"/>
  <c r="F199" i="10"/>
  <c r="E199" i="10"/>
  <c r="C199" i="10"/>
  <c r="B199" i="10"/>
  <c r="A199" i="10"/>
  <c r="F198" i="10"/>
  <c r="E198" i="10"/>
  <c r="C198" i="10"/>
  <c r="B198" i="10"/>
  <c r="A198" i="10"/>
  <c r="F197" i="10"/>
  <c r="I197" i="10" s="1"/>
  <c r="L197" i="10" s="1"/>
  <c r="E197" i="10"/>
  <c r="C197" i="10"/>
  <c r="B197" i="10"/>
  <c r="A197" i="10"/>
  <c r="F196" i="10"/>
  <c r="I196" i="10" s="1"/>
  <c r="L196" i="10" s="1"/>
  <c r="E196" i="10"/>
  <c r="C196" i="10"/>
  <c r="B196" i="10"/>
  <c r="A196" i="10"/>
  <c r="F195" i="10"/>
  <c r="E195" i="10"/>
  <c r="I195" i="10" s="1"/>
  <c r="L195" i="10" s="1"/>
  <c r="C195" i="10"/>
  <c r="B195" i="10"/>
  <c r="A195" i="10"/>
  <c r="F194" i="10"/>
  <c r="E194" i="10"/>
  <c r="C194" i="10"/>
  <c r="B194" i="10"/>
  <c r="A194" i="10"/>
  <c r="F193" i="10"/>
  <c r="E193" i="10"/>
  <c r="C193" i="10"/>
  <c r="B193" i="10"/>
  <c r="A193" i="10"/>
  <c r="B192" i="10"/>
  <c r="A192" i="10"/>
  <c r="F191" i="10"/>
  <c r="E191" i="10"/>
  <c r="C191" i="10"/>
  <c r="B191" i="10"/>
  <c r="A191" i="10"/>
  <c r="F190" i="10"/>
  <c r="E190" i="10"/>
  <c r="C190" i="10"/>
  <c r="B190" i="10"/>
  <c r="A190" i="10"/>
  <c r="F189" i="10"/>
  <c r="I189" i="10" s="1"/>
  <c r="L189" i="10" s="1"/>
  <c r="E189" i="10"/>
  <c r="C189" i="10"/>
  <c r="B189" i="10"/>
  <c r="A189" i="10"/>
  <c r="F188" i="10"/>
  <c r="E188" i="10"/>
  <c r="C188" i="10"/>
  <c r="B188" i="10"/>
  <c r="A188" i="10"/>
  <c r="F187" i="10"/>
  <c r="E187" i="10"/>
  <c r="C187" i="10"/>
  <c r="B187" i="10"/>
  <c r="A187" i="10"/>
  <c r="F186" i="10"/>
  <c r="I186" i="10" s="1"/>
  <c r="L186" i="10" s="1"/>
  <c r="E186" i="10"/>
  <c r="C186" i="10"/>
  <c r="B186" i="10"/>
  <c r="A186" i="10"/>
  <c r="F185" i="10"/>
  <c r="E185" i="10"/>
  <c r="C185" i="10"/>
  <c r="B185" i="10"/>
  <c r="A185" i="10"/>
  <c r="F184" i="10"/>
  <c r="E184" i="10"/>
  <c r="C184" i="10"/>
  <c r="B184" i="10"/>
  <c r="A184" i="10"/>
  <c r="F183" i="10"/>
  <c r="E183" i="10"/>
  <c r="C183" i="10"/>
  <c r="B183" i="10"/>
  <c r="A183" i="10"/>
  <c r="F182" i="10"/>
  <c r="E182" i="10"/>
  <c r="C182" i="10"/>
  <c r="B182" i="10"/>
  <c r="A182" i="10"/>
  <c r="F181" i="10"/>
  <c r="E181" i="10"/>
  <c r="C181" i="10"/>
  <c r="B181" i="10"/>
  <c r="A181" i="10"/>
  <c r="F180" i="10"/>
  <c r="E180" i="10"/>
  <c r="C180" i="10"/>
  <c r="B180" i="10"/>
  <c r="A180" i="10"/>
  <c r="F179" i="10"/>
  <c r="E179" i="10"/>
  <c r="C179" i="10"/>
  <c r="B179" i="10"/>
  <c r="A179" i="10"/>
  <c r="F178" i="10"/>
  <c r="I178" i="10" s="1"/>
  <c r="L178" i="10" s="1"/>
  <c r="E178" i="10"/>
  <c r="C178" i="10"/>
  <c r="B178" i="10"/>
  <c r="A178" i="10"/>
  <c r="F177" i="10"/>
  <c r="E177" i="10"/>
  <c r="C177" i="10"/>
  <c r="B177" i="10"/>
  <c r="A177" i="10"/>
  <c r="F176" i="10"/>
  <c r="E176" i="10"/>
  <c r="I176" i="10" s="1"/>
  <c r="L176" i="10" s="1"/>
  <c r="C176" i="10"/>
  <c r="B176" i="10"/>
  <c r="A176" i="10"/>
  <c r="F175" i="10"/>
  <c r="E175" i="10"/>
  <c r="C175" i="10"/>
  <c r="B175" i="10"/>
  <c r="A175" i="10"/>
  <c r="I174" i="10"/>
  <c r="L174" i="10" s="1"/>
  <c r="F174" i="10"/>
  <c r="E174" i="10"/>
  <c r="C174" i="10"/>
  <c r="B174" i="10"/>
  <c r="A174" i="10"/>
  <c r="B173" i="10"/>
  <c r="A173" i="10"/>
  <c r="F172" i="10"/>
  <c r="E172" i="10"/>
  <c r="C172" i="10"/>
  <c r="B172" i="10"/>
  <c r="A172" i="10"/>
  <c r="F171" i="10"/>
  <c r="E171" i="10"/>
  <c r="C171" i="10"/>
  <c r="B171" i="10"/>
  <c r="A171" i="10"/>
  <c r="F170" i="10"/>
  <c r="I170" i="10" s="1"/>
  <c r="L170" i="10" s="1"/>
  <c r="E170" i="10"/>
  <c r="C170" i="10"/>
  <c r="B170" i="10"/>
  <c r="A170" i="10"/>
  <c r="F169" i="10"/>
  <c r="E169" i="10"/>
  <c r="C169" i="10"/>
  <c r="B169" i="10"/>
  <c r="A169" i="10"/>
  <c r="F168" i="10"/>
  <c r="E168" i="10"/>
  <c r="C168" i="10"/>
  <c r="B168" i="10"/>
  <c r="A168" i="10"/>
  <c r="F167" i="10"/>
  <c r="E167" i="10"/>
  <c r="C167" i="10"/>
  <c r="B167" i="10"/>
  <c r="A167" i="10"/>
  <c r="F166" i="10"/>
  <c r="I166" i="10" s="1"/>
  <c r="L166" i="10" s="1"/>
  <c r="E166" i="10"/>
  <c r="C166" i="10"/>
  <c r="B166" i="10"/>
  <c r="A166" i="10"/>
  <c r="F165" i="10"/>
  <c r="E165" i="10"/>
  <c r="C165" i="10"/>
  <c r="B165" i="10"/>
  <c r="A165" i="10"/>
  <c r="F164" i="10"/>
  <c r="E164" i="10"/>
  <c r="C164" i="10"/>
  <c r="B164" i="10"/>
  <c r="A164" i="10"/>
  <c r="F163" i="10"/>
  <c r="E163" i="10"/>
  <c r="I163" i="10" s="1"/>
  <c r="L163" i="10" s="1"/>
  <c r="C163" i="10"/>
  <c r="B163" i="10"/>
  <c r="A163" i="10"/>
  <c r="F162" i="10"/>
  <c r="I162" i="10" s="1"/>
  <c r="L162" i="10" s="1"/>
  <c r="E162" i="10"/>
  <c r="C162" i="10"/>
  <c r="B162" i="10"/>
  <c r="A162" i="10"/>
  <c r="F161" i="10"/>
  <c r="E161" i="10"/>
  <c r="C161" i="10"/>
  <c r="B161" i="10"/>
  <c r="A161" i="10"/>
  <c r="F160" i="10"/>
  <c r="E160" i="10"/>
  <c r="C160" i="10"/>
  <c r="B160" i="10"/>
  <c r="A160" i="10"/>
  <c r="F159" i="10"/>
  <c r="E159" i="10"/>
  <c r="C159" i="10"/>
  <c r="B159" i="10"/>
  <c r="A159" i="10"/>
  <c r="F158" i="10"/>
  <c r="I158" i="10" s="1"/>
  <c r="L158" i="10" s="1"/>
  <c r="E158" i="10"/>
  <c r="C158" i="10"/>
  <c r="B158" i="10"/>
  <c r="A158" i="10"/>
  <c r="F157" i="10"/>
  <c r="I157" i="10" s="1"/>
  <c r="L157" i="10" s="1"/>
  <c r="E157" i="10"/>
  <c r="C157" i="10"/>
  <c r="B157" i="10"/>
  <c r="A157" i="10"/>
  <c r="F156" i="10"/>
  <c r="E156" i="10"/>
  <c r="C156" i="10"/>
  <c r="B156" i="10"/>
  <c r="A156" i="10"/>
  <c r="B155" i="10"/>
  <c r="A155" i="10"/>
  <c r="F154" i="10"/>
  <c r="E154" i="10"/>
  <c r="C154" i="10"/>
  <c r="B154" i="10"/>
  <c r="A154" i="10"/>
  <c r="F153" i="10"/>
  <c r="E153" i="10"/>
  <c r="C153" i="10"/>
  <c r="B153" i="10"/>
  <c r="A153" i="10"/>
  <c r="F152" i="10"/>
  <c r="E152" i="10"/>
  <c r="C152" i="10"/>
  <c r="B152" i="10"/>
  <c r="A152" i="10"/>
  <c r="F151" i="10"/>
  <c r="E151" i="10"/>
  <c r="C151" i="10"/>
  <c r="B151" i="10"/>
  <c r="A151" i="10"/>
  <c r="F150" i="10"/>
  <c r="E150" i="10"/>
  <c r="C150" i="10"/>
  <c r="B150" i="10"/>
  <c r="A150" i="10"/>
  <c r="F149" i="10"/>
  <c r="E149" i="10"/>
  <c r="C149" i="10"/>
  <c r="B149" i="10"/>
  <c r="A149" i="10"/>
  <c r="F148" i="10"/>
  <c r="E148" i="10"/>
  <c r="C148" i="10"/>
  <c r="B148" i="10"/>
  <c r="A148" i="10"/>
  <c r="F147" i="10"/>
  <c r="E147" i="10"/>
  <c r="C147" i="10"/>
  <c r="B147" i="10"/>
  <c r="A147" i="10"/>
  <c r="F146" i="10"/>
  <c r="I146" i="10" s="1"/>
  <c r="L146" i="10" s="1"/>
  <c r="E146" i="10"/>
  <c r="C146" i="10"/>
  <c r="B146" i="10"/>
  <c r="A146" i="10"/>
  <c r="F145" i="10"/>
  <c r="E145" i="10"/>
  <c r="C145" i="10"/>
  <c r="B145" i="10"/>
  <c r="A145" i="10"/>
  <c r="F144" i="10"/>
  <c r="I144" i="10" s="1"/>
  <c r="L144" i="10" s="1"/>
  <c r="E144" i="10"/>
  <c r="C144" i="10"/>
  <c r="B144" i="10"/>
  <c r="A144" i="10"/>
  <c r="F143" i="10"/>
  <c r="E143" i="10"/>
  <c r="C143" i="10"/>
  <c r="B143" i="10"/>
  <c r="A143" i="10"/>
  <c r="F142" i="10"/>
  <c r="E142" i="10"/>
  <c r="C142" i="10"/>
  <c r="B142" i="10"/>
  <c r="A142" i="10"/>
  <c r="F141" i="10"/>
  <c r="E141" i="10"/>
  <c r="C141" i="10"/>
  <c r="B141" i="10"/>
  <c r="A141" i="10"/>
  <c r="F140" i="10"/>
  <c r="E140" i="10"/>
  <c r="I140" i="10" s="1"/>
  <c r="L140" i="10" s="1"/>
  <c r="C140" i="10"/>
  <c r="B140" i="10"/>
  <c r="A140" i="10"/>
  <c r="F139" i="10"/>
  <c r="I139" i="10" s="1"/>
  <c r="L139" i="10" s="1"/>
  <c r="E139" i="10"/>
  <c r="C139" i="10"/>
  <c r="B139" i="10"/>
  <c r="A139" i="10"/>
  <c r="F138" i="10"/>
  <c r="I138" i="10" s="1"/>
  <c r="L138" i="10" s="1"/>
  <c r="E138" i="10"/>
  <c r="C138" i="10"/>
  <c r="B138" i="10"/>
  <c r="A138" i="10"/>
  <c r="F137" i="10"/>
  <c r="E137" i="10"/>
  <c r="C137" i="10"/>
  <c r="B137" i="10"/>
  <c r="A137" i="10"/>
  <c r="F136" i="10"/>
  <c r="E136" i="10"/>
  <c r="C136" i="10"/>
  <c r="B136" i="10"/>
  <c r="A136" i="10"/>
  <c r="F135" i="10"/>
  <c r="I135" i="10" s="1"/>
  <c r="L135" i="10" s="1"/>
  <c r="E135" i="10"/>
  <c r="C135" i="10"/>
  <c r="B135" i="10"/>
  <c r="A135" i="10"/>
  <c r="F134" i="10"/>
  <c r="E134" i="10"/>
  <c r="C134" i="10"/>
  <c r="B134" i="10"/>
  <c r="A134" i="10"/>
  <c r="F133" i="10"/>
  <c r="E133" i="10"/>
  <c r="C133" i="10"/>
  <c r="B133" i="10"/>
  <c r="A133" i="10"/>
  <c r="F132" i="10"/>
  <c r="I132" i="10" s="1"/>
  <c r="L132" i="10" s="1"/>
  <c r="E132" i="10"/>
  <c r="C132" i="10"/>
  <c r="B132" i="10"/>
  <c r="A132" i="10"/>
  <c r="B131" i="10"/>
  <c r="A131" i="10"/>
  <c r="F130" i="10"/>
  <c r="E130" i="10"/>
  <c r="C130" i="10"/>
  <c r="B130" i="10"/>
  <c r="A130" i="10"/>
  <c r="F129" i="10"/>
  <c r="E129" i="10"/>
  <c r="C129" i="10"/>
  <c r="B129" i="10"/>
  <c r="A129" i="10"/>
  <c r="F128" i="10"/>
  <c r="E128" i="10"/>
  <c r="C128" i="10"/>
  <c r="B128" i="10"/>
  <c r="A128" i="10"/>
  <c r="F127" i="10"/>
  <c r="E127" i="10"/>
  <c r="C127" i="10"/>
  <c r="B127" i="10"/>
  <c r="A127" i="10"/>
  <c r="F126" i="10"/>
  <c r="E126" i="10"/>
  <c r="C126" i="10"/>
  <c r="B126" i="10"/>
  <c r="A126" i="10"/>
  <c r="I125" i="10"/>
  <c r="L125" i="10" s="1"/>
  <c r="F125" i="10"/>
  <c r="E125" i="10"/>
  <c r="C125" i="10"/>
  <c r="B125" i="10"/>
  <c r="A125" i="10"/>
  <c r="F124" i="10"/>
  <c r="E124" i="10"/>
  <c r="C124" i="10"/>
  <c r="B124" i="10"/>
  <c r="A124" i="10"/>
  <c r="F123" i="10"/>
  <c r="E123" i="10"/>
  <c r="C123" i="10"/>
  <c r="B123" i="10"/>
  <c r="A123" i="10"/>
  <c r="B122" i="10"/>
  <c r="A122" i="10"/>
  <c r="F121" i="10"/>
  <c r="E121" i="10"/>
  <c r="C121" i="10"/>
  <c r="B121" i="10"/>
  <c r="A121" i="10"/>
  <c r="F120" i="10"/>
  <c r="E120" i="10"/>
  <c r="C120" i="10"/>
  <c r="B120" i="10"/>
  <c r="A120" i="10"/>
  <c r="F119" i="10"/>
  <c r="I119" i="10" s="1"/>
  <c r="L119" i="10" s="1"/>
  <c r="E119" i="10"/>
  <c r="C119" i="10"/>
  <c r="B119" i="10"/>
  <c r="A119" i="10"/>
  <c r="I118" i="10"/>
  <c r="L118" i="10" s="1"/>
  <c r="F118" i="10"/>
  <c r="E118" i="10"/>
  <c r="C118" i="10"/>
  <c r="B118" i="10"/>
  <c r="A118" i="10"/>
  <c r="B117" i="10"/>
  <c r="A117" i="10"/>
  <c r="F116" i="10"/>
  <c r="E116" i="10"/>
  <c r="C116" i="10"/>
  <c r="B116" i="10"/>
  <c r="A116" i="10"/>
  <c r="F115" i="10"/>
  <c r="E115" i="10"/>
  <c r="C115" i="10"/>
  <c r="B115" i="10"/>
  <c r="A115" i="10"/>
  <c r="F114" i="10"/>
  <c r="I114" i="10" s="1"/>
  <c r="L114" i="10" s="1"/>
  <c r="E114" i="10"/>
  <c r="C114" i="10"/>
  <c r="B114" i="10"/>
  <c r="A114" i="10"/>
  <c r="F113" i="10"/>
  <c r="I113" i="10" s="1"/>
  <c r="L113" i="10" s="1"/>
  <c r="E113" i="10"/>
  <c r="C113" i="10"/>
  <c r="B113" i="10"/>
  <c r="A113" i="10"/>
  <c r="F112" i="10"/>
  <c r="E112" i="10"/>
  <c r="C112" i="10"/>
  <c r="B112" i="10"/>
  <c r="A112" i="10"/>
  <c r="B111" i="10"/>
  <c r="A111" i="10"/>
  <c r="F110" i="10"/>
  <c r="E110" i="10"/>
  <c r="C110" i="10"/>
  <c r="B110" i="10"/>
  <c r="A110" i="10"/>
  <c r="F109" i="10"/>
  <c r="E109" i="10"/>
  <c r="C109" i="10"/>
  <c r="B109" i="10"/>
  <c r="A109" i="10"/>
  <c r="F108" i="10"/>
  <c r="E108" i="10"/>
  <c r="C108" i="10"/>
  <c r="B108" i="10"/>
  <c r="A108" i="10"/>
  <c r="F107" i="10"/>
  <c r="I107" i="10" s="1"/>
  <c r="L107" i="10" s="1"/>
  <c r="E107" i="10"/>
  <c r="C107" i="10"/>
  <c r="B107" i="10"/>
  <c r="A107" i="10"/>
  <c r="B106" i="10"/>
  <c r="A106" i="10"/>
  <c r="F105" i="10"/>
  <c r="I105" i="10" s="1"/>
  <c r="L105" i="10" s="1"/>
  <c r="E105" i="10"/>
  <c r="C105" i="10"/>
  <c r="B105" i="10"/>
  <c r="A105" i="10"/>
  <c r="F104" i="10"/>
  <c r="E104" i="10"/>
  <c r="C104" i="10"/>
  <c r="B104" i="10"/>
  <c r="A104" i="10"/>
  <c r="F103" i="10"/>
  <c r="E103" i="10"/>
  <c r="C103" i="10"/>
  <c r="B103" i="10"/>
  <c r="A103" i="10"/>
  <c r="F102" i="10"/>
  <c r="E102" i="10"/>
  <c r="C102" i="10"/>
  <c r="B102" i="10"/>
  <c r="A102" i="10"/>
  <c r="B101" i="10"/>
  <c r="A101" i="10"/>
  <c r="F100" i="10"/>
  <c r="E100" i="10"/>
  <c r="C100" i="10"/>
  <c r="B100" i="10"/>
  <c r="A100" i="10"/>
  <c r="F99" i="10"/>
  <c r="E99" i="10"/>
  <c r="C99" i="10"/>
  <c r="B99" i="10"/>
  <c r="A99" i="10"/>
  <c r="F98" i="10"/>
  <c r="E98" i="10"/>
  <c r="C98" i="10"/>
  <c r="B98" i="10"/>
  <c r="A98" i="10"/>
  <c r="F97" i="10"/>
  <c r="I97" i="10" s="1"/>
  <c r="L97" i="10" s="1"/>
  <c r="E97" i="10"/>
  <c r="C97" i="10"/>
  <c r="B97" i="10"/>
  <c r="A97" i="10"/>
  <c r="B96" i="10"/>
  <c r="A96" i="10"/>
  <c r="F95" i="10"/>
  <c r="I95" i="10" s="1"/>
  <c r="L95" i="10" s="1"/>
  <c r="E95" i="10"/>
  <c r="C95" i="10"/>
  <c r="B95" i="10"/>
  <c r="A95" i="10"/>
  <c r="F94" i="10"/>
  <c r="I94" i="10" s="1"/>
  <c r="L94" i="10" s="1"/>
  <c r="E94" i="10"/>
  <c r="C94" i="10"/>
  <c r="B94" i="10"/>
  <c r="A94" i="10"/>
  <c r="F93" i="10"/>
  <c r="E93" i="10"/>
  <c r="C93" i="10"/>
  <c r="B93" i="10"/>
  <c r="A93" i="10"/>
  <c r="F92" i="10"/>
  <c r="E92" i="10"/>
  <c r="C92" i="10"/>
  <c r="B92" i="10"/>
  <c r="A92" i="10"/>
  <c r="I91" i="10"/>
  <c r="L91" i="10" s="1"/>
  <c r="F91" i="10"/>
  <c r="E91" i="10"/>
  <c r="C91" i="10"/>
  <c r="B91" i="10"/>
  <c r="A91" i="10"/>
  <c r="F90" i="10"/>
  <c r="E90" i="10"/>
  <c r="C90" i="10"/>
  <c r="B90" i="10"/>
  <c r="A90" i="10"/>
  <c r="F89" i="10"/>
  <c r="E89" i="10"/>
  <c r="C89" i="10"/>
  <c r="B89" i="10"/>
  <c r="A89" i="10"/>
  <c r="L88" i="10"/>
  <c r="F88" i="10"/>
  <c r="I88" i="10" s="1"/>
  <c r="E88" i="10"/>
  <c r="C88" i="10"/>
  <c r="B88" i="10"/>
  <c r="A88" i="10"/>
  <c r="F87" i="10"/>
  <c r="E87" i="10"/>
  <c r="C87" i="10"/>
  <c r="B87" i="10"/>
  <c r="A87" i="10"/>
  <c r="F86" i="10"/>
  <c r="E86" i="10"/>
  <c r="C86" i="10"/>
  <c r="B86" i="10"/>
  <c r="A86" i="10"/>
  <c r="F85" i="10"/>
  <c r="I85" i="10" s="1"/>
  <c r="L85" i="10" s="1"/>
  <c r="E85" i="10"/>
  <c r="C85" i="10"/>
  <c r="B85" i="10"/>
  <c r="A85" i="10"/>
  <c r="F84" i="10"/>
  <c r="E84" i="10"/>
  <c r="C84" i="10"/>
  <c r="B84" i="10"/>
  <c r="A84" i="10"/>
  <c r="F83" i="10"/>
  <c r="E83" i="10"/>
  <c r="C83" i="10"/>
  <c r="B83" i="10"/>
  <c r="A83" i="10"/>
  <c r="B82" i="10"/>
  <c r="A82" i="10"/>
  <c r="F81" i="10"/>
  <c r="I81" i="10" s="1"/>
  <c r="L81" i="10" s="1"/>
  <c r="E81" i="10"/>
  <c r="C81" i="10"/>
  <c r="B81" i="10"/>
  <c r="A81" i="10"/>
  <c r="F80" i="10"/>
  <c r="E80" i="10"/>
  <c r="I80" i="10" s="1"/>
  <c r="L80" i="10" s="1"/>
  <c r="C80" i="10"/>
  <c r="B80" i="10"/>
  <c r="A80" i="10"/>
  <c r="F79" i="10"/>
  <c r="E79" i="10"/>
  <c r="C79" i="10"/>
  <c r="B79" i="10"/>
  <c r="A79" i="10"/>
  <c r="F78" i="10"/>
  <c r="I78" i="10" s="1"/>
  <c r="L78" i="10" s="1"/>
  <c r="E78" i="10"/>
  <c r="C78" i="10"/>
  <c r="B78" i="10"/>
  <c r="A78" i="10"/>
  <c r="F77" i="10"/>
  <c r="E77" i="10"/>
  <c r="C77" i="10"/>
  <c r="B77" i="10"/>
  <c r="A77" i="10"/>
  <c r="F76" i="10"/>
  <c r="E76" i="10"/>
  <c r="C76" i="10"/>
  <c r="B76" i="10"/>
  <c r="A76" i="10"/>
  <c r="F75" i="10"/>
  <c r="E75" i="10"/>
  <c r="C75" i="10"/>
  <c r="B75" i="10"/>
  <c r="A75" i="10"/>
  <c r="F74" i="10"/>
  <c r="E74" i="10"/>
  <c r="C74" i="10"/>
  <c r="B74" i="10"/>
  <c r="A74" i="10"/>
  <c r="F73" i="10"/>
  <c r="E73" i="10"/>
  <c r="C73" i="10"/>
  <c r="B73" i="10"/>
  <c r="A73" i="10"/>
  <c r="F72" i="10"/>
  <c r="E72" i="10"/>
  <c r="C72" i="10"/>
  <c r="B72" i="10"/>
  <c r="A72" i="10"/>
  <c r="F71" i="10"/>
  <c r="E71" i="10"/>
  <c r="C71" i="10"/>
  <c r="B71" i="10"/>
  <c r="A71" i="10"/>
  <c r="F70" i="10"/>
  <c r="E70" i="10"/>
  <c r="C70" i="10"/>
  <c r="B70" i="10"/>
  <c r="A70" i="10"/>
  <c r="B69" i="10"/>
  <c r="A69" i="10"/>
  <c r="F68" i="10"/>
  <c r="E68" i="10"/>
  <c r="C68" i="10"/>
  <c r="B68" i="10"/>
  <c r="A68" i="10"/>
  <c r="G67" i="10"/>
  <c r="H67" i="10" s="1"/>
  <c r="F67" i="10"/>
  <c r="E67" i="10"/>
  <c r="C67" i="10"/>
  <c r="B67" i="10"/>
  <c r="A67" i="10"/>
  <c r="F66" i="10"/>
  <c r="E66" i="10"/>
  <c r="C66" i="10"/>
  <c r="B66" i="10"/>
  <c r="A66" i="10"/>
  <c r="F65" i="10"/>
  <c r="I65" i="10" s="1"/>
  <c r="L65" i="10" s="1"/>
  <c r="E65" i="10"/>
  <c r="C65" i="10"/>
  <c r="B65" i="10"/>
  <c r="A65" i="10"/>
  <c r="F64" i="10"/>
  <c r="I64" i="10" s="1"/>
  <c r="L64" i="10" s="1"/>
  <c r="E64" i="10"/>
  <c r="C64" i="10"/>
  <c r="B64" i="10"/>
  <c r="A64" i="10"/>
  <c r="F63" i="10"/>
  <c r="E63" i="10"/>
  <c r="C63" i="10"/>
  <c r="B63" i="10"/>
  <c r="A63" i="10"/>
  <c r="F62" i="10"/>
  <c r="E62" i="10"/>
  <c r="C62" i="10"/>
  <c r="B62" i="10"/>
  <c r="A62" i="10"/>
  <c r="I61" i="10"/>
  <c r="L61" i="10" s="1"/>
  <c r="F61" i="10"/>
  <c r="E61" i="10"/>
  <c r="C61" i="10"/>
  <c r="B61" i="10"/>
  <c r="A61" i="10"/>
  <c r="F60" i="10"/>
  <c r="E60" i="10"/>
  <c r="C60" i="10"/>
  <c r="B60" i="10"/>
  <c r="A60" i="10"/>
  <c r="F59" i="10"/>
  <c r="E59" i="10"/>
  <c r="C59" i="10"/>
  <c r="B59" i="10"/>
  <c r="A59" i="10"/>
  <c r="F58" i="10"/>
  <c r="E58" i="10"/>
  <c r="C58" i="10"/>
  <c r="B58" i="10"/>
  <c r="A58" i="10"/>
  <c r="F57" i="10"/>
  <c r="I57" i="10" s="1"/>
  <c r="L57" i="10" s="1"/>
  <c r="E57" i="10"/>
  <c r="C57" i="10"/>
  <c r="B57" i="10"/>
  <c r="A57" i="10"/>
  <c r="F56" i="10"/>
  <c r="I56" i="10" s="1"/>
  <c r="L56" i="10" s="1"/>
  <c r="E56" i="10"/>
  <c r="C56" i="10"/>
  <c r="B56" i="10"/>
  <c r="A56" i="10"/>
  <c r="G55" i="10"/>
  <c r="H55" i="10" s="1"/>
  <c r="F55" i="10"/>
  <c r="E55" i="10"/>
  <c r="K55" i="10" s="1"/>
  <c r="C55" i="10"/>
  <c r="B55" i="10"/>
  <c r="A55" i="10"/>
  <c r="G54" i="10"/>
  <c r="H54" i="10" s="1"/>
  <c r="F54" i="10"/>
  <c r="E54" i="10"/>
  <c r="C54" i="10"/>
  <c r="B54" i="10"/>
  <c r="A54" i="10"/>
  <c r="B53" i="10"/>
  <c r="A53" i="10"/>
  <c r="H52" i="10"/>
  <c r="F52" i="10"/>
  <c r="E52" i="10"/>
  <c r="J52" i="10" s="1"/>
  <c r="C52" i="10"/>
  <c r="B52" i="10"/>
  <c r="A52" i="10"/>
  <c r="I51" i="10"/>
  <c r="H51" i="10"/>
  <c r="F51" i="10"/>
  <c r="E51" i="10"/>
  <c r="K51" i="10" s="1"/>
  <c r="C51" i="10"/>
  <c r="B51" i="10"/>
  <c r="A51" i="10"/>
  <c r="K50" i="10"/>
  <c r="H50" i="10"/>
  <c r="F50" i="10"/>
  <c r="I50" i="10" s="1"/>
  <c r="E50" i="10"/>
  <c r="J50" i="10" s="1"/>
  <c r="C50" i="10"/>
  <c r="B50" i="10"/>
  <c r="A50" i="10"/>
  <c r="G49" i="10"/>
  <c r="H49" i="10" s="1"/>
  <c r="F49" i="10"/>
  <c r="E49" i="10"/>
  <c r="C49" i="10"/>
  <c r="B49" i="10"/>
  <c r="A49" i="10"/>
  <c r="H48" i="10"/>
  <c r="G48" i="10"/>
  <c r="F48" i="10"/>
  <c r="E48" i="10"/>
  <c r="C48" i="10"/>
  <c r="B48" i="10"/>
  <c r="A48" i="10"/>
  <c r="G47" i="10"/>
  <c r="F47" i="10"/>
  <c r="I47" i="10" s="1"/>
  <c r="E47" i="10"/>
  <c r="C47" i="10"/>
  <c r="B47" i="10"/>
  <c r="A47" i="10"/>
  <c r="G46" i="10"/>
  <c r="H46" i="10" s="1"/>
  <c r="F46" i="10"/>
  <c r="E46" i="10"/>
  <c r="C46" i="10"/>
  <c r="B46" i="10"/>
  <c r="A46" i="10"/>
  <c r="G45" i="10"/>
  <c r="H45" i="10" s="1"/>
  <c r="F45" i="10"/>
  <c r="E45" i="10"/>
  <c r="C45" i="10"/>
  <c r="B45" i="10"/>
  <c r="A45" i="10"/>
  <c r="H44" i="10"/>
  <c r="F44" i="10"/>
  <c r="I44" i="10" s="1"/>
  <c r="E44" i="10"/>
  <c r="J44" i="10" s="1"/>
  <c r="C44" i="10"/>
  <c r="B44" i="10"/>
  <c r="A44" i="10"/>
  <c r="H43" i="10"/>
  <c r="F43" i="10"/>
  <c r="E43" i="10"/>
  <c r="K43" i="10" s="1"/>
  <c r="C43" i="10"/>
  <c r="B43" i="10"/>
  <c r="A43" i="10"/>
  <c r="G42" i="10"/>
  <c r="H42" i="10" s="1"/>
  <c r="F42" i="10"/>
  <c r="E42" i="10"/>
  <c r="C42" i="10"/>
  <c r="B42" i="10"/>
  <c r="A42" i="10"/>
  <c r="G41" i="10"/>
  <c r="F41" i="10"/>
  <c r="E41" i="10"/>
  <c r="C41" i="10"/>
  <c r="B41" i="10"/>
  <c r="A41" i="10"/>
  <c r="G40" i="10"/>
  <c r="H40" i="10" s="1"/>
  <c r="F40" i="10"/>
  <c r="E40" i="10"/>
  <c r="C40" i="10"/>
  <c r="B40" i="10"/>
  <c r="A40" i="10"/>
  <c r="G39" i="10"/>
  <c r="H39" i="10" s="1"/>
  <c r="F39" i="10"/>
  <c r="E39" i="10"/>
  <c r="C39" i="10"/>
  <c r="B39" i="10"/>
  <c r="A39" i="10"/>
  <c r="B38" i="10"/>
  <c r="A38" i="10"/>
  <c r="K36" i="10"/>
  <c r="L36" i="10" s="1"/>
  <c r="J36" i="10"/>
  <c r="I36" i="10"/>
  <c r="I35" i="10"/>
  <c r="G35" i="10"/>
  <c r="H35" i="10" s="1"/>
  <c r="K35" i="10" s="1"/>
  <c r="L35" i="10" s="1"/>
  <c r="I34" i="10"/>
  <c r="H34" i="10"/>
  <c r="K34" i="10" s="1"/>
  <c r="L34" i="10" s="1"/>
  <c r="G34" i="10"/>
  <c r="J34" i="10" s="1"/>
  <c r="H33" i="10"/>
  <c r="E33" i="10"/>
  <c r="I33" i="10" s="1"/>
  <c r="C33" i="10"/>
  <c r="B33" i="10"/>
  <c r="A33" i="10"/>
  <c r="H32" i="10"/>
  <c r="E32" i="10"/>
  <c r="J32" i="10" s="1"/>
  <c r="C32" i="10"/>
  <c r="B32" i="10"/>
  <c r="A32" i="10"/>
  <c r="E31" i="10"/>
  <c r="K31" i="10" s="1"/>
  <c r="C31" i="10"/>
  <c r="B31" i="10"/>
  <c r="A31" i="10"/>
  <c r="H30" i="10"/>
  <c r="F30" i="10"/>
  <c r="E30" i="10"/>
  <c r="J30" i="10" s="1"/>
  <c r="C30" i="10"/>
  <c r="B30" i="10"/>
  <c r="A30" i="10"/>
  <c r="H29" i="10"/>
  <c r="F29" i="10"/>
  <c r="E29" i="10"/>
  <c r="K29" i="10" s="1"/>
  <c r="C29" i="10"/>
  <c r="B29" i="10"/>
  <c r="A29" i="10"/>
  <c r="B28" i="10"/>
  <c r="A28" i="10"/>
  <c r="H27" i="10"/>
  <c r="F27" i="10"/>
  <c r="E27" i="10"/>
  <c r="K27" i="10" s="1"/>
  <c r="C27" i="10"/>
  <c r="B27" i="10"/>
  <c r="A27" i="10"/>
  <c r="H26" i="10"/>
  <c r="F26" i="10"/>
  <c r="E26" i="10"/>
  <c r="J26" i="10" s="1"/>
  <c r="C26" i="10"/>
  <c r="B26" i="10"/>
  <c r="A26" i="10"/>
  <c r="H25" i="10"/>
  <c r="F25" i="10"/>
  <c r="E25" i="10"/>
  <c r="J25" i="10" s="1"/>
  <c r="C25" i="10"/>
  <c r="B25" i="10"/>
  <c r="A25" i="10"/>
  <c r="B24" i="10"/>
  <c r="A24" i="10"/>
  <c r="F23" i="10"/>
  <c r="I23" i="10" s="1"/>
  <c r="E23" i="10"/>
  <c r="K23" i="10" s="1"/>
  <c r="C23" i="10"/>
  <c r="B23" i="10"/>
  <c r="A23" i="10"/>
  <c r="G22" i="10"/>
  <c r="J22" i="10" s="1"/>
  <c r="F22" i="10"/>
  <c r="E22" i="10"/>
  <c r="C22" i="10"/>
  <c r="B22" i="10"/>
  <c r="A22" i="10"/>
  <c r="H21" i="10"/>
  <c r="F21" i="10"/>
  <c r="E21" i="10"/>
  <c r="C21" i="10"/>
  <c r="B21" i="10"/>
  <c r="A21" i="10"/>
  <c r="H20" i="10"/>
  <c r="K20" i="10" s="1"/>
  <c r="L20" i="10" s="1"/>
  <c r="F20" i="10"/>
  <c r="I20" i="10" s="1"/>
  <c r="E20" i="10"/>
  <c r="J20" i="10" s="1"/>
  <c r="C20" i="10"/>
  <c r="B20" i="10"/>
  <c r="A20" i="10"/>
  <c r="F19" i="10"/>
  <c r="E19" i="10"/>
  <c r="K19" i="10" s="1"/>
  <c r="C19" i="10"/>
  <c r="B19" i="10"/>
  <c r="A19" i="10"/>
  <c r="B18" i="10"/>
  <c r="A18" i="10"/>
  <c r="N39" i="7"/>
  <c r="K37" i="14" l="1"/>
  <c r="J54" i="14"/>
  <c r="K54" i="14" s="1"/>
  <c r="J77" i="14"/>
  <c r="K77" i="14" s="1"/>
  <c r="K47" i="14"/>
  <c r="K52" i="14"/>
  <c r="K66" i="14"/>
  <c r="H50" i="14"/>
  <c r="K50" i="14" s="1"/>
  <c r="H61" i="14"/>
  <c r="K61" i="14" s="1"/>
  <c r="H65" i="14"/>
  <c r="K65" i="14" s="1"/>
  <c r="H83" i="14"/>
  <c r="K83" i="14" s="1"/>
  <c r="J118" i="14"/>
  <c r="I118" i="14"/>
  <c r="J121" i="14"/>
  <c r="I121" i="14"/>
  <c r="J136" i="14"/>
  <c r="I136" i="14"/>
  <c r="J152" i="14"/>
  <c r="I152" i="14"/>
  <c r="J182" i="14"/>
  <c r="I182" i="14"/>
  <c r="J197" i="14"/>
  <c r="I197" i="14"/>
  <c r="G228" i="14"/>
  <c r="J228" i="14" s="1"/>
  <c r="K228" i="14" s="1"/>
  <c r="I228" i="14"/>
  <c r="J251" i="14"/>
  <c r="I251" i="14"/>
  <c r="H251" i="14"/>
  <c r="J255" i="14"/>
  <c r="K255" i="14" s="1"/>
  <c r="I255" i="14"/>
  <c r="H255" i="14"/>
  <c r="J275" i="14"/>
  <c r="I275" i="14"/>
  <c r="J306" i="14"/>
  <c r="I306" i="14"/>
  <c r="H306" i="14"/>
  <c r="H17" i="14"/>
  <c r="H42" i="14"/>
  <c r="K42" i="14" s="1"/>
  <c r="H46" i="14"/>
  <c r="K46" i="14" s="1"/>
  <c r="H68" i="14"/>
  <c r="K68" i="14" s="1"/>
  <c r="H72" i="14"/>
  <c r="K72" i="14" s="1"/>
  <c r="J90" i="14"/>
  <c r="I90" i="14"/>
  <c r="J101" i="14"/>
  <c r="I101" i="14"/>
  <c r="J167" i="14"/>
  <c r="I167" i="14"/>
  <c r="I17" i="14"/>
  <c r="G19" i="14"/>
  <c r="J19" i="14" s="1"/>
  <c r="K19" i="14" s="1"/>
  <c r="H20" i="14"/>
  <c r="K20" i="14" s="1"/>
  <c r="G23" i="14"/>
  <c r="J23" i="14" s="1"/>
  <c r="K23" i="14" s="1"/>
  <c r="I25" i="14"/>
  <c r="I28" i="14"/>
  <c r="I30" i="14"/>
  <c r="G33" i="14"/>
  <c r="J33" i="14" s="1"/>
  <c r="K33" i="14" s="1"/>
  <c r="G35" i="14"/>
  <c r="J35" i="14" s="1"/>
  <c r="I38" i="14"/>
  <c r="G40" i="14"/>
  <c r="J40" i="14" s="1"/>
  <c r="K40" i="14" s="1"/>
  <c r="H41" i="14"/>
  <c r="K41" i="14" s="1"/>
  <c r="I42" i="14"/>
  <c r="G44" i="14"/>
  <c r="J44" i="14" s="1"/>
  <c r="K44" i="14" s="1"/>
  <c r="I46" i="14"/>
  <c r="G48" i="14"/>
  <c r="J48" i="14" s="1"/>
  <c r="K48" i="14" s="1"/>
  <c r="I50" i="14"/>
  <c r="I53" i="14"/>
  <c r="G55" i="14"/>
  <c r="J55" i="14" s="1"/>
  <c r="K55" i="14" s="1"/>
  <c r="H56" i="14"/>
  <c r="K56" i="14" s="1"/>
  <c r="I57" i="14"/>
  <c r="G59" i="14"/>
  <c r="J59" i="14" s="1"/>
  <c r="K59" i="14" s="1"/>
  <c r="H60" i="14"/>
  <c r="K60" i="14" s="1"/>
  <c r="I61" i="14"/>
  <c r="G63" i="14"/>
  <c r="J63" i="14" s="1"/>
  <c r="K63" i="14" s="1"/>
  <c r="H64" i="14"/>
  <c r="K64" i="14" s="1"/>
  <c r="I65" i="14"/>
  <c r="I68" i="14"/>
  <c r="G70" i="14"/>
  <c r="J70" i="14" s="1"/>
  <c r="K70" i="14" s="1"/>
  <c r="H71" i="14"/>
  <c r="K71" i="14" s="1"/>
  <c r="I72" i="14"/>
  <c r="G74" i="14"/>
  <c r="J74" i="14" s="1"/>
  <c r="K74" i="14" s="1"/>
  <c r="H75" i="14"/>
  <c r="K75" i="14" s="1"/>
  <c r="I76" i="14"/>
  <c r="G78" i="14"/>
  <c r="J78" i="14" s="1"/>
  <c r="K78" i="14" s="1"/>
  <c r="H79" i="14"/>
  <c r="K79" i="14" s="1"/>
  <c r="G81" i="14"/>
  <c r="J81" i="14" s="1"/>
  <c r="K81" i="14" s="1"/>
  <c r="I83" i="14"/>
  <c r="I85" i="14"/>
  <c r="H85" i="14"/>
  <c r="J85" i="14"/>
  <c r="K85" i="14" s="1"/>
  <c r="J91" i="14"/>
  <c r="K91" i="14" s="1"/>
  <c r="I91" i="14"/>
  <c r="I93" i="14"/>
  <c r="K102" i="14"/>
  <c r="K105" i="14"/>
  <c r="J107" i="14"/>
  <c r="J108" i="14"/>
  <c r="K108" i="14" s="1"/>
  <c r="I108" i="14"/>
  <c r="I116" i="14"/>
  <c r="K119" i="14"/>
  <c r="K122" i="14"/>
  <c r="J124" i="14"/>
  <c r="J125" i="14"/>
  <c r="K125" i="14" s="1"/>
  <c r="I125" i="14"/>
  <c r="I134" i="14"/>
  <c r="K137" i="14"/>
  <c r="J139" i="14"/>
  <c r="J140" i="14"/>
  <c r="K140" i="14" s="1"/>
  <c r="I140" i="14"/>
  <c r="I150" i="14"/>
  <c r="J154" i="14"/>
  <c r="J155" i="14"/>
  <c r="K155" i="14" s="1"/>
  <c r="I155" i="14"/>
  <c r="I165" i="14"/>
  <c r="K168" i="14"/>
  <c r="J170" i="14"/>
  <c r="I180" i="14"/>
  <c r="K183" i="14"/>
  <c r="J185" i="14"/>
  <c r="J186" i="14"/>
  <c r="K186" i="14" s="1"/>
  <c r="I186" i="14"/>
  <c r="I195" i="14"/>
  <c r="K207" i="14"/>
  <c r="H215" i="14"/>
  <c r="K215" i="14" s="1"/>
  <c r="G220" i="14"/>
  <c r="J220" i="14" s="1"/>
  <c r="K220" i="14" s="1"/>
  <c r="I220" i="14"/>
  <c r="I231" i="14"/>
  <c r="I269" i="14"/>
  <c r="G269" i="14"/>
  <c r="J269" i="14" s="1"/>
  <c r="K269" i="14" s="1"/>
  <c r="G272" i="14"/>
  <c r="J272" i="14" s="1"/>
  <c r="K272" i="14" s="1"/>
  <c r="I272" i="14"/>
  <c r="H38" i="14"/>
  <c r="K38" i="14" s="1"/>
  <c r="H90" i="14"/>
  <c r="J25" i="14"/>
  <c r="K25" i="14" s="1"/>
  <c r="J28" i="14"/>
  <c r="K28" i="14" s="1"/>
  <c r="H29" i="14"/>
  <c r="K29" i="14" s="1"/>
  <c r="H31" i="14"/>
  <c r="K31" i="14" s="1"/>
  <c r="J53" i="14"/>
  <c r="K53" i="14" s="1"/>
  <c r="J57" i="14"/>
  <c r="K57" i="14" s="1"/>
  <c r="J86" i="14"/>
  <c r="I86" i="14"/>
  <c r="H86" i="14"/>
  <c r="I103" i="14"/>
  <c r="I106" i="14"/>
  <c r="J111" i="14"/>
  <c r="K111" i="14" s="1"/>
  <c r="I111" i="14"/>
  <c r="I123" i="14"/>
  <c r="I138" i="14"/>
  <c r="J144" i="14"/>
  <c r="K144" i="14" s="1"/>
  <c r="I144" i="14"/>
  <c r="J159" i="14"/>
  <c r="K159" i="14" s="1"/>
  <c r="I159" i="14"/>
  <c r="I169" i="14"/>
  <c r="J174" i="14"/>
  <c r="K174" i="14" s="1"/>
  <c r="I174" i="14"/>
  <c r="I184" i="14"/>
  <c r="K198" i="14"/>
  <c r="G212" i="14"/>
  <c r="J212" i="14" s="1"/>
  <c r="K212" i="14" s="1"/>
  <c r="I212" i="14"/>
  <c r="K231" i="14"/>
  <c r="I242" i="14"/>
  <c r="G242" i="14"/>
  <c r="J242" i="14" s="1"/>
  <c r="K242" i="14" s="1"/>
  <c r="K87" i="14"/>
  <c r="I87" i="14"/>
  <c r="K88" i="14"/>
  <c r="J98" i="14"/>
  <c r="K98" i="14" s="1"/>
  <c r="I98" i="14"/>
  <c r="H101" i="14"/>
  <c r="H118" i="14"/>
  <c r="H121" i="14"/>
  <c r="J132" i="14"/>
  <c r="K132" i="14" s="1"/>
  <c r="I132" i="14"/>
  <c r="H136" i="14"/>
  <c r="J148" i="14"/>
  <c r="K148" i="14" s="1"/>
  <c r="I148" i="14"/>
  <c r="H152" i="14"/>
  <c r="J163" i="14"/>
  <c r="K163" i="14" s="1"/>
  <c r="I163" i="14"/>
  <c r="H167" i="14"/>
  <c r="J178" i="14"/>
  <c r="K178" i="14" s="1"/>
  <c r="I178" i="14"/>
  <c r="H182" i="14"/>
  <c r="J193" i="14"/>
  <c r="K193" i="14" s="1"/>
  <c r="I193" i="14"/>
  <c r="H197" i="14"/>
  <c r="I215" i="14"/>
  <c r="K223" i="14"/>
  <c r="J281" i="14"/>
  <c r="I281" i="14"/>
  <c r="H281" i="14"/>
  <c r="H97" i="14"/>
  <c r="K97" i="14" s="1"/>
  <c r="H100" i="14"/>
  <c r="K100" i="14" s="1"/>
  <c r="H107" i="14"/>
  <c r="H110" i="14"/>
  <c r="K110" i="14" s="1"/>
  <c r="H114" i="14"/>
  <c r="K114" i="14" s="1"/>
  <c r="H117" i="14"/>
  <c r="K117" i="14" s="1"/>
  <c r="H124" i="14"/>
  <c r="H128" i="14"/>
  <c r="K128" i="14" s="1"/>
  <c r="H131" i="14"/>
  <c r="K131" i="14" s="1"/>
  <c r="H135" i="14"/>
  <c r="K135" i="14" s="1"/>
  <c r="H139" i="14"/>
  <c r="H143" i="14"/>
  <c r="K143" i="14" s="1"/>
  <c r="H147" i="14"/>
  <c r="K147" i="14" s="1"/>
  <c r="H151" i="14"/>
  <c r="K151" i="14" s="1"/>
  <c r="H154" i="14"/>
  <c r="H158" i="14"/>
  <c r="K158" i="14" s="1"/>
  <c r="H162" i="14"/>
  <c r="K162" i="14" s="1"/>
  <c r="H166" i="14"/>
  <c r="K166" i="14" s="1"/>
  <c r="H170" i="14"/>
  <c r="H173" i="14"/>
  <c r="K173" i="14" s="1"/>
  <c r="H177" i="14"/>
  <c r="K177" i="14" s="1"/>
  <c r="H181" i="14"/>
  <c r="K181" i="14" s="1"/>
  <c r="H185" i="14"/>
  <c r="H189" i="14"/>
  <c r="K189" i="14" s="1"/>
  <c r="H192" i="14"/>
  <c r="K192" i="14" s="1"/>
  <c r="H196" i="14"/>
  <c r="K196" i="14" s="1"/>
  <c r="H199" i="14"/>
  <c r="J203" i="14"/>
  <c r="K203" i="14" s="1"/>
  <c r="H203" i="14"/>
  <c r="J210" i="14"/>
  <c r="I210" i="14"/>
  <c r="H210" i="14"/>
  <c r="J218" i="14"/>
  <c r="I218" i="14"/>
  <c r="H218" i="14"/>
  <c r="J226" i="14"/>
  <c r="K226" i="14" s="1"/>
  <c r="I226" i="14"/>
  <c r="H226" i="14"/>
  <c r="J234" i="14"/>
  <c r="K234" i="14" s="1"/>
  <c r="I234" i="14"/>
  <c r="H234" i="14"/>
  <c r="I238" i="14"/>
  <c r="G238" i="14"/>
  <c r="J238" i="14" s="1"/>
  <c r="K238" i="14" s="1"/>
  <c r="K244" i="14"/>
  <c r="H244" i="14"/>
  <c r="G253" i="14"/>
  <c r="J253" i="14" s="1"/>
  <c r="K253" i="14" s="1"/>
  <c r="I253" i="14"/>
  <c r="J256" i="14"/>
  <c r="K256" i="14" s="1"/>
  <c r="I256" i="14"/>
  <c r="H256" i="14"/>
  <c r="J266" i="14"/>
  <c r="K266" i="14" s="1"/>
  <c r="I266" i="14"/>
  <c r="H266" i="14"/>
  <c r="J270" i="14"/>
  <c r="I270" i="14"/>
  <c r="H270" i="14"/>
  <c r="H275" i="14"/>
  <c r="J289" i="14"/>
  <c r="K289" i="14" s="1"/>
  <c r="I289" i="14"/>
  <c r="H289" i="14"/>
  <c r="I295" i="14"/>
  <c r="H295" i="14"/>
  <c r="K295" i="14" s="1"/>
  <c r="J300" i="14"/>
  <c r="K300" i="14" s="1"/>
  <c r="J301" i="14"/>
  <c r="K301" i="14" s="1"/>
  <c r="H89" i="14"/>
  <c r="K89" i="14" s="1"/>
  <c r="I97" i="14"/>
  <c r="I100" i="14"/>
  <c r="H106" i="14"/>
  <c r="K106" i="14" s="1"/>
  <c r="I107" i="14"/>
  <c r="I110" i="14"/>
  <c r="I114" i="14"/>
  <c r="H116" i="14"/>
  <c r="K116" i="14" s="1"/>
  <c r="I117" i="14"/>
  <c r="H123" i="14"/>
  <c r="K123" i="14" s="1"/>
  <c r="I124" i="14"/>
  <c r="H127" i="14"/>
  <c r="K127" i="14" s="1"/>
  <c r="I128" i="14"/>
  <c r="H130" i="14"/>
  <c r="K130" i="14" s="1"/>
  <c r="I131" i="14"/>
  <c r="H134" i="14"/>
  <c r="K134" i="14" s="1"/>
  <c r="I135" i="14"/>
  <c r="H138" i="14"/>
  <c r="K138" i="14" s="1"/>
  <c r="I139" i="14"/>
  <c r="H142" i="14"/>
  <c r="K142" i="14" s="1"/>
  <c r="I143" i="14"/>
  <c r="H146" i="14"/>
  <c r="K146" i="14" s="1"/>
  <c r="I147" i="14"/>
  <c r="H150" i="14"/>
  <c r="K150" i="14" s="1"/>
  <c r="I151" i="14"/>
  <c r="I154" i="14"/>
  <c r="H157" i="14"/>
  <c r="K157" i="14" s="1"/>
  <c r="I158" i="14"/>
  <c r="H161" i="14"/>
  <c r="K161" i="14" s="1"/>
  <c r="I162" i="14"/>
  <c r="H165" i="14"/>
  <c r="K165" i="14" s="1"/>
  <c r="I166" i="14"/>
  <c r="H169" i="14"/>
  <c r="K169" i="14" s="1"/>
  <c r="I170" i="14"/>
  <c r="H172" i="14"/>
  <c r="K172" i="14" s="1"/>
  <c r="I173" i="14"/>
  <c r="H176" i="14"/>
  <c r="K176" i="14" s="1"/>
  <c r="I177" i="14"/>
  <c r="H180" i="14"/>
  <c r="K180" i="14" s="1"/>
  <c r="I181" i="14"/>
  <c r="H184" i="14"/>
  <c r="K184" i="14" s="1"/>
  <c r="I185" i="14"/>
  <c r="H188" i="14"/>
  <c r="K188" i="14" s="1"/>
  <c r="I189" i="14"/>
  <c r="H191" i="14"/>
  <c r="K191" i="14" s="1"/>
  <c r="I192" i="14"/>
  <c r="H195" i="14"/>
  <c r="K195" i="14" s="1"/>
  <c r="I196" i="14"/>
  <c r="J199" i="14"/>
  <c r="K199" i="14" s="1"/>
  <c r="I203" i="14"/>
  <c r="J211" i="14"/>
  <c r="K211" i="14" s="1"/>
  <c r="I211" i="14"/>
  <c r="I213" i="14"/>
  <c r="J219" i="14"/>
  <c r="K219" i="14" s="1"/>
  <c r="I219" i="14"/>
  <c r="I221" i="14"/>
  <c r="J227" i="14"/>
  <c r="K227" i="14" s="1"/>
  <c r="I227" i="14"/>
  <c r="I229" i="14"/>
  <c r="J235" i="14"/>
  <c r="K235" i="14" s="1"/>
  <c r="J239" i="14"/>
  <c r="K239" i="14" s="1"/>
  <c r="I239" i="14"/>
  <c r="H239" i="14"/>
  <c r="I241" i="14"/>
  <c r="I244" i="14"/>
  <c r="K259" i="14"/>
  <c r="H259" i="14"/>
  <c r="G268" i="14"/>
  <c r="J268" i="14" s="1"/>
  <c r="K268" i="14" s="1"/>
  <c r="I268" i="14"/>
  <c r="J271" i="14"/>
  <c r="I271" i="14"/>
  <c r="H271" i="14"/>
  <c r="K276" i="14"/>
  <c r="J278" i="14"/>
  <c r="I278" i="14"/>
  <c r="H278" i="14"/>
  <c r="I283" i="14"/>
  <c r="H286" i="14"/>
  <c r="K286" i="14" s="1"/>
  <c r="I293" i="14"/>
  <c r="H293" i="14"/>
  <c r="J293" i="14"/>
  <c r="I202" i="14"/>
  <c r="H202" i="14"/>
  <c r="K202" i="14" s="1"/>
  <c r="I208" i="14"/>
  <c r="J214" i="14"/>
  <c r="I214" i="14"/>
  <c r="H214" i="14"/>
  <c r="I216" i="14"/>
  <c r="J222" i="14"/>
  <c r="I222" i="14"/>
  <c r="H222" i="14"/>
  <c r="I224" i="14"/>
  <c r="J230" i="14"/>
  <c r="I230" i="14"/>
  <c r="H230" i="14"/>
  <c r="I232" i="14"/>
  <c r="G237" i="14"/>
  <c r="J237" i="14" s="1"/>
  <c r="K237" i="14" s="1"/>
  <c r="I237" i="14"/>
  <c r="J240" i="14"/>
  <c r="K240" i="14" s="1"/>
  <c r="I240" i="14"/>
  <c r="H240" i="14"/>
  <c r="I254" i="14"/>
  <c r="G254" i="14"/>
  <c r="J254" i="14" s="1"/>
  <c r="K254" i="14" s="1"/>
  <c r="I259" i="14"/>
  <c r="J337" i="14"/>
  <c r="I337" i="14"/>
  <c r="H337" i="14"/>
  <c r="J340" i="14"/>
  <c r="K340" i="14" s="1"/>
  <c r="I340" i="14"/>
  <c r="J351" i="14"/>
  <c r="K351" i="14" s="1"/>
  <c r="H209" i="14"/>
  <c r="K209" i="14" s="1"/>
  <c r="H213" i="14"/>
  <c r="K213" i="14" s="1"/>
  <c r="H217" i="14"/>
  <c r="K217" i="14" s="1"/>
  <c r="H221" i="14"/>
  <c r="K221" i="14" s="1"/>
  <c r="H225" i="14"/>
  <c r="K225" i="14" s="1"/>
  <c r="H229" i="14"/>
  <c r="K229" i="14" s="1"/>
  <c r="H233" i="14"/>
  <c r="K233" i="14" s="1"/>
  <c r="K236" i="14"/>
  <c r="H236" i="14"/>
  <c r="J247" i="14"/>
  <c r="I247" i="14"/>
  <c r="H247" i="14"/>
  <c r="K252" i="14"/>
  <c r="H252" i="14"/>
  <c r="J262" i="14"/>
  <c r="I262" i="14"/>
  <c r="H262" i="14"/>
  <c r="K267" i="14"/>
  <c r="H267" i="14"/>
  <c r="J282" i="14"/>
  <c r="K282" i="14" s="1"/>
  <c r="I282" i="14"/>
  <c r="I284" i="14"/>
  <c r="J291" i="14"/>
  <c r="K291" i="14" s="1"/>
  <c r="J310" i="14"/>
  <c r="K310" i="14" s="1"/>
  <c r="I310" i="14"/>
  <c r="H310" i="14"/>
  <c r="J321" i="14"/>
  <c r="K321" i="14" s="1"/>
  <c r="I321" i="14"/>
  <c r="H321" i="14"/>
  <c r="I236" i="14"/>
  <c r="J243" i="14"/>
  <c r="I243" i="14"/>
  <c r="H243" i="14"/>
  <c r="K248" i="14"/>
  <c r="I249" i="14"/>
  <c r="G250" i="14"/>
  <c r="J250" i="14" s="1"/>
  <c r="K250" i="14" s="1"/>
  <c r="I252" i="14"/>
  <c r="K263" i="14"/>
  <c r="I264" i="14"/>
  <c r="G265" i="14"/>
  <c r="J265" i="14" s="1"/>
  <c r="K265" i="14" s="1"/>
  <c r="I267" i="14"/>
  <c r="J274" i="14"/>
  <c r="I274" i="14"/>
  <c r="H274" i="14"/>
  <c r="I276" i="14"/>
  <c r="J285" i="14"/>
  <c r="I285" i="14"/>
  <c r="H285" i="14"/>
  <c r="H290" i="14"/>
  <c r="K290" i="14" s="1"/>
  <c r="K307" i="14"/>
  <c r="J333" i="14"/>
  <c r="K333" i="14" s="1"/>
  <c r="I333" i="14"/>
  <c r="J344" i="14"/>
  <c r="I344" i="14"/>
  <c r="H344" i="14"/>
  <c r="H280" i="14"/>
  <c r="K280" i="14" s="1"/>
  <c r="H284" i="14"/>
  <c r="K284" i="14" s="1"/>
  <c r="H288" i="14"/>
  <c r="K288" i="14" s="1"/>
  <c r="I297" i="14"/>
  <c r="J297" i="14"/>
  <c r="K297" i="14" s="1"/>
  <c r="J298" i="14"/>
  <c r="K298" i="14" s="1"/>
  <c r="J302" i="14"/>
  <c r="K302" i="14" s="1"/>
  <c r="I302" i="14"/>
  <c r="J313" i="14"/>
  <c r="K313" i="14" s="1"/>
  <c r="I316" i="14"/>
  <c r="J318" i="14"/>
  <c r="K318" i="14" s="1"/>
  <c r="I318" i="14"/>
  <c r="K322" i="14"/>
  <c r="J324" i="14"/>
  <c r="K324" i="14" s="1"/>
  <c r="I327" i="14"/>
  <c r="J329" i="14"/>
  <c r="K329" i="14" s="1"/>
  <c r="I329" i="14"/>
  <c r="I350" i="14"/>
  <c r="I368" i="14"/>
  <c r="G368" i="14"/>
  <c r="J368" i="14" s="1"/>
  <c r="K368" i="14" s="1"/>
  <c r="J309" i="14"/>
  <c r="K309" i="14" s="1"/>
  <c r="K311" i="14"/>
  <c r="I312" i="14"/>
  <c r="J314" i="14"/>
  <c r="K314" i="14" s="1"/>
  <c r="I314" i="14"/>
  <c r="J320" i="14"/>
  <c r="K320" i="14" s="1"/>
  <c r="I323" i="14"/>
  <c r="J325" i="14"/>
  <c r="K325" i="14" s="1"/>
  <c r="I325" i="14"/>
  <c r="J336" i="14"/>
  <c r="K336" i="14" s="1"/>
  <c r="K338" i="14"/>
  <c r="K345" i="14"/>
  <c r="I346" i="14"/>
  <c r="J348" i="14"/>
  <c r="K348" i="14" s="1"/>
  <c r="I348" i="14"/>
  <c r="J367" i="14"/>
  <c r="K367" i="14" s="1"/>
  <c r="I369" i="14"/>
  <c r="H304" i="14"/>
  <c r="K304" i="14" s="1"/>
  <c r="H308" i="14"/>
  <c r="K308" i="14" s="1"/>
  <c r="H312" i="14"/>
  <c r="K312" i="14" s="1"/>
  <c r="H316" i="14"/>
  <c r="K316" i="14" s="1"/>
  <c r="H323" i="14"/>
  <c r="K323" i="14" s="1"/>
  <c r="H327" i="14"/>
  <c r="K327" i="14" s="1"/>
  <c r="H331" i="14"/>
  <c r="K331" i="14" s="1"/>
  <c r="H335" i="14"/>
  <c r="K335" i="14" s="1"/>
  <c r="H342" i="14"/>
  <c r="K342" i="14" s="1"/>
  <c r="H346" i="14"/>
  <c r="K346" i="14" s="1"/>
  <c r="H350" i="14"/>
  <c r="K350" i="14" s="1"/>
  <c r="I183" i="10"/>
  <c r="L183" i="10" s="1"/>
  <c r="I19" i="10"/>
  <c r="I26" i="10"/>
  <c r="I30" i="10"/>
  <c r="I41" i="10"/>
  <c r="K44" i="10"/>
  <c r="L44" i="10" s="1"/>
  <c r="J46" i="10"/>
  <c r="J47" i="10"/>
  <c r="I66" i="10"/>
  <c r="L66" i="10" s="1"/>
  <c r="I68" i="10"/>
  <c r="L68" i="10" s="1"/>
  <c r="I71" i="10"/>
  <c r="L71" i="10" s="1"/>
  <c r="I75" i="10"/>
  <c r="L75" i="10" s="1"/>
  <c r="I79" i="10"/>
  <c r="L79" i="10" s="1"/>
  <c r="I86" i="10"/>
  <c r="L86" i="10" s="1"/>
  <c r="I102" i="10"/>
  <c r="L102" i="10" s="1"/>
  <c r="I108" i="10"/>
  <c r="L108" i="10" s="1"/>
  <c r="I152" i="10"/>
  <c r="L152" i="10" s="1"/>
  <c r="K26" i="10"/>
  <c r="J35" i="10"/>
  <c r="J40" i="10"/>
  <c r="J41" i="10"/>
  <c r="I45" i="10"/>
  <c r="I63" i="10"/>
  <c r="L63" i="10" s="1"/>
  <c r="I72" i="10"/>
  <c r="L72" i="10" s="1"/>
  <c r="I83" i="10"/>
  <c r="L83" i="10" s="1"/>
  <c r="I116" i="10"/>
  <c r="L116" i="10" s="1"/>
  <c r="I121" i="10"/>
  <c r="L121" i="10" s="1"/>
  <c r="I124" i="10"/>
  <c r="L124" i="10" s="1"/>
  <c r="I137" i="10"/>
  <c r="L137" i="10" s="1"/>
  <c r="I141" i="10"/>
  <c r="L141" i="10" s="1"/>
  <c r="I149" i="10"/>
  <c r="L149" i="10" s="1"/>
  <c r="I239" i="10"/>
  <c r="L239" i="10" s="1"/>
  <c r="I243" i="10"/>
  <c r="L243" i="10" s="1"/>
  <c r="I21" i="10"/>
  <c r="K52" i="10"/>
  <c r="I129" i="10"/>
  <c r="L129" i="10" s="1"/>
  <c r="I193" i="10"/>
  <c r="L193" i="10" s="1"/>
  <c r="I204" i="10"/>
  <c r="L204" i="10" s="1"/>
  <c r="I218" i="10"/>
  <c r="L218" i="10" s="1"/>
  <c r="I222" i="10"/>
  <c r="L222" i="10" s="1"/>
  <c r="I286" i="10"/>
  <c r="L286" i="10" s="1"/>
  <c r="I300" i="10"/>
  <c r="L300" i="10" s="1"/>
  <c r="I334" i="10"/>
  <c r="L334" i="10" s="1"/>
  <c r="I344" i="10"/>
  <c r="L344" i="10" s="1"/>
  <c r="J18" i="12"/>
  <c r="I23" i="12"/>
  <c r="H27" i="12"/>
  <c r="H41" i="12"/>
  <c r="K44" i="12"/>
  <c r="H49" i="12"/>
  <c r="K52" i="12"/>
  <c r="J53" i="12"/>
  <c r="I55" i="12"/>
  <c r="H59" i="12"/>
  <c r="H72" i="12"/>
  <c r="J74" i="12"/>
  <c r="H75" i="12"/>
  <c r="K75" i="12" s="1"/>
  <c r="H76" i="12"/>
  <c r="H83" i="12"/>
  <c r="J85" i="12"/>
  <c r="H86" i="12"/>
  <c r="I90" i="12"/>
  <c r="G91" i="12"/>
  <c r="J91" i="12" s="1"/>
  <c r="K91" i="12" s="1"/>
  <c r="H93" i="12"/>
  <c r="J96" i="12"/>
  <c r="I96" i="12"/>
  <c r="J103" i="12"/>
  <c r="I103" i="12"/>
  <c r="H108" i="12"/>
  <c r="H111" i="12"/>
  <c r="J192" i="12"/>
  <c r="K192" i="12" s="1"/>
  <c r="I246" i="12"/>
  <c r="J246" i="12"/>
  <c r="I276" i="12"/>
  <c r="I331" i="12"/>
  <c r="I167" i="10"/>
  <c r="L167" i="10" s="1"/>
  <c r="I187" i="10"/>
  <c r="L187" i="10" s="1"/>
  <c r="I191" i="10"/>
  <c r="L191" i="10" s="1"/>
  <c r="I194" i="10"/>
  <c r="L194" i="10" s="1"/>
  <c r="I205" i="10"/>
  <c r="L205" i="10" s="1"/>
  <c r="I206" i="10"/>
  <c r="L206" i="10" s="1"/>
  <c r="I223" i="10"/>
  <c r="L223" i="10" s="1"/>
  <c r="I230" i="10"/>
  <c r="L230" i="10" s="1"/>
  <c r="I240" i="10"/>
  <c r="L240" i="10" s="1"/>
  <c r="I246" i="10"/>
  <c r="L246" i="10" s="1"/>
  <c r="I256" i="10"/>
  <c r="L256" i="10" s="1"/>
  <c r="I261" i="10"/>
  <c r="L261" i="10" s="1"/>
  <c r="I265" i="10"/>
  <c r="L265" i="10" s="1"/>
  <c r="I304" i="10"/>
  <c r="L304" i="10" s="1"/>
  <c r="I310" i="10"/>
  <c r="L310" i="10" s="1"/>
  <c r="I320" i="10"/>
  <c r="L320" i="10" s="1"/>
  <c r="I325" i="10"/>
  <c r="L325" i="10" s="1"/>
  <c r="I339" i="10"/>
  <c r="L339" i="10" s="1"/>
  <c r="I342" i="10"/>
  <c r="L342" i="10" s="1"/>
  <c r="I348" i="10"/>
  <c r="L348" i="10" s="1"/>
  <c r="H369" i="10"/>
  <c r="K369" i="10" s="1"/>
  <c r="L369" i="10" s="1"/>
  <c r="J370" i="10"/>
  <c r="I20" i="12"/>
  <c r="H24" i="12"/>
  <c r="I27" i="12"/>
  <c r="J28" i="12"/>
  <c r="J30" i="12"/>
  <c r="K30" i="12" s="1"/>
  <c r="G34" i="12"/>
  <c r="J34" i="12" s="1"/>
  <c r="K34" i="12" s="1"/>
  <c r="I37" i="12"/>
  <c r="H40" i="12"/>
  <c r="J41" i="12"/>
  <c r="K41" i="12" s="1"/>
  <c r="J42" i="12"/>
  <c r="I45" i="12"/>
  <c r="H48" i="12"/>
  <c r="J49" i="12"/>
  <c r="J50" i="12"/>
  <c r="J58" i="12"/>
  <c r="J59" i="12"/>
  <c r="H61" i="12"/>
  <c r="J63" i="12"/>
  <c r="H64" i="12"/>
  <c r="I72" i="12"/>
  <c r="I76" i="12"/>
  <c r="J78" i="12"/>
  <c r="I78" i="12"/>
  <c r="I83" i="12"/>
  <c r="H84" i="12"/>
  <c r="J86" i="12"/>
  <c r="K86" i="12" s="1"/>
  <c r="H96" i="12"/>
  <c r="H97" i="12"/>
  <c r="G98" i="12"/>
  <c r="J98" i="12" s="1"/>
  <c r="K98" i="12" s="1"/>
  <c r="H100" i="12"/>
  <c r="G101" i="12"/>
  <c r="J101" i="12" s="1"/>
  <c r="K101" i="12" s="1"/>
  <c r="H103" i="12"/>
  <c r="J106" i="12"/>
  <c r="I106" i="12"/>
  <c r="I108" i="12"/>
  <c r="I111" i="12"/>
  <c r="J113" i="12"/>
  <c r="I113" i="12"/>
  <c r="J116" i="12"/>
  <c r="K116" i="12" s="1"/>
  <c r="I116" i="12"/>
  <c r="K118" i="12"/>
  <c r="K150" i="12"/>
  <c r="J180" i="12"/>
  <c r="K180" i="12" s="1"/>
  <c r="J243" i="12"/>
  <c r="J273" i="12"/>
  <c r="K273" i="12" s="1"/>
  <c r="I274" i="12"/>
  <c r="G274" i="12"/>
  <c r="J274" i="12" s="1"/>
  <c r="K274" i="12" s="1"/>
  <c r="I318" i="12"/>
  <c r="I320" i="12"/>
  <c r="H320" i="12"/>
  <c r="J324" i="12"/>
  <c r="I143" i="10"/>
  <c r="L143" i="10" s="1"/>
  <c r="I147" i="10"/>
  <c r="L147" i="10" s="1"/>
  <c r="I160" i="10"/>
  <c r="L160" i="10" s="1"/>
  <c r="I164" i="10"/>
  <c r="L164" i="10" s="1"/>
  <c r="I172" i="10"/>
  <c r="L172" i="10" s="1"/>
  <c r="I177" i="10"/>
  <c r="L177" i="10" s="1"/>
  <c r="I182" i="10"/>
  <c r="L182" i="10" s="1"/>
  <c r="I221" i="10"/>
  <c r="L221" i="10" s="1"/>
  <c r="I225" i="10"/>
  <c r="L225" i="10" s="1"/>
  <c r="I241" i="10"/>
  <c r="L241" i="10" s="1"/>
  <c r="I257" i="10"/>
  <c r="L257" i="10" s="1"/>
  <c r="I262" i="10"/>
  <c r="L262" i="10" s="1"/>
  <c r="I277" i="10"/>
  <c r="L277" i="10" s="1"/>
  <c r="I284" i="10"/>
  <c r="L284" i="10" s="1"/>
  <c r="I285" i="10"/>
  <c r="L285" i="10" s="1"/>
  <c r="I288" i="10"/>
  <c r="L288" i="10" s="1"/>
  <c r="I293" i="10"/>
  <c r="L293" i="10" s="1"/>
  <c r="I343" i="10"/>
  <c r="L343" i="10" s="1"/>
  <c r="I349" i="10"/>
  <c r="L349" i="10" s="1"/>
  <c r="H21" i="12"/>
  <c r="H23" i="12"/>
  <c r="I24" i="12"/>
  <c r="J25" i="12"/>
  <c r="J39" i="12"/>
  <c r="J40" i="12"/>
  <c r="K40" i="12" s="1"/>
  <c r="J47" i="12"/>
  <c r="J48" i="12"/>
  <c r="K48" i="12" s="1"/>
  <c r="I52" i="12"/>
  <c r="J56" i="12"/>
  <c r="J57" i="12"/>
  <c r="I60" i="12"/>
  <c r="J61" i="12"/>
  <c r="K61" i="12" s="1"/>
  <c r="J64" i="12"/>
  <c r="K64" i="12" s="1"/>
  <c r="J70" i="12"/>
  <c r="I75" i="12"/>
  <c r="J76" i="12"/>
  <c r="K76" i="12" s="1"/>
  <c r="J81" i="12"/>
  <c r="J89" i="12"/>
  <c r="J108" i="12"/>
  <c r="K108" i="12" s="1"/>
  <c r="J111" i="12"/>
  <c r="K111" i="12" s="1"/>
  <c r="K125" i="12"/>
  <c r="K172" i="12"/>
  <c r="J194" i="12"/>
  <c r="J233" i="12"/>
  <c r="I333" i="12"/>
  <c r="I335" i="12"/>
  <c r="I340" i="12"/>
  <c r="J19" i="12"/>
  <c r="I93" i="12"/>
  <c r="I314" i="12"/>
  <c r="J123" i="12"/>
  <c r="I123" i="12"/>
  <c r="H132" i="12"/>
  <c r="J142" i="12"/>
  <c r="K142" i="12" s="1"/>
  <c r="I142" i="12"/>
  <c r="I151" i="12"/>
  <c r="H154" i="12"/>
  <c r="I158" i="12"/>
  <c r="I166" i="12"/>
  <c r="J166" i="12"/>
  <c r="J169" i="12"/>
  <c r="K169" i="12" s="1"/>
  <c r="H176" i="12"/>
  <c r="I180" i="12"/>
  <c r="H189" i="12"/>
  <c r="H194" i="12"/>
  <c r="H195" i="12"/>
  <c r="H196" i="12"/>
  <c r="K196" i="12" s="1"/>
  <c r="I203" i="12"/>
  <c r="H217" i="12"/>
  <c r="K217" i="12" s="1"/>
  <c r="H220" i="12"/>
  <c r="J230" i="12"/>
  <c r="H237" i="12"/>
  <c r="H249" i="12"/>
  <c r="H255" i="12"/>
  <c r="H266" i="12"/>
  <c r="J268" i="12"/>
  <c r="H269" i="12"/>
  <c r="I273" i="12"/>
  <c r="H276" i="12"/>
  <c r="H277" i="12"/>
  <c r="K277" i="12" s="1"/>
  <c r="I278" i="12"/>
  <c r="J280" i="12"/>
  <c r="K280" i="12" s="1"/>
  <c r="I289" i="12"/>
  <c r="I296" i="12"/>
  <c r="H310" i="12"/>
  <c r="H314" i="12"/>
  <c r="K314" i="12" s="1"/>
  <c r="J325" i="12"/>
  <c r="I325" i="12"/>
  <c r="H331" i="12"/>
  <c r="H335" i="12"/>
  <c r="H340" i="12"/>
  <c r="K340" i="12" s="1"/>
  <c r="H344" i="12"/>
  <c r="H348" i="12"/>
  <c r="J127" i="12"/>
  <c r="I127" i="12"/>
  <c r="J130" i="12"/>
  <c r="I130" i="12"/>
  <c r="I132" i="12"/>
  <c r="J145" i="12"/>
  <c r="I145" i="12"/>
  <c r="J146" i="12"/>
  <c r="I154" i="12"/>
  <c r="I157" i="12"/>
  <c r="I172" i="12"/>
  <c r="I181" i="12"/>
  <c r="J181" i="12"/>
  <c r="I189" i="12"/>
  <c r="J210" i="12"/>
  <c r="J222" i="12"/>
  <c r="K225" i="12"/>
  <c r="I226" i="12"/>
  <c r="J249" i="12"/>
  <c r="K249" i="12" s="1"/>
  <c r="J251" i="12"/>
  <c r="J255" i="12"/>
  <c r="K255" i="12" s="1"/>
  <c r="J257" i="12"/>
  <c r="I257" i="12"/>
  <c r="I266" i="12"/>
  <c r="J283" i="12"/>
  <c r="J291" i="12"/>
  <c r="J294" i="12"/>
  <c r="J306" i="12"/>
  <c r="K306" i="12" s="1"/>
  <c r="I306" i="12"/>
  <c r="I307" i="12"/>
  <c r="J312" i="12"/>
  <c r="I312" i="12"/>
  <c r="J323" i="12"/>
  <c r="K323" i="12" s="1"/>
  <c r="I323" i="12"/>
  <c r="I324" i="12"/>
  <c r="K325" i="12"/>
  <c r="J328" i="12"/>
  <c r="J329" i="12"/>
  <c r="I329" i="12"/>
  <c r="J332" i="12"/>
  <c r="H334" i="12"/>
  <c r="J342" i="12"/>
  <c r="I342" i="12"/>
  <c r="J346" i="12"/>
  <c r="I346" i="12"/>
  <c r="J351" i="12"/>
  <c r="H127" i="12"/>
  <c r="H128" i="12"/>
  <c r="H130" i="12"/>
  <c r="H131" i="12"/>
  <c r="G132" i="12"/>
  <c r="J132" i="12" s="1"/>
  <c r="K132" i="12" s="1"/>
  <c r="J134" i="12"/>
  <c r="K134" i="12" s="1"/>
  <c r="I134" i="12"/>
  <c r="I136" i="12"/>
  <c r="J138" i="12"/>
  <c r="I138" i="12"/>
  <c r="I140" i="12"/>
  <c r="H145" i="12"/>
  <c r="H146" i="12"/>
  <c r="I147" i="12"/>
  <c r="J149" i="12"/>
  <c r="I149" i="12"/>
  <c r="G154" i="12"/>
  <c r="J154" i="12" s="1"/>
  <c r="K154" i="12" s="1"/>
  <c r="I156" i="12"/>
  <c r="J173" i="12"/>
  <c r="G189" i="12"/>
  <c r="J189" i="12" s="1"/>
  <c r="K189" i="12" s="1"/>
  <c r="H199" i="12"/>
  <c r="K199" i="12" s="1"/>
  <c r="J214" i="12"/>
  <c r="H221" i="12"/>
  <c r="H233" i="12"/>
  <c r="H236" i="12"/>
  <c r="H241" i="12"/>
  <c r="K241" i="12" s="1"/>
  <c r="H244" i="12"/>
  <c r="J245" i="12"/>
  <c r="K245" i="12" s="1"/>
  <c r="J247" i="12"/>
  <c r="I260" i="12"/>
  <c r="I304" i="12"/>
  <c r="K312" i="12"/>
  <c r="J316" i="12"/>
  <c r="K316" i="12" s="1"/>
  <c r="I316" i="12"/>
  <c r="J327" i="12"/>
  <c r="I327" i="12"/>
  <c r="K329" i="12"/>
  <c r="J337" i="12"/>
  <c r="K337" i="12" s="1"/>
  <c r="I337" i="12"/>
  <c r="K350" i="12"/>
  <c r="I350" i="12"/>
  <c r="K49" i="12"/>
  <c r="K59" i="12"/>
  <c r="K23" i="12"/>
  <c r="K45" i="12"/>
  <c r="J54" i="12"/>
  <c r="K55" i="12"/>
  <c r="K20" i="12"/>
  <c r="J43" i="12"/>
  <c r="H19" i="12"/>
  <c r="K19" i="12" s="1"/>
  <c r="H39" i="12"/>
  <c r="K39" i="12" s="1"/>
  <c r="J216" i="12"/>
  <c r="K216" i="12" s="1"/>
  <c r="H216" i="12"/>
  <c r="G221" i="12"/>
  <c r="J221" i="12" s="1"/>
  <c r="K221" i="12" s="1"/>
  <c r="I221" i="12"/>
  <c r="J232" i="12"/>
  <c r="H232" i="12"/>
  <c r="G237" i="12"/>
  <c r="J237" i="12" s="1"/>
  <c r="K237" i="12" s="1"/>
  <c r="I237" i="12"/>
  <c r="I270" i="12"/>
  <c r="G270" i="12"/>
  <c r="J270" i="12" s="1"/>
  <c r="K270" i="12" s="1"/>
  <c r="J272" i="12"/>
  <c r="I272" i="12"/>
  <c r="H272" i="12"/>
  <c r="G302" i="12"/>
  <c r="J302" i="12" s="1"/>
  <c r="K302" i="12" s="1"/>
  <c r="I302" i="12"/>
  <c r="I31" i="12"/>
  <c r="H43" i="12"/>
  <c r="H47" i="12"/>
  <c r="K47" i="12" s="1"/>
  <c r="H54" i="12"/>
  <c r="H58" i="12"/>
  <c r="K58" i="12" s="1"/>
  <c r="H89" i="12"/>
  <c r="K89" i="12" s="1"/>
  <c r="G17" i="12"/>
  <c r="J17" i="12" s="1"/>
  <c r="H18" i="12"/>
  <c r="K18" i="12" s="1"/>
  <c r="I19" i="12"/>
  <c r="G21" i="12"/>
  <c r="J21" i="12" s="1"/>
  <c r="K21" i="12" s="1"/>
  <c r="G24" i="12"/>
  <c r="J24" i="12" s="1"/>
  <c r="K24" i="12" s="1"/>
  <c r="H25" i="12"/>
  <c r="K25" i="12" s="1"/>
  <c r="G27" i="12"/>
  <c r="J27" i="12" s="1"/>
  <c r="K27" i="12" s="1"/>
  <c r="H28" i="12"/>
  <c r="K28" i="12" s="1"/>
  <c r="J29" i="12"/>
  <c r="K29" i="12" s="1"/>
  <c r="J31" i="12"/>
  <c r="K31" i="12" s="1"/>
  <c r="H38" i="12"/>
  <c r="K38" i="12" s="1"/>
  <c r="I39" i="12"/>
  <c r="H42" i="12"/>
  <c r="K42" i="12" s="1"/>
  <c r="I43" i="12"/>
  <c r="H46" i="12"/>
  <c r="K46" i="12" s="1"/>
  <c r="I47" i="12"/>
  <c r="H50" i="12"/>
  <c r="K50" i="12" s="1"/>
  <c r="H53" i="12"/>
  <c r="K53" i="12" s="1"/>
  <c r="I54" i="12"/>
  <c r="H57" i="12"/>
  <c r="K57" i="12" s="1"/>
  <c r="I58" i="12"/>
  <c r="J62" i="12"/>
  <c r="I62" i="12"/>
  <c r="H62" i="12"/>
  <c r="K70" i="12"/>
  <c r="H70" i="12"/>
  <c r="I71" i="12"/>
  <c r="G72" i="12"/>
  <c r="J72" i="12" s="1"/>
  <c r="K72" i="12" s="1"/>
  <c r="I74" i="12"/>
  <c r="H85" i="12"/>
  <c r="K85" i="12" s="1"/>
  <c r="I86" i="12"/>
  <c r="G87" i="12"/>
  <c r="J87" i="12" s="1"/>
  <c r="K87" i="12" s="1"/>
  <c r="I89" i="12"/>
  <c r="K90" i="12"/>
  <c r="J92" i="12"/>
  <c r="I92" i="12"/>
  <c r="H92" i="12"/>
  <c r="K93" i="12"/>
  <c r="I97" i="12"/>
  <c r="G97" i="12"/>
  <c r="J97" i="12" s="1"/>
  <c r="K97" i="12" s="1"/>
  <c r="J105" i="12"/>
  <c r="I105" i="12"/>
  <c r="H105" i="12"/>
  <c r="K106" i="12"/>
  <c r="J112" i="12"/>
  <c r="I112" i="12"/>
  <c r="H112" i="12"/>
  <c r="K113" i="12"/>
  <c r="J119" i="12"/>
  <c r="I119" i="12"/>
  <c r="H119" i="12"/>
  <c r="I124" i="12"/>
  <c r="G124" i="12"/>
  <c r="J124" i="12" s="1"/>
  <c r="K124" i="12" s="1"/>
  <c r="I131" i="12"/>
  <c r="G131" i="12"/>
  <c r="J131" i="12" s="1"/>
  <c r="K131" i="12" s="1"/>
  <c r="J137" i="12"/>
  <c r="K137" i="12" s="1"/>
  <c r="I137" i="12"/>
  <c r="H137" i="12"/>
  <c r="K138" i="12"/>
  <c r="G176" i="12"/>
  <c r="J176" i="12" s="1"/>
  <c r="K176" i="12" s="1"/>
  <c r="I176" i="12"/>
  <c r="G184" i="12"/>
  <c r="J184" i="12" s="1"/>
  <c r="K184" i="12" s="1"/>
  <c r="I184" i="12"/>
  <c r="J204" i="12"/>
  <c r="I204" i="12"/>
  <c r="H204" i="12"/>
  <c r="J252" i="12"/>
  <c r="I252" i="12"/>
  <c r="H252" i="12"/>
  <c r="I29" i="12"/>
  <c r="J69" i="12"/>
  <c r="K69" i="12" s="1"/>
  <c r="I69" i="12"/>
  <c r="H74" i="12"/>
  <c r="I110" i="12"/>
  <c r="G110" i="12"/>
  <c r="J110" i="12" s="1"/>
  <c r="K110" i="12" s="1"/>
  <c r="I128" i="12"/>
  <c r="G128" i="12"/>
  <c r="J128" i="12" s="1"/>
  <c r="K128" i="12" s="1"/>
  <c r="I135" i="12"/>
  <c r="G135" i="12"/>
  <c r="J135" i="12" s="1"/>
  <c r="K135" i="12" s="1"/>
  <c r="J141" i="12"/>
  <c r="K141" i="12" s="1"/>
  <c r="I141" i="12"/>
  <c r="J159" i="12"/>
  <c r="I159" i="12"/>
  <c r="I18" i="12"/>
  <c r="I25" i="12"/>
  <c r="I28" i="12"/>
  <c r="I30" i="12"/>
  <c r="G35" i="12"/>
  <c r="J35" i="12" s="1"/>
  <c r="H37" i="12"/>
  <c r="K37" i="12" s="1"/>
  <c r="I38" i="12"/>
  <c r="I42" i="12"/>
  <c r="I46" i="12"/>
  <c r="I50" i="12"/>
  <c r="I53" i="12"/>
  <c r="H56" i="12"/>
  <c r="K56" i="12" s="1"/>
  <c r="I57" i="12"/>
  <c r="H60" i="12"/>
  <c r="K60" i="12" s="1"/>
  <c r="K63" i="12"/>
  <c r="H63" i="12"/>
  <c r="I64" i="12"/>
  <c r="G65" i="12"/>
  <c r="J65" i="12" s="1"/>
  <c r="K65" i="12" s="1"/>
  <c r="G68" i="12"/>
  <c r="J68" i="12" s="1"/>
  <c r="K68" i="12" s="1"/>
  <c r="I70" i="12"/>
  <c r="J77" i="12"/>
  <c r="I77" i="12"/>
  <c r="H77" i="12"/>
  <c r="H81" i="12"/>
  <c r="K81" i="12" s="1"/>
  <c r="I82" i="12"/>
  <c r="G83" i="12"/>
  <c r="J83" i="12" s="1"/>
  <c r="K83" i="12" s="1"/>
  <c r="I85" i="12"/>
  <c r="I100" i="12"/>
  <c r="G100" i="12"/>
  <c r="J100" i="12" s="1"/>
  <c r="K100" i="12" s="1"/>
  <c r="J126" i="12"/>
  <c r="I126" i="12"/>
  <c r="H126" i="12"/>
  <c r="J133" i="12"/>
  <c r="K133" i="12" s="1"/>
  <c r="I133" i="12"/>
  <c r="H133" i="12"/>
  <c r="I143" i="12"/>
  <c r="G143" i="12"/>
  <c r="J143" i="12" s="1"/>
  <c r="K143" i="12" s="1"/>
  <c r="K144" i="12"/>
  <c r="J208" i="12"/>
  <c r="H208" i="12"/>
  <c r="G213" i="12"/>
  <c r="J213" i="12" s="1"/>
  <c r="K213" i="12" s="1"/>
  <c r="I213" i="12"/>
  <c r="J224" i="12"/>
  <c r="H224" i="12"/>
  <c r="G229" i="12"/>
  <c r="J229" i="12" s="1"/>
  <c r="K229" i="12" s="1"/>
  <c r="I229" i="12"/>
  <c r="J240" i="12"/>
  <c r="H240" i="12"/>
  <c r="G284" i="12"/>
  <c r="J284" i="12" s="1"/>
  <c r="K284" i="12" s="1"/>
  <c r="I284" i="12"/>
  <c r="J66" i="12"/>
  <c r="K66" i="12" s="1"/>
  <c r="I66" i="12"/>
  <c r="K74" i="12"/>
  <c r="J84" i="12"/>
  <c r="K84" i="12" s="1"/>
  <c r="I84" i="12"/>
  <c r="I117" i="12"/>
  <c r="G117" i="12"/>
  <c r="J117" i="12" s="1"/>
  <c r="K117" i="12" s="1"/>
  <c r="H159" i="12"/>
  <c r="I63" i="12"/>
  <c r="J73" i="12"/>
  <c r="K73" i="12" s="1"/>
  <c r="I73" i="12"/>
  <c r="H73" i="12"/>
  <c r="K78" i="12"/>
  <c r="I79" i="12"/>
  <c r="I81" i="12"/>
  <c r="J88" i="12"/>
  <c r="I88" i="12"/>
  <c r="H88" i="12"/>
  <c r="J95" i="12"/>
  <c r="I95" i="12"/>
  <c r="H95" i="12"/>
  <c r="K96" i="12"/>
  <c r="J102" i="12"/>
  <c r="I102" i="12"/>
  <c r="H102" i="12"/>
  <c r="K103" i="12"/>
  <c r="I107" i="12"/>
  <c r="G107" i="12"/>
  <c r="J107" i="12" s="1"/>
  <c r="K107" i="12" s="1"/>
  <c r="I114" i="12"/>
  <c r="G114" i="12"/>
  <c r="J114" i="12" s="1"/>
  <c r="K114" i="12" s="1"/>
  <c r="J122" i="12"/>
  <c r="I122" i="12"/>
  <c r="H122" i="12"/>
  <c r="K123" i="12"/>
  <c r="K130" i="12"/>
  <c r="I139" i="12"/>
  <c r="G139" i="12"/>
  <c r="J139" i="12" s="1"/>
  <c r="K139" i="12" s="1"/>
  <c r="J167" i="12"/>
  <c r="K167" i="12" s="1"/>
  <c r="I167" i="12"/>
  <c r="H167" i="12"/>
  <c r="J179" i="12"/>
  <c r="H179" i="12"/>
  <c r="J187" i="12"/>
  <c r="I187" i="12"/>
  <c r="H187" i="12"/>
  <c r="J197" i="12"/>
  <c r="I197" i="12"/>
  <c r="H197" i="12"/>
  <c r="I216" i="12"/>
  <c r="I232" i="12"/>
  <c r="I144" i="12"/>
  <c r="J152" i="12"/>
  <c r="I152" i="12"/>
  <c r="H152" i="12"/>
  <c r="J155" i="12"/>
  <c r="K155" i="12" s="1"/>
  <c r="I155" i="12"/>
  <c r="H155" i="12"/>
  <c r="J160" i="12"/>
  <c r="K160" i="12" s="1"/>
  <c r="I160" i="12"/>
  <c r="I162" i="12"/>
  <c r="J168" i="12"/>
  <c r="K168" i="12" s="1"/>
  <c r="I168" i="12"/>
  <c r="I170" i="12"/>
  <c r="J174" i="12"/>
  <c r="I174" i="12"/>
  <c r="H174" i="12"/>
  <c r="J182" i="12"/>
  <c r="K182" i="12" s="1"/>
  <c r="I182" i="12"/>
  <c r="H182" i="12"/>
  <c r="J193" i="12"/>
  <c r="I193" i="12"/>
  <c r="H193" i="12"/>
  <c r="J198" i="12"/>
  <c r="K198" i="12" s="1"/>
  <c r="I198" i="12"/>
  <c r="J205" i="12"/>
  <c r="K205" i="12" s="1"/>
  <c r="I205" i="12"/>
  <c r="J211" i="12"/>
  <c r="I211" i="12"/>
  <c r="H211" i="12"/>
  <c r="J219" i="12"/>
  <c r="I219" i="12"/>
  <c r="H219" i="12"/>
  <c r="J227" i="12"/>
  <c r="K227" i="12" s="1"/>
  <c r="I227" i="12"/>
  <c r="H227" i="12"/>
  <c r="J235" i="12"/>
  <c r="I235" i="12"/>
  <c r="H235" i="12"/>
  <c r="I250" i="12"/>
  <c r="K253" i="12"/>
  <c r="J267" i="12"/>
  <c r="K267" i="12" s="1"/>
  <c r="I267" i="12"/>
  <c r="H267" i="12"/>
  <c r="I287" i="12"/>
  <c r="I315" i="12"/>
  <c r="H315" i="12"/>
  <c r="K315" i="12" s="1"/>
  <c r="J148" i="12"/>
  <c r="I148" i="12"/>
  <c r="H148" i="12"/>
  <c r="K156" i="12"/>
  <c r="J163" i="12"/>
  <c r="I163" i="12"/>
  <c r="H163" i="12"/>
  <c r="J175" i="12"/>
  <c r="K175" i="12" s="1"/>
  <c r="I175" i="12"/>
  <c r="I177" i="12"/>
  <c r="J183" i="12"/>
  <c r="K183" i="12" s="1"/>
  <c r="I183" i="12"/>
  <c r="I185" i="12"/>
  <c r="K194" i="12"/>
  <c r="J212" i="12"/>
  <c r="K212" i="12" s="1"/>
  <c r="I212" i="12"/>
  <c r="I214" i="12"/>
  <c r="J220" i="12"/>
  <c r="K220" i="12" s="1"/>
  <c r="I220" i="12"/>
  <c r="I222" i="12"/>
  <c r="J228" i="12"/>
  <c r="K228" i="12" s="1"/>
  <c r="I228" i="12"/>
  <c r="I230" i="12"/>
  <c r="J236" i="12"/>
  <c r="K236" i="12" s="1"/>
  <c r="I236" i="12"/>
  <c r="I238" i="12"/>
  <c r="J244" i="12"/>
  <c r="K244" i="12" s="1"/>
  <c r="I244" i="12"/>
  <c r="I254" i="12"/>
  <c r="G269" i="12"/>
  <c r="J269" i="12" s="1"/>
  <c r="K269" i="12" s="1"/>
  <c r="I269" i="12"/>
  <c r="I285" i="12"/>
  <c r="G285" i="12"/>
  <c r="J285" i="12" s="1"/>
  <c r="K285" i="12" s="1"/>
  <c r="J297" i="12"/>
  <c r="I297" i="12"/>
  <c r="H297" i="12"/>
  <c r="I313" i="12"/>
  <c r="H313" i="12"/>
  <c r="J313" i="12"/>
  <c r="K149" i="12"/>
  <c r="K157" i="12"/>
  <c r="K164" i="12"/>
  <c r="I164" i="12"/>
  <c r="K165" i="12"/>
  <c r="J178" i="12"/>
  <c r="I178" i="12"/>
  <c r="H178" i="12"/>
  <c r="J186" i="12"/>
  <c r="I186" i="12"/>
  <c r="H186" i="12"/>
  <c r="K195" i="12"/>
  <c r="K201" i="12"/>
  <c r="I201" i="12"/>
  <c r="K202" i="12"/>
  <c r="J207" i="12"/>
  <c r="K207" i="12" s="1"/>
  <c r="I207" i="12"/>
  <c r="H207" i="12"/>
  <c r="I209" i="12"/>
  <c r="J215" i="12"/>
  <c r="K215" i="12" s="1"/>
  <c r="I215" i="12"/>
  <c r="H215" i="12"/>
  <c r="I217" i="12"/>
  <c r="J223" i="12"/>
  <c r="K223" i="12" s="1"/>
  <c r="I223" i="12"/>
  <c r="H223" i="12"/>
  <c r="I225" i="12"/>
  <c r="J231" i="12"/>
  <c r="K231" i="12" s="1"/>
  <c r="I231" i="12"/>
  <c r="H231" i="12"/>
  <c r="I233" i="12"/>
  <c r="J239" i="12"/>
  <c r="K239" i="12" s="1"/>
  <c r="I239" i="12"/>
  <c r="H239" i="12"/>
  <c r="J248" i="12"/>
  <c r="K248" i="12" s="1"/>
  <c r="I248" i="12"/>
  <c r="J282" i="12"/>
  <c r="I282" i="12"/>
  <c r="H282" i="12"/>
  <c r="H287" i="12"/>
  <c r="K287" i="12" s="1"/>
  <c r="K295" i="12"/>
  <c r="J300" i="12"/>
  <c r="I300" i="12"/>
  <c r="H300" i="12"/>
  <c r="J326" i="12"/>
  <c r="I326" i="12"/>
  <c r="H326" i="12"/>
  <c r="H243" i="12"/>
  <c r="K243" i="12" s="1"/>
  <c r="H247" i="12"/>
  <c r="K247" i="12" s="1"/>
  <c r="H251" i="12"/>
  <c r="K251" i="12" s="1"/>
  <c r="J263" i="12"/>
  <c r="K263" i="12" s="1"/>
  <c r="I263" i="12"/>
  <c r="H263" i="12"/>
  <c r="H268" i="12"/>
  <c r="K268" i="12" s="1"/>
  <c r="K283" i="12"/>
  <c r="H283" i="12"/>
  <c r="J290" i="12"/>
  <c r="I290" i="12"/>
  <c r="H290" i="12"/>
  <c r="J293" i="12"/>
  <c r="I293" i="12"/>
  <c r="H293" i="12"/>
  <c r="K298" i="12"/>
  <c r="H298" i="12"/>
  <c r="H301" i="12"/>
  <c r="K301" i="12" s="1"/>
  <c r="J320" i="12"/>
  <c r="K320" i="12" s="1"/>
  <c r="J321" i="12"/>
  <c r="K321" i="12" s="1"/>
  <c r="I356" i="12"/>
  <c r="G356" i="12"/>
  <c r="J356" i="12" s="1"/>
  <c r="K356" i="12" s="1"/>
  <c r="I358" i="12"/>
  <c r="G358" i="12"/>
  <c r="J358" i="12" s="1"/>
  <c r="K358" i="12" s="1"/>
  <c r="H162" i="12"/>
  <c r="K162" i="12" s="1"/>
  <c r="H166" i="12"/>
  <c r="K166" i="12" s="1"/>
  <c r="H170" i="12"/>
  <c r="K170" i="12" s="1"/>
  <c r="H173" i="12"/>
  <c r="K173" i="12" s="1"/>
  <c r="H177" i="12"/>
  <c r="K177" i="12" s="1"/>
  <c r="H181" i="12"/>
  <c r="K181" i="12" s="1"/>
  <c r="H203" i="12"/>
  <c r="K203" i="12" s="1"/>
  <c r="H210" i="12"/>
  <c r="K210" i="12" s="1"/>
  <c r="H214" i="12"/>
  <c r="K214" i="12" s="1"/>
  <c r="H218" i="12"/>
  <c r="K218" i="12" s="1"/>
  <c r="H222" i="12"/>
  <c r="K222" i="12" s="1"/>
  <c r="H226" i="12"/>
  <c r="K226" i="12" s="1"/>
  <c r="H230" i="12"/>
  <c r="K230" i="12" s="1"/>
  <c r="H234" i="12"/>
  <c r="K234" i="12" s="1"/>
  <c r="H238" i="12"/>
  <c r="K238" i="12" s="1"/>
  <c r="H242" i="12"/>
  <c r="K242" i="12" s="1"/>
  <c r="I243" i="12"/>
  <c r="H246" i="12"/>
  <c r="K246" i="12" s="1"/>
  <c r="I247" i="12"/>
  <c r="H250" i="12"/>
  <c r="K250" i="12" s="1"/>
  <c r="I251" i="12"/>
  <c r="H254" i="12"/>
  <c r="K254" i="12" s="1"/>
  <c r="J256" i="12"/>
  <c r="I256" i="12"/>
  <c r="H256" i="12"/>
  <c r="J259" i="12"/>
  <c r="I259" i="12"/>
  <c r="H259" i="12"/>
  <c r="H264" i="12"/>
  <c r="K264" i="12" s="1"/>
  <c r="I265" i="12"/>
  <c r="G266" i="12"/>
  <c r="J266" i="12" s="1"/>
  <c r="K266" i="12" s="1"/>
  <c r="I268" i="12"/>
  <c r="J275" i="12"/>
  <c r="I275" i="12"/>
  <c r="H275" i="12"/>
  <c r="I280" i="12"/>
  <c r="G281" i="12"/>
  <c r="J281" i="12" s="1"/>
  <c r="K281" i="12" s="1"/>
  <c r="I283" i="12"/>
  <c r="K291" i="12"/>
  <c r="H291" i="12"/>
  <c r="K294" i="12"/>
  <c r="H294" i="12"/>
  <c r="I295" i="12"/>
  <c r="G296" i="12"/>
  <c r="J296" i="12" s="1"/>
  <c r="K296" i="12" s="1"/>
  <c r="I298" i="12"/>
  <c r="I301" i="12"/>
  <c r="I305" i="12"/>
  <c r="H305" i="12"/>
  <c r="K305" i="12" s="1"/>
  <c r="J307" i="12"/>
  <c r="K307" i="12" s="1"/>
  <c r="J308" i="12"/>
  <c r="K308" i="12" s="1"/>
  <c r="J341" i="12"/>
  <c r="K341" i="12" s="1"/>
  <c r="I341" i="12"/>
  <c r="H341" i="12"/>
  <c r="K257" i="12"/>
  <c r="K260" i="12"/>
  <c r="I261" i="12"/>
  <c r="G262" i="12"/>
  <c r="J262" i="12" s="1"/>
  <c r="K262" i="12" s="1"/>
  <c r="I264" i="12"/>
  <c r="J271" i="12"/>
  <c r="K271" i="12" s="1"/>
  <c r="I271" i="12"/>
  <c r="H271" i="12"/>
  <c r="K276" i="12"/>
  <c r="I277" i="12"/>
  <c r="G278" i="12"/>
  <c r="J278" i="12" s="1"/>
  <c r="K278" i="12" s="1"/>
  <c r="J286" i="12"/>
  <c r="I286" i="12"/>
  <c r="H286" i="12"/>
  <c r="I288" i="12"/>
  <c r="I291" i="12"/>
  <c r="I294" i="12"/>
  <c r="K327" i="12"/>
  <c r="J330" i="12"/>
  <c r="I330" i="12"/>
  <c r="H330" i="12"/>
  <c r="J348" i="12"/>
  <c r="K348" i="12" s="1"/>
  <c r="K359" i="12"/>
  <c r="I364" i="12"/>
  <c r="G364" i="12"/>
  <c r="J364" i="12" s="1"/>
  <c r="K364" i="12" s="1"/>
  <c r="I366" i="12"/>
  <c r="G366" i="12"/>
  <c r="J366" i="12" s="1"/>
  <c r="K366" i="12" s="1"/>
  <c r="I303" i="12"/>
  <c r="I309" i="12"/>
  <c r="J309" i="12"/>
  <c r="K309" i="12" s="1"/>
  <c r="J310" i="12"/>
  <c r="K310" i="12" s="1"/>
  <c r="I317" i="12"/>
  <c r="J317" i="12"/>
  <c r="K317" i="12" s="1"/>
  <c r="J318" i="12"/>
  <c r="K318" i="12" s="1"/>
  <c r="J322" i="12"/>
  <c r="K322" i="12" s="1"/>
  <c r="I322" i="12"/>
  <c r="J333" i="12"/>
  <c r="K333" i="12" s="1"/>
  <c r="K335" i="12"/>
  <c r="I336" i="12"/>
  <c r="J338" i="12"/>
  <c r="K338" i="12" s="1"/>
  <c r="I338" i="12"/>
  <c r="J344" i="12"/>
  <c r="K344" i="12" s="1"/>
  <c r="K346" i="12"/>
  <c r="I347" i="12"/>
  <c r="J349" i="12"/>
  <c r="K349" i="12" s="1"/>
  <c r="I349" i="12"/>
  <c r="K355" i="12"/>
  <c r="I360" i="12"/>
  <c r="G360" i="12"/>
  <c r="J360" i="12" s="1"/>
  <c r="K360" i="12" s="1"/>
  <c r="K363" i="12"/>
  <c r="I368" i="12"/>
  <c r="G368" i="12"/>
  <c r="J368" i="12" s="1"/>
  <c r="K368" i="12" s="1"/>
  <c r="I311" i="12"/>
  <c r="J311" i="12"/>
  <c r="K311" i="12" s="1"/>
  <c r="K331" i="12"/>
  <c r="I332" i="12"/>
  <c r="J334" i="12"/>
  <c r="K334" i="12" s="1"/>
  <c r="I334" i="12"/>
  <c r="K342" i="12"/>
  <c r="I343" i="12"/>
  <c r="J345" i="12"/>
  <c r="K345" i="12" s="1"/>
  <c r="I345" i="12"/>
  <c r="I354" i="12"/>
  <c r="G354" i="12"/>
  <c r="J354" i="12" s="1"/>
  <c r="K354" i="12" s="1"/>
  <c r="K357" i="12"/>
  <c r="I362" i="12"/>
  <c r="G362" i="12"/>
  <c r="J362" i="12" s="1"/>
  <c r="K362" i="12" s="1"/>
  <c r="K365" i="12"/>
  <c r="I353" i="12"/>
  <c r="I355" i="12"/>
  <c r="I357" i="12"/>
  <c r="I359" i="12"/>
  <c r="I361" i="12"/>
  <c r="I363" i="12"/>
  <c r="I365" i="12"/>
  <c r="I367" i="12"/>
  <c r="I369" i="12"/>
  <c r="H324" i="12"/>
  <c r="K324" i="12" s="1"/>
  <c r="H328" i="12"/>
  <c r="K328" i="12" s="1"/>
  <c r="H332" i="12"/>
  <c r="K332" i="12" s="1"/>
  <c r="H336" i="12"/>
  <c r="K336" i="12" s="1"/>
  <c r="H343" i="12"/>
  <c r="K343" i="12" s="1"/>
  <c r="H347" i="12"/>
  <c r="K347" i="12" s="1"/>
  <c r="H351" i="12"/>
  <c r="K351" i="12" s="1"/>
  <c r="L23" i="10"/>
  <c r="L26" i="10"/>
  <c r="K39" i="10"/>
  <c r="I40" i="10"/>
  <c r="K48" i="10"/>
  <c r="I115" i="10"/>
  <c r="L115" i="10" s="1"/>
  <c r="I136" i="10"/>
  <c r="L136" i="10" s="1"/>
  <c r="I159" i="10"/>
  <c r="L159" i="10" s="1"/>
  <c r="I201" i="10"/>
  <c r="L201" i="10" s="1"/>
  <c r="I216" i="10"/>
  <c r="L216" i="10" s="1"/>
  <c r="I236" i="10"/>
  <c r="L236" i="10" s="1"/>
  <c r="I252" i="10"/>
  <c r="L252" i="10" s="1"/>
  <c r="I275" i="10"/>
  <c r="L275" i="10" s="1"/>
  <c r="I319" i="10"/>
  <c r="L319" i="10" s="1"/>
  <c r="I337" i="10"/>
  <c r="L337" i="10" s="1"/>
  <c r="H368" i="10"/>
  <c r="K368" i="10" s="1"/>
  <c r="L368" i="10" s="1"/>
  <c r="J368" i="10"/>
  <c r="J19" i="10"/>
  <c r="I25" i="10"/>
  <c r="K30" i="10"/>
  <c r="L30" i="10" s="1"/>
  <c r="J33" i="10"/>
  <c r="K40" i="10"/>
  <c r="L40" i="10" s="1"/>
  <c r="K46" i="10"/>
  <c r="L50" i="10"/>
  <c r="L51" i="10"/>
  <c r="I52" i="10"/>
  <c r="I55" i="10"/>
  <c r="I60" i="10"/>
  <c r="L60" i="10" s="1"/>
  <c r="I70" i="10"/>
  <c r="L70" i="10" s="1"/>
  <c r="I73" i="10"/>
  <c r="L73" i="10" s="1"/>
  <c r="I92" i="10"/>
  <c r="L92" i="10" s="1"/>
  <c r="I98" i="10"/>
  <c r="L98" i="10" s="1"/>
  <c r="I133" i="10"/>
  <c r="L133" i="10" s="1"/>
  <c r="I153" i="10"/>
  <c r="L153" i="10" s="1"/>
  <c r="I156" i="10"/>
  <c r="L156" i="10" s="1"/>
  <c r="I175" i="10"/>
  <c r="L175" i="10" s="1"/>
  <c r="I211" i="10"/>
  <c r="L211" i="10" s="1"/>
  <c r="I217" i="10"/>
  <c r="L217" i="10" s="1"/>
  <c r="I231" i="10"/>
  <c r="L231" i="10" s="1"/>
  <c r="I247" i="10"/>
  <c r="L247" i="10" s="1"/>
  <c r="I269" i="10"/>
  <c r="L269" i="10" s="1"/>
  <c r="I292" i="10"/>
  <c r="L292" i="10" s="1"/>
  <c r="I316" i="10"/>
  <c r="L316" i="10" s="1"/>
  <c r="I331" i="10"/>
  <c r="L331" i="10" s="1"/>
  <c r="K49" i="10"/>
  <c r="K42" i="10"/>
  <c r="I43" i="10"/>
  <c r="L43" i="10" s="1"/>
  <c r="I46" i="10"/>
  <c r="I59" i="10"/>
  <c r="L59" i="10" s="1"/>
  <c r="I76" i="10"/>
  <c r="L76" i="10" s="1"/>
  <c r="I103" i="10"/>
  <c r="L103" i="10" s="1"/>
  <c r="I181" i="10"/>
  <c r="L181" i="10" s="1"/>
  <c r="I297" i="10"/>
  <c r="L297" i="10" s="1"/>
  <c r="I303" i="10"/>
  <c r="L303" i="10" s="1"/>
  <c r="I22" i="10"/>
  <c r="J23" i="10"/>
  <c r="I27" i="10"/>
  <c r="L27" i="10" s="1"/>
  <c r="I29" i="10"/>
  <c r="L29" i="10" s="1"/>
  <c r="I87" i="10"/>
  <c r="L87" i="10" s="1"/>
  <c r="I128" i="10"/>
  <c r="L128" i="10" s="1"/>
  <c r="I148" i="10"/>
  <c r="L148" i="10" s="1"/>
  <c r="I171" i="10"/>
  <c r="L171" i="10" s="1"/>
  <c r="I184" i="10"/>
  <c r="L184" i="10" s="1"/>
  <c r="I190" i="10"/>
  <c r="L190" i="10" s="1"/>
  <c r="I219" i="10"/>
  <c r="L219" i="10" s="1"/>
  <c r="I228" i="10"/>
  <c r="L228" i="10" s="1"/>
  <c r="I244" i="10"/>
  <c r="L244" i="10" s="1"/>
  <c r="I266" i="10"/>
  <c r="L266" i="10" s="1"/>
  <c r="I305" i="10"/>
  <c r="L305" i="10" s="1"/>
  <c r="I311" i="10"/>
  <c r="L311" i="10" s="1"/>
  <c r="I326" i="10"/>
  <c r="L326" i="10" s="1"/>
  <c r="I340" i="10"/>
  <c r="L340" i="10" s="1"/>
  <c r="I351" i="10"/>
  <c r="L351" i="10" s="1"/>
  <c r="H366" i="10"/>
  <c r="K366" i="10" s="1"/>
  <c r="L366" i="10" s="1"/>
  <c r="I77" i="10"/>
  <c r="L77" i="10" s="1"/>
  <c r="I84" i="10"/>
  <c r="L84" i="10" s="1"/>
  <c r="I90" i="10"/>
  <c r="L90" i="10" s="1"/>
  <c r="I93" i="10"/>
  <c r="L93" i="10" s="1"/>
  <c r="I99" i="10"/>
  <c r="L99" i="10" s="1"/>
  <c r="I104" i="10"/>
  <c r="L104" i="10" s="1"/>
  <c r="I109" i="10"/>
  <c r="L109" i="10" s="1"/>
  <c r="I112" i="10"/>
  <c r="L112" i="10" s="1"/>
  <c r="I120" i="10"/>
  <c r="L120" i="10" s="1"/>
  <c r="I123" i="10"/>
  <c r="L123" i="10" s="1"/>
  <c r="I126" i="10"/>
  <c r="L126" i="10" s="1"/>
  <c r="I145" i="10"/>
  <c r="L145" i="10" s="1"/>
  <c r="I151" i="10"/>
  <c r="L151" i="10" s="1"/>
  <c r="I154" i="10"/>
  <c r="L154" i="10" s="1"/>
  <c r="I165" i="10"/>
  <c r="L165" i="10" s="1"/>
  <c r="I168" i="10"/>
  <c r="L168" i="10" s="1"/>
  <c r="I169" i="10"/>
  <c r="L169" i="10" s="1"/>
  <c r="I179" i="10"/>
  <c r="L179" i="10" s="1"/>
  <c r="I185" i="10"/>
  <c r="L185" i="10" s="1"/>
  <c r="I188" i="10"/>
  <c r="L188" i="10" s="1"/>
  <c r="I198" i="10"/>
  <c r="L198" i="10" s="1"/>
  <c r="I199" i="10"/>
  <c r="L199" i="10" s="1"/>
  <c r="I214" i="10"/>
  <c r="L214" i="10" s="1"/>
  <c r="I220" i="10"/>
  <c r="L220" i="10" s="1"/>
  <c r="I226" i="10"/>
  <c r="L226" i="10" s="1"/>
  <c r="I234" i="10"/>
  <c r="L234" i="10" s="1"/>
  <c r="I237" i="10"/>
  <c r="L237" i="10" s="1"/>
  <c r="I242" i="10"/>
  <c r="L242" i="10" s="1"/>
  <c r="I245" i="10"/>
  <c r="L245" i="10" s="1"/>
  <c r="I250" i="10"/>
  <c r="L250" i="10" s="1"/>
  <c r="I253" i="10"/>
  <c r="L253" i="10" s="1"/>
  <c r="I258" i="10"/>
  <c r="L258" i="10" s="1"/>
  <c r="I263" i="10"/>
  <c r="L263" i="10" s="1"/>
  <c r="I264" i="10"/>
  <c r="L264" i="10" s="1"/>
  <c r="I273" i="10"/>
  <c r="L273" i="10" s="1"/>
  <c r="I279" i="10"/>
  <c r="L279" i="10" s="1"/>
  <c r="I280" i="10"/>
  <c r="L280" i="10" s="1"/>
  <c r="I282" i="10"/>
  <c r="L282" i="10" s="1"/>
  <c r="I290" i="10"/>
  <c r="L290" i="10" s="1"/>
  <c r="I295" i="10"/>
  <c r="L295" i="10" s="1"/>
  <c r="I306" i="10"/>
  <c r="L306" i="10" s="1"/>
  <c r="I309" i="10"/>
  <c r="L309" i="10" s="1"/>
  <c r="I314" i="10"/>
  <c r="L314" i="10" s="1"/>
  <c r="I317" i="10"/>
  <c r="L317" i="10" s="1"/>
  <c r="I324" i="10"/>
  <c r="L324" i="10" s="1"/>
  <c r="I329" i="10"/>
  <c r="L329" i="10" s="1"/>
  <c r="I335" i="10"/>
  <c r="L335" i="10" s="1"/>
  <c r="I346" i="10"/>
  <c r="L346" i="10" s="1"/>
  <c r="I347" i="10"/>
  <c r="L347" i="10" s="1"/>
  <c r="I352" i="10"/>
  <c r="L352" i="10" s="1"/>
  <c r="I130" i="10"/>
  <c r="L130" i="10" s="1"/>
  <c r="I180" i="10"/>
  <c r="L180" i="10" s="1"/>
  <c r="I212" i="10"/>
  <c r="L212" i="10" s="1"/>
  <c r="I224" i="10"/>
  <c r="L224" i="10" s="1"/>
  <c r="I268" i="10"/>
  <c r="L268" i="10" s="1"/>
  <c r="I283" i="10"/>
  <c r="L283" i="10" s="1"/>
  <c r="I291" i="10"/>
  <c r="L291" i="10" s="1"/>
  <c r="I336" i="10"/>
  <c r="L336" i="10" s="1"/>
  <c r="H7" i="11"/>
  <c r="H200" i="11"/>
  <c r="H81" i="11" s="1"/>
  <c r="H259" i="11"/>
  <c r="G33" i="11"/>
  <c r="H33" i="11" s="1"/>
  <c r="H14" i="11" s="1"/>
  <c r="G37" i="11"/>
  <c r="H37" i="11" s="1"/>
  <c r="G43" i="11"/>
  <c r="H43" i="11" s="1"/>
  <c r="G47" i="11"/>
  <c r="H47" i="11" s="1"/>
  <c r="G51" i="11"/>
  <c r="H51" i="11" s="1"/>
  <c r="G55" i="11"/>
  <c r="H55" i="11" s="1"/>
  <c r="H148" i="11"/>
  <c r="G106" i="11"/>
  <c r="H106" i="11" s="1"/>
  <c r="G114" i="11"/>
  <c r="H114" i="11" s="1"/>
  <c r="G122" i="11"/>
  <c r="H122" i="11" s="1"/>
  <c r="G130" i="11"/>
  <c r="H130" i="11" s="1"/>
  <c r="H485" i="11"/>
  <c r="G96" i="11"/>
  <c r="H96" i="11" s="1"/>
  <c r="H82" i="11" s="1"/>
  <c r="H80" i="11" s="1"/>
  <c r="H313" i="11"/>
  <c r="H520" i="11"/>
  <c r="G448" i="11"/>
  <c r="H448" i="11" s="1"/>
  <c r="H658" i="11"/>
  <c r="G433" i="11"/>
  <c r="H433" i="11" s="1"/>
  <c r="H381" i="11" s="1"/>
  <c r="G435" i="11"/>
  <c r="H435" i="11" s="1"/>
  <c r="H592" i="11"/>
  <c r="H879" i="11"/>
  <c r="H881" i="11" s="1"/>
  <c r="H898" i="11"/>
  <c r="H900" i="11" s="1"/>
  <c r="I724" i="11"/>
  <c r="H868" i="11"/>
  <c r="H870" i="11" s="1"/>
  <c r="L19" i="10"/>
  <c r="J29" i="10"/>
  <c r="J43" i="10"/>
  <c r="K21" i="10"/>
  <c r="L21" i="10" s="1"/>
  <c r="H22" i="10"/>
  <c r="K22" i="10" s="1"/>
  <c r="L22" i="10" s="1"/>
  <c r="K25" i="10"/>
  <c r="I31" i="10"/>
  <c r="L31" i="10" s="1"/>
  <c r="K33" i="10"/>
  <c r="L33" i="10" s="1"/>
  <c r="J39" i="10"/>
  <c r="H41" i="10"/>
  <c r="K41" i="10" s="1"/>
  <c r="L41" i="10" s="1"/>
  <c r="I42" i="10"/>
  <c r="L42" i="10" s="1"/>
  <c r="J45" i="10"/>
  <c r="H47" i="10"/>
  <c r="K47" i="10" s="1"/>
  <c r="L47" i="10" s="1"/>
  <c r="I48" i="10"/>
  <c r="L48" i="10" s="1"/>
  <c r="J49" i="10"/>
  <c r="J51" i="10"/>
  <c r="I58" i="10"/>
  <c r="L58" i="10" s="1"/>
  <c r="I62" i="10"/>
  <c r="L62" i="10" s="1"/>
  <c r="I74" i="10"/>
  <c r="L74" i="10" s="1"/>
  <c r="I89" i="10"/>
  <c r="L89" i="10" s="1"/>
  <c r="I127" i="10"/>
  <c r="L127" i="10" s="1"/>
  <c r="I134" i="10"/>
  <c r="L134" i="10" s="1"/>
  <c r="I142" i="10"/>
  <c r="L142" i="10" s="1"/>
  <c r="I150" i="10"/>
  <c r="L150" i="10" s="1"/>
  <c r="J21" i="10"/>
  <c r="J27" i="10"/>
  <c r="I39" i="10"/>
  <c r="I49" i="10"/>
  <c r="L49" i="10" s="1"/>
  <c r="L52" i="10"/>
  <c r="K67" i="10"/>
  <c r="J67" i="10"/>
  <c r="J31" i="10"/>
  <c r="I32" i="10"/>
  <c r="J42" i="10"/>
  <c r="K45" i="10"/>
  <c r="L45" i="10" s="1"/>
  <c r="J48" i="10"/>
  <c r="K54" i="10"/>
  <c r="J54" i="10"/>
  <c r="I54" i="10"/>
  <c r="I100" i="10"/>
  <c r="L100" i="10" s="1"/>
  <c r="I110" i="10"/>
  <c r="L110" i="10" s="1"/>
  <c r="I161" i="10"/>
  <c r="L161" i="10" s="1"/>
  <c r="K32" i="10"/>
  <c r="L55" i="10"/>
  <c r="J55" i="10"/>
  <c r="I67" i="10"/>
  <c r="J357" i="10"/>
  <c r="H357" i="10"/>
  <c r="K357" i="10" s="1"/>
  <c r="L357" i="10" s="1"/>
  <c r="J361" i="10"/>
  <c r="H361" i="10"/>
  <c r="K361" i="10" s="1"/>
  <c r="L361" i="10" s="1"/>
  <c r="L360" i="10"/>
  <c r="J364" i="10"/>
  <c r="H364" i="10"/>
  <c r="K364" i="10" s="1"/>
  <c r="L364" i="10" s="1"/>
  <c r="J355" i="10"/>
  <c r="H371" i="7"/>
  <c r="K371" i="7" s="1"/>
  <c r="L371" i="7" s="1"/>
  <c r="I356" i="7"/>
  <c r="I357" i="7"/>
  <c r="I358" i="7"/>
  <c r="I359" i="7"/>
  <c r="I360" i="7"/>
  <c r="I361" i="7"/>
  <c r="I362" i="7"/>
  <c r="I363" i="7"/>
  <c r="I364" i="7"/>
  <c r="I365" i="7"/>
  <c r="I366" i="7"/>
  <c r="I367" i="7"/>
  <c r="I368" i="7"/>
  <c r="I369" i="7"/>
  <c r="I370" i="7"/>
  <c r="I371" i="7"/>
  <c r="J371" i="7"/>
  <c r="I355" i="7"/>
  <c r="I34" i="7"/>
  <c r="I35" i="7"/>
  <c r="I36" i="7"/>
  <c r="H29" i="9"/>
  <c r="G36" i="7" s="1"/>
  <c r="B29" i="9"/>
  <c r="B25" i="9"/>
  <c r="B21" i="9"/>
  <c r="G18" i="9"/>
  <c r="H18" i="9" s="1"/>
  <c r="H17" i="9" s="1"/>
  <c r="G23" i="7" s="1"/>
  <c r="G15" i="9"/>
  <c r="H15" i="9" s="1"/>
  <c r="H14" i="9" s="1"/>
  <c r="G21" i="7" s="1"/>
  <c r="G12" i="9"/>
  <c r="H12" i="9" s="1"/>
  <c r="H11" i="9" s="1"/>
  <c r="G20" i="7" s="1"/>
  <c r="G9" i="9"/>
  <c r="H9" i="9" s="1"/>
  <c r="G31" i="9"/>
  <c r="H31" i="9" s="1"/>
  <c r="G30" i="9"/>
  <c r="H30" i="9" s="1"/>
  <c r="G27" i="9"/>
  <c r="H27" i="9" s="1"/>
  <c r="G26" i="9"/>
  <c r="H26" i="9" s="1"/>
  <c r="G23" i="9"/>
  <c r="H23" i="9" s="1"/>
  <c r="H22" i="9"/>
  <c r="G191" i="9"/>
  <c r="H191" i="9" s="1"/>
  <c r="G190" i="9"/>
  <c r="H190" i="9" s="1"/>
  <c r="H189" i="9" s="1"/>
  <c r="G185" i="9"/>
  <c r="H185" i="9" s="1"/>
  <c r="H184" i="9" s="1"/>
  <c r="G186" i="9"/>
  <c r="H186" i="9" s="1"/>
  <c r="G99" i="9"/>
  <c r="H99" i="9" s="1"/>
  <c r="G102" i="9"/>
  <c r="H102" i="9" s="1"/>
  <c r="B188" i="9"/>
  <c r="A188" i="9"/>
  <c r="B183" i="9"/>
  <c r="A183" i="9"/>
  <c r="G181" i="9"/>
  <c r="H181" i="9" s="1"/>
  <c r="H180" i="9"/>
  <c r="B178" i="9"/>
  <c r="A178" i="9"/>
  <c r="G176" i="9"/>
  <c r="H176" i="9" s="1"/>
  <c r="G175" i="9"/>
  <c r="H175" i="9" s="1"/>
  <c r="G174" i="9"/>
  <c r="H174" i="9" s="1"/>
  <c r="B172" i="9"/>
  <c r="G170" i="9"/>
  <c r="H170" i="9" s="1"/>
  <c r="G169" i="9"/>
  <c r="H169" i="9" s="1"/>
  <c r="G168" i="9"/>
  <c r="H168" i="9" s="1"/>
  <c r="G167" i="9"/>
  <c r="H167" i="9" s="1"/>
  <c r="G166" i="9"/>
  <c r="H166" i="9" s="1"/>
  <c r="G165" i="9"/>
  <c r="H165" i="9" s="1"/>
  <c r="B163" i="9"/>
  <c r="G161" i="9"/>
  <c r="H161" i="9" s="1"/>
  <c r="G160" i="9"/>
  <c r="H160" i="9" s="1"/>
  <c r="G159" i="9"/>
  <c r="H159" i="9" s="1"/>
  <c r="G158" i="9"/>
  <c r="H158" i="9" s="1"/>
  <c r="G157" i="9"/>
  <c r="H157" i="9" s="1"/>
  <c r="G156" i="9"/>
  <c r="H156" i="9" s="1"/>
  <c r="B154" i="9"/>
  <c r="F152" i="9"/>
  <c r="G152" i="9" s="1"/>
  <c r="H152" i="9" s="1"/>
  <c r="F151" i="9"/>
  <c r="G151" i="9" s="1"/>
  <c r="H151" i="9" s="1"/>
  <c r="F150" i="9"/>
  <c r="G150" i="9" s="1"/>
  <c r="H150" i="9" s="1"/>
  <c r="B148" i="9"/>
  <c r="F145" i="9"/>
  <c r="G145" i="9" s="1"/>
  <c r="H145" i="9" s="1"/>
  <c r="F144" i="9"/>
  <c r="G144" i="9" s="1"/>
  <c r="H144" i="9" s="1"/>
  <c r="B142" i="9"/>
  <c r="F140" i="9"/>
  <c r="G140" i="9" s="1"/>
  <c r="H140" i="9" s="1"/>
  <c r="F139" i="9"/>
  <c r="G139" i="9" s="1"/>
  <c r="H139" i="9" s="1"/>
  <c r="F138" i="9"/>
  <c r="G138" i="9" s="1"/>
  <c r="H138" i="9" s="1"/>
  <c r="F137" i="9"/>
  <c r="G137" i="9" s="1"/>
  <c r="H137" i="9" s="1"/>
  <c r="F136" i="9"/>
  <c r="G136" i="9" s="1"/>
  <c r="H136" i="9" s="1"/>
  <c r="B134" i="9"/>
  <c r="G132" i="9"/>
  <c r="H132" i="9" s="1"/>
  <c r="G131" i="9"/>
  <c r="H131" i="9" s="1"/>
  <c r="G130" i="9"/>
  <c r="H130" i="9" s="1"/>
  <c r="G129" i="9"/>
  <c r="H129" i="9" s="1"/>
  <c r="G128" i="9"/>
  <c r="H128" i="9" s="1"/>
  <c r="I127" i="9"/>
  <c r="B126" i="9"/>
  <c r="G124" i="9"/>
  <c r="H124" i="9" s="1"/>
  <c r="G123" i="9"/>
  <c r="H123" i="9" s="1"/>
  <c r="G122" i="9"/>
  <c r="H122" i="9" s="1"/>
  <c r="G121" i="9"/>
  <c r="H121" i="9" s="1"/>
  <c r="G120" i="9"/>
  <c r="H120" i="9" s="1"/>
  <c r="G118" i="9"/>
  <c r="H118" i="9" s="1"/>
  <c r="G117" i="9"/>
  <c r="H117" i="9" s="1"/>
  <c r="G116" i="9"/>
  <c r="H116" i="9" s="1"/>
  <c r="G115" i="9"/>
  <c r="H115" i="9" s="1"/>
  <c r="G114" i="9"/>
  <c r="H114" i="9" s="1"/>
  <c r="I112" i="9"/>
  <c r="B111" i="9"/>
  <c r="G108" i="9"/>
  <c r="H108" i="9" s="1"/>
  <c r="G107" i="9"/>
  <c r="H107" i="9" s="1"/>
  <c r="I106" i="9"/>
  <c r="B105" i="9"/>
  <c r="G103" i="9"/>
  <c r="H103" i="9" s="1"/>
  <c r="G101" i="9"/>
  <c r="H101" i="9" s="1"/>
  <c r="G100" i="9"/>
  <c r="H100" i="9" s="1"/>
  <c r="I98" i="9"/>
  <c r="B97" i="9"/>
  <c r="G95" i="9"/>
  <c r="H95" i="9" s="1"/>
  <c r="G94" i="9"/>
  <c r="H94" i="9" s="1"/>
  <c r="G93" i="9"/>
  <c r="H93" i="9" s="1"/>
  <c r="G92" i="9"/>
  <c r="H92" i="9" s="1"/>
  <c r="G91" i="9"/>
  <c r="H91" i="9" s="1"/>
  <c r="G90" i="9"/>
  <c r="H90" i="9" s="1"/>
  <c r="G89" i="9"/>
  <c r="H89" i="9" s="1"/>
  <c r="I88" i="9"/>
  <c r="B87" i="9"/>
  <c r="G85" i="9"/>
  <c r="H85" i="9" s="1"/>
  <c r="G84" i="9"/>
  <c r="H84" i="9" s="1"/>
  <c r="G83" i="9"/>
  <c r="H83" i="9" s="1"/>
  <c r="B81" i="9"/>
  <c r="G79" i="9"/>
  <c r="H79" i="9" s="1"/>
  <c r="G78" i="9"/>
  <c r="H78" i="9" s="1"/>
  <c r="G77" i="9"/>
  <c r="H77" i="9" s="1"/>
  <c r="G76" i="9"/>
  <c r="H76" i="9" s="1"/>
  <c r="G75" i="9"/>
  <c r="H75" i="9" s="1"/>
  <c r="B73" i="9"/>
  <c r="G71" i="9"/>
  <c r="H71" i="9" s="1"/>
  <c r="G70" i="9"/>
  <c r="H70" i="9" s="1"/>
  <c r="G69" i="9"/>
  <c r="H69" i="9" s="1"/>
  <c r="G68" i="9"/>
  <c r="H68" i="9" s="1"/>
  <c r="G67" i="9"/>
  <c r="H67" i="9" s="1"/>
  <c r="I66" i="9"/>
  <c r="B65" i="9"/>
  <c r="G63" i="9"/>
  <c r="H63" i="9" s="1"/>
  <c r="G62" i="9"/>
  <c r="H62" i="9" s="1"/>
  <c r="G61" i="9"/>
  <c r="H61" i="9" s="1"/>
  <c r="G60" i="9"/>
  <c r="H60" i="9" s="1"/>
  <c r="G59" i="9"/>
  <c r="H59" i="9" s="1"/>
  <c r="B57" i="9"/>
  <c r="G54" i="9"/>
  <c r="H54" i="9" s="1"/>
  <c r="G53" i="9"/>
  <c r="H53" i="9" s="1"/>
  <c r="G52" i="9"/>
  <c r="H52" i="9" s="1"/>
  <c r="G51" i="9"/>
  <c r="H51" i="9" s="1"/>
  <c r="G50" i="9"/>
  <c r="H50" i="9" s="1"/>
  <c r="I49" i="9"/>
  <c r="B48" i="9"/>
  <c r="G46" i="9"/>
  <c r="H46" i="9" s="1"/>
  <c r="G45" i="9"/>
  <c r="H45" i="9" s="1"/>
  <c r="G44" i="9"/>
  <c r="H44" i="9" s="1"/>
  <c r="G43" i="9"/>
  <c r="H43" i="9" s="1"/>
  <c r="G42" i="9"/>
  <c r="H42" i="9" s="1"/>
  <c r="G41" i="9"/>
  <c r="H41" i="9" s="1"/>
  <c r="G40" i="9"/>
  <c r="H40" i="9" s="1"/>
  <c r="G39" i="9"/>
  <c r="H39" i="9" s="1"/>
  <c r="G38" i="9"/>
  <c r="H38" i="9" s="1"/>
  <c r="G37" i="9"/>
  <c r="H37" i="9" s="1"/>
  <c r="I36" i="9"/>
  <c r="B35" i="9"/>
  <c r="A2" i="9"/>
  <c r="A1" i="9"/>
  <c r="K344" i="14" l="1"/>
  <c r="K285" i="14"/>
  <c r="K274" i="14"/>
  <c r="K247" i="14"/>
  <c r="K278" i="14"/>
  <c r="K271" i="14"/>
  <c r="K218" i="14"/>
  <c r="K170" i="14"/>
  <c r="K107" i="14"/>
  <c r="K167" i="14"/>
  <c r="K90" i="14"/>
  <c r="K136" i="14"/>
  <c r="K293" i="14"/>
  <c r="K185" i="14"/>
  <c r="K154" i="14"/>
  <c r="K139" i="14"/>
  <c r="H371" i="14"/>
  <c r="F11" i="14" s="1"/>
  <c r="K275" i="14"/>
  <c r="K182" i="14"/>
  <c r="K152" i="14"/>
  <c r="K118" i="14"/>
  <c r="K124" i="14"/>
  <c r="I371" i="14"/>
  <c r="H11" i="14" s="1"/>
  <c r="K101" i="14"/>
  <c r="K306" i="14"/>
  <c r="K197" i="14"/>
  <c r="K17" i="14"/>
  <c r="K243" i="14"/>
  <c r="K262" i="14"/>
  <c r="K337" i="14"/>
  <c r="K230" i="14"/>
  <c r="K222" i="14"/>
  <c r="K214" i="14"/>
  <c r="K270" i="14"/>
  <c r="K210" i="14"/>
  <c r="K281" i="14"/>
  <c r="K86" i="14"/>
  <c r="K251" i="14"/>
  <c r="K121" i="14"/>
  <c r="J371" i="14"/>
  <c r="K371" i="14" s="1"/>
  <c r="I371" i="12"/>
  <c r="H11" i="12" s="1"/>
  <c r="K145" i="12"/>
  <c r="L54" i="10"/>
  <c r="I373" i="10"/>
  <c r="G13" i="10" s="1"/>
  <c r="K179" i="12"/>
  <c r="K240" i="12"/>
  <c r="K224" i="12"/>
  <c r="K208" i="12"/>
  <c r="K92" i="12"/>
  <c r="K127" i="12"/>
  <c r="K233" i="12"/>
  <c r="K186" i="12"/>
  <c r="K219" i="12"/>
  <c r="K174" i="12"/>
  <c r="K152" i="12"/>
  <c r="K126" i="12"/>
  <c r="K146" i="12"/>
  <c r="K43" i="12"/>
  <c r="K330" i="12"/>
  <c r="K286" i="12"/>
  <c r="K256" i="12"/>
  <c r="K290" i="12"/>
  <c r="K300" i="12"/>
  <c r="K313" i="12"/>
  <c r="K163" i="12"/>
  <c r="K148" i="12"/>
  <c r="K235" i="12"/>
  <c r="K193" i="12"/>
  <c r="K187" i="12"/>
  <c r="K88" i="12"/>
  <c r="K77" i="12"/>
  <c r="K232" i="12"/>
  <c r="H371" i="12"/>
  <c r="F11" i="12" s="1"/>
  <c r="K275" i="12"/>
  <c r="K259" i="12"/>
  <c r="K293" i="12"/>
  <c r="K326" i="12"/>
  <c r="K282" i="12"/>
  <c r="K178" i="12"/>
  <c r="K297" i="12"/>
  <c r="K211" i="12"/>
  <c r="K197" i="12"/>
  <c r="K122" i="12"/>
  <c r="K102" i="12"/>
  <c r="K95" i="12"/>
  <c r="K252" i="12"/>
  <c r="K204" i="12"/>
  <c r="K119" i="12"/>
  <c r="K112" i="12"/>
  <c r="K105" i="12"/>
  <c r="K62" i="12"/>
  <c r="K272" i="12"/>
  <c r="K54" i="12"/>
  <c r="K159" i="12"/>
  <c r="J371" i="12"/>
  <c r="K17" i="12"/>
  <c r="J373" i="10"/>
  <c r="I13" i="10" s="1"/>
  <c r="L39" i="10"/>
  <c r="L46" i="10"/>
  <c r="L25" i="10"/>
  <c r="L32" i="10"/>
  <c r="L67" i="10"/>
  <c r="K373" i="10"/>
  <c r="L373" i="10" s="1"/>
  <c r="H36" i="7"/>
  <c r="K36" i="7" s="1"/>
  <c r="L36" i="7" s="1"/>
  <c r="J36" i="7"/>
  <c r="H368" i="7"/>
  <c r="K368" i="7" s="1"/>
  <c r="L368" i="7" s="1"/>
  <c r="H21" i="9"/>
  <c r="G34" i="7" s="1"/>
  <c r="J34" i="7" s="1"/>
  <c r="H82" i="9"/>
  <c r="G360" i="7" s="1"/>
  <c r="H127" i="9"/>
  <c r="G365" i="7" s="1"/>
  <c r="H58" i="9"/>
  <c r="G357" i="7" s="1"/>
  <c r="H66" i="9"/>
  <c r="G358" i="7" s="1"/>
  <c r="H173" i="9"/>
  <c r="H135" i="9"/>
  <c r="G366" i="7" s="1"/>
  <c r="H143" i="9"/>
  <c r="G367" i="7" s="1"/>
  <c r="H8" i="9"/>
  <c r="H25" i="9"/>
  <c r="G35" i="7" s="1"/>
  <c r="H35" i="7" s="1"/>
  <c r="K35" i="7" s="1"/>
  <c r="L35" i="7" s="1"/>
  <c r="H179" i="9"/>
  <c r="H155" i="9"/>
  <c r="G369" i="7" s="1"/>
  <c r="H112" i="9"/>
  <c r="G364" i="7" s="1"/>
  <c r="H106" i="9"/>
  <c r="G363" i="7" s="1"/>
  <c r="H98" i="9"/>
  <c r="G362" i="7" s="1"/>
  <c r="H88" i="9"/>
  <c r="G361" i="7" s="1"/>
  <c r="H36" i="9"/>
  <c r="G355" i="7" s="1"/>
  <c r="H49" i="9"/>
  <c r="G356" i="7" s="1"/>
  <c r="H74" i="9"/>
  <c r="G359" i="7" s="1"/>
  <c r="H149" i="9"/>
  <c r="G368" i="7" s="1"/>
  <c r="J368" i="7" s="1"/>
  <c r="H164" i="9"/>
  <c r="G370" i="7" s="1"/>
  <c r="K371" i="12" l="1"/>
  <c r="J370" i="7"/>
  <c r="H370" i="7"/>
  <c r="K370" i="7" s="1"/>
  <c r="L370" i="7" s="1"/>
  <c r="H355" i="7"/>
  <c r="K355" i="7" s="1"/>
  <c r="L355" i="7" s="1"/>
  <c r="J355" i="7"/>
  <c r="J364" i="7"/>
  <c r="H364" i="7"/>
  <c r="K364" i="7" s="1"/>
  <c r="L364" i="7" s="1"/>
  <c r="J358" i="7"/>
  <c r="H358" i="7"/>
  <c r="K358" i="7" s="1"/>
  <c r="L358" i="7" s="1"/>
  <c r="J356" i="7"/>
  <c r="H356" i="7"/>
  <c r="K356" i="7" s="1"/>
  <c r="L356" i="7" s="1"/>
  <c r="J360" i="7"/>
  <c r="H360" i="7"/>
  <c r="K360" i="7" s="1"/>
  <c r="L360" i="7" s="1"/>
  <c r="J35" i="7"/>
  <c r="H361" i="7"/>
  <c r="K361" i="7" s="1"/>
  <c r="L361" i="7" s="1"/>
  <c r="J361" i="7"/>
  <c r="J369" i="7"/>
  <c r="H369" i="7"/>
  <c r="K369" i="7" s="1"/>
  <c r="L369" i="7" s="1"/>
  <c r="H367" i="7"/>
  <c r="K367" i="7" s="1"/>
  <c r="L367" i="7" s="1"/>
  <c r="J367" i="7"/>
  <c r="J357" i="7"/>
  <c r="H357" i="7"/>
  <c r="K357" i="7" s="1"/>
  <c r="L357" i="7" s="1"/>
  <c r="H34" i="7"/>
  <c r="K34" i="7" s="1"/>
  <c r="L34" i="7" s="1"/>
  <c r="H363" i="7"/>
  <c r="K363" i="7" s="1"/>
  <c r="L363" i="7" s="1"/>
  <c r="J363" i="7"/>
  <c r="H359" i="7"/>
  <c r="K359" i="7" s="1"/>
  <c r="L359" i="7" s="1"/>
  <c r="J359" i="7"/>
  <c r="J362" i="7"/>
  <c r="H362" i="7"/>
  <c r="K362" i="7" s="1"/>
  <c r="L362" i="7" s="1"/>
  <c r="H366" i="7"/>
  <c r="K366" i="7" s="1"/>
  <c r="L366" i="7" s="1"/>
  <c r="J366" i="7"/>
  <c r="J365" i="7"/>
  <c r="H365" i="7"/>
  <c r="K365" i="7" s="1"/>
  <c r="L365" i="7" s="1"/>
  <c r="K23" i="8" l="1"/>
  <c r="L23" i="8" s="1"/>
  <c r="H30" i="7"/>
  <c r="H32" i="7"/>
  <c r="H33" i="7"/>
  <c r="H29" i="7"/>
  <c r="H26" i="7"/>
  <c r="H27" i="7"/>
  <c r="H25" i="7"/>
  <c r="H22" i="7"/>
  <c r="H23" i="7"/>
  <c r="H20" i="7"/>
  <c r="K22" i="8"/>
  <c r="L22" i="8" s="1"/>
  <c r="L21" i="8" s="1"/>
  <c r="K18" i="8"/>
  <c r="L18" i="8" s="1"/>
  <c r="L17" i="8" s="1"/>
  <c r="K14" i="8"/>
  <c r="L14" i="8" s="1"/>
  <c r="L13" i="8" s="1"/>
  <c r="G19" i="7" s="1"/>
  <c r="E342" i="7"/>
  <c r="I6" i="3"/>
  <c r="F20" i="7"/>
  <c r="F21" i="7"/>
  <c r="F22" i="7"/>
  <c r="F23" i="7"/>
  <c r="F25" i="7"/>
  <c r="F26" i="7"/>
  <c r="F27" i="7"/>
  <c r="F29" i="7"/>
  <c r="F30" i="7"/>
  <c r="F39" i="7"/>
  <c r="F40" i="7"/>
  <c r="F41" i="7"/>
  <c r="F42" i="7"/>
  <c r="F43" i="7"/>
  <c r="F44" i="7"/>
  <c r="F45" i="7"/>
  <c r="F46" i="7"/>
  <c r="F47" i="7"/>
  <c r="F48" i="7"/>
  <c r="F49" i="7"/>
  <c r="F50" i="7"/>
  <c r="F51" i="7"/>
  <c r="F52" i="7"/>
  <c r="F54" i="7"/>
  <c r="F55" i="7"/>
  <c r="F56" i="7"/>
  <c r="F57" i="7"/>
  <c r="F58" i="7"/>
  <c r="F59" i="7"/>
  <c r="F60" i="7"/>
  <c r="F61" i="7"/>
  <c r="F62" i="7"/>
  <c r="F63" i="7"/>
  <c r="F64" i="7"/>
  <c r="F65" i="7"/>
  <c r="F66" i="7"/>
  <c r="F67" i="7"/>
  <c r="F68" i="7"/>
  <c r="F70" i="7"/>
  <c r="F71" i="7"/>
  <c r="F72" i="7"/>
  <c r="F73" i="7"/>
  <c r="F74" i="7"/>
  <c r="F75" i="7"/>
  <c r="F76" i="7"/>
  <c r="F77" i="7"/>
  <c r="F78" i="7"/>
  <c r="F79" i="7"/>
  <c r="F80" i="7"/>
  <c r="F81" i="7"/>
  <c r="F83" i="7"/>
  <c r="F84" i="7"/>
  <c r="F85" i="7"/>
  <c r="F86" i="7"/>
  <c r="F87" i="7"/>
  <c r="F88" i="7"/>
  <c r="F89" i="7"/>
  <c r="F90" i="7"/>
  <c r="F91" i="7"/>
  <c r="F92" i="7"/>
  <c r="F93" i="7"/>
  <c r="F94" i="7"/>
  <c r="F95" i="7"/>
  <c r="F97" i="7"/>
  <c r="F98" i="7"/>
  <c r="F99" i="7"/>
  <c r="F100" i="7"/>
  <c r="F102" i="7"/>
  <c r="F103" i="7"/>
  <c r="F104" i="7"/>
  <c r="F105" i="7"/>
  <c r="F107" i="7"/>
  <c r="F108" i="7"/>
  <c r="F109" i="7"/>
  <c r="F110" i="7"/>
  <c r="F112" i="7"/>
  <c r="F113" i="7"/>
  <c r="F114" i="7"/>
  <c r="F115" i="7"/>
  <c r="F116" i="7"/>
  <c r="F118" i="7"/>
  <c r="F119" i="7"/>
  <c r="F120" i="7"/>
  <c r="F121" i="7"/>
  <c r="F123" i="7"/>
  <c r="F124" i="7"/>
  <c r="F125" i="7"/>
  <c r="F126" i="7"/>
  <c r="F127" i="7"/>
  <c r="F128" i="7"/>
  <c r="F129" i="7"/>
  <c r="F130" i="7"/>
  <c r="F132" i="7"/>
  <c r="F133" i="7"/>
  <c r="F134" i="7"/>
  <c r="F135" i="7"/>
  <c r="F136" i="7"/>
  <c r="F137" i="7"/>
  <c r="F138" i="7"/>
  <c r="F139" i="7"/>
  <c r="F140" i="7"/>
  <c r="F141" i="7"/>
  <c r="F142" i="7"/>
  <c r="F143" i="7"/>
  <c r="F144" i="7"/>
  <c r="F145" i="7"/>
  <c r="F146" i="7"/>
  <c r="F147" i="7"/>
  <c r="F148" i="7"/>
  <c r="F149" i="7"/>
  <c r="F150" i="7"/>
  <c r="F151" i="7"/>
  <c r="F152" i="7"/>
  <c r="F153" i="7"/>
  <c r="F154" i="7"/>
  <c r="F156" i="7"/>
  <c r="F157" i="7"/>
  <c r="F158" i="7"/>
  <c r="F159" i="7"/>
  <c r="F160" i="7"/>
  <c r="F161" i="7"/>
  <c r="F162" i="7"/>
  <c r="F163" i="7"/>
  <c r="F164" i="7"/>
  <c r="F165" i="7"/>
  <c r="F166" i="7"/>
  <c r="F167" i="7"/>
  <c r="F168" i="7"/>
  <c r="F169" i="7"/>
  <c r="F170" i="7"/>
  <c r="F171" i="7"/>
  <c r="F172" i="7"/>
  <c r="F174" i="7"/>
  <c r="F175" i="7"/>
  <c r="F176" i="7"/>
  <c r="F177" i="7"/>
  <c r="F178" i="7"/>
  <c r="F179" i="7"/>
  <c r="F180" i="7"/>
  <c r="F181" i="7"/>
  <c r="F182" i="7"/>
  <c r="F183" i="7"/>
  <c r="F184" i="7"/>
  <c r="F185" i="7"/>
  <c r="F186" i="7"/>
  <c r="F187" i="7"/>
  <c r="F188" i="7"/>
  <c r="F189" i="7"/>
  <c r="F190" i="7"/>
  <c r="F191" i="7"/>
  <c r="F193" i="7"/>
  <c r="F194" i="7"/>
  <c r="F195" i="7"/>
  <c r="F196" i="7"/>
  <c r="F197" i="7"/>
  <c r="F198" i="7"/>
  <c r="F199" i="7"/>
  <c r="F200" i="7"/>
  <c r="F201" i="7"/>
  <c r="F203" i="7"/>
  <c r="F204" i="7"/>
  <c r="F205" i="7"/>
  <c r="F206" i="7"/>
  <c r="F207" i="7"/>
  <c r="F209" i="7"/>
  <c r="F210" i="7"/>
  <c r="F211" i="7"/>
  <c r="F212" i="7"/>
  <c r="F213" i="7"/>
  <c r="F214" i="7"/>
  <c r="F215" i="7"/>
  <c r="F216" i="7"/>
  <c r="F217" i="7"/>
  <c r="F218" i="7"/>
  <c r="F219" i="7"/>
  <c r="F220" i="7"/>
  <c r="F221" i="7"/>
  <c r="F222" i="7"/>
  <c r="F223" i="7"/>
  <c r="F224" i="7"/>
  <c r="F225" i="7"/>
  <c r="F226" i="7"/>
  <c r="F227" i="7"/>
  <c r="F228" i="7"/>
  <c r="F229" i="7"/>
  <c r="F230" i="7"/>
  <c r="F231" i="7"/>
  <c r="F232" i="7"/>
  <c r="F233" i="7"/>
  <c r="F234" i="7"/>
  <c r="F235" i="7"/>
  <c r="F236" i="7"/>
  <c r="F237" i="7"/>
  <c r="F238" i="7"/>
  <c r="F239" i="7"/>
  <c r="F240" i="7"/>
  <c r="F241" i="7"/>
  <c r="F242" i="7"/>
  <c r="F243" i="7"/>
  <c r="F244" i="7"/>
  <c r="F245" i="7"/>
  <c r="F246" i="7"/>
  <c r="F247" i="7"/>
  <c r="F248" i="7"/>
  <c r="F249" i="7"/>
  <c r="F250" i="7"/>
  <c r="F251" i="7"/>
  <c r="F252" i="7"/>
  <c r="F253" i="7"/>
  <c r="F254" i="7"/>
  <c r="F255" i="7"/>
  <c r="F256" i="7"/>
  <c r="F257" i="7"/>
  <c r="F258" i="7"/>
  <c r="F259" i="7"/>
  <c r="F261" i="7"/>
  <c r="F262" i="7"/>
  <c r="F263" i="7"/>
  <c r="F264" i="7"/>
  <c r="F265" i="7"/>
  <c r="F266" i="7"/>
  <c r="F267" i="7"/>
  <c r="F268" i="7"/>
  <c r="F269" i="7"/>
  <c r="F270" i="7"/>
  <c r="F271" i="7"/>
  <c r="F272" i="7"/>
  <c r="F273" i="7"/>
  <c r="F274" i="7"/>
  <c r="F275" i="7"/>
  <c r="F276" i="7"/>
  <c r="F277" i="7"/>
  <c r="F278" i="7"/>
  <c r="F279" i="7"/>
  <c r="F280" i="7"/>
  <c r="F282" i="7"/>
  <c r="F283" i="7"/>
  <c r="F284" i="7"/>
  <c r="F285" i="7"/>
  <c r="F286" i="7"/>
  <c r="F287" i="7"/>
  <c r="F288" i="7"/>
  <c r="F289" i="7"/>
  <c r="F290" i="7"/>
  <c r="F291" i="7"/>
  <c r="F292" i="7"/>
  <c r="F293" i="7"/>
  <c r="F295" i="7"/>
  <c r="F296" i="7"/>
  <c r="F297" i="7"/>
  <c r="F298" i="7"/>
  <c r="F299" i="7"/>
  <c r="F300" i="7"/>
  <c r="F302" i="7"/>
  <c r="F303" i="7"/>
  <c r="F304" i="7"/>
  <c r="F305" i="7"/>
  <c r="F306" i="7"/>
  <c r="F307" i="7"/>
  <c r="F308" i="7"/>
  <c r="F309" i="7"/>
  <c r="F310" i="7"/>
  <c r="F311" i="7"/>
  <c r="F312" i="7"/>
  <c r="F313" i="7"/>
  <c r="F314" i="7"/>
  <c r="F315" i="7"/>
  <c r="F316" i="7"/>
  <c r="F317" i="7"/>
  <c r="F318" i="7"/>
  <c r="F319" i="7"/>
  <c r="F320" i="7"/>
  <c r="F322" i="7"/>
  <c r="F323" i="7"/>
  <c r="F324" i="7"/>
  <c r="F325" i="7"/>
  <c r="F326" i="7"/>
  <c r="F327" i="7"/>
  <c r="F328" i="7"/>
  <c r="F329" i="7"/>
  <c r="F330" i="7"/>
  <c r="F331" i="7"/>
  <c r="F332" i="7"/>
  <c r="F333" i="7"/>
  <c r="F334" i="7"/>
  <c r="F335" i="7"/>
  <c r="F336" i="7"/>
  <c r="F337" i="7"/>
  <c r="F338" i="7"/>
  <c r="F339" i="7"/>
  <c r="F340" i="7"/>
  <c r="F342" i="7"/>
  <c r="I342" i="7" s="1"/>
  <c r="F343" i="7"/>
  <c r="F344" i="7"/>
  <c r="F345" i="7"/>
  <c r="F346" i="7"/>
  <c r="F347" i="7"/>
  <c r="F348" i="7"/>
  <c r="F349" i="7"/>
  <c r="F350" i="7"/>
  <c r="F351" i="7"/>
  <c r="F352" i="7"/>
  <c r="F353" i="7"/>
  <c r="F19" i="7"/>
  <c r="E20" i="7"/>
  <c r="E21" i="7"/>
  <c r="E22" i="7"/>
  <c r="E23" i="7"/>
  <c r="E25" i="7"/>
  <c r="J25" i="7" s="1"/>
  <c r="E26" i="7"/>
  <c r="K26" i="7" s="1"/>
  <c r="E27" i="7"/>
  <c r="E29" i="7"/>
  <c r="K29" i="7" s="1"/>
  <c r="E30" i="7"/>
  <c r="E31" i="7"/>
  <c r="J31" i="7" s="1"/>
  <c r="E32" i="7"/>
  <c r="J32" i="7" s="1"/>
  <c r="E33" i="7"/>
  <c r="J33" i="7" s="1"/>
  <c r="E39" i="7"/>
  <c r="E40" i="7"/>
  <c r="E41" i="7"/>
  <c r="E42" i="7"/>
  <c r="E43" i="7"/>
  <c r="E44" i="7"/>
  <c r="E45" i="7"/>
  <c r="E46" i="7"/>
  <c r="E47" i="7"/>
  <c r="E48" i="7"/>
  <c r="E49" i="7"/>
  <c r="E50" i="7"/>
  <c r="E51" i="7"/>
  <c r="E52" i="7"/>
  <c r="E54" i="7"/>
  <c r="E55" i="7"/>
  <c r="E56" i="7"/>
  <c r="E57" i="7"/>
  <c r="E58" i="7"/>
  <c r="E59" i="7"/>
  <c r="E60" i="7"/>
  <c r="E61" i="7"/>
  <c r="E62" i="7"/>
  <c r="E63" i="7"/>
  <c r="E64" i="7"/>
  <c r="E65" i="7"/>
  <c r="E66" i="7"/>
  <c r="E67" i="7"/>
  <c r="E68" i="7"/>
  <c r="E70" i="7"/>
  <c r="E71" i="7"/>
  <c r="E72" i="7"/>
  <c r="E73" i="7"/>
  <c r="E74" i="7"/>
  <c r="E75" i="7"/>
  <c r="E76" i="7"/>
  <c r="E77" i="7"/>
  <c r="E78" i="7"/>
  <c r="E79" i="7"/>
  <c r="E80" i="7"/>
  <c r="E81" i="7"/>
  <c r="E83" i="7"/>
  <c r="E84" i="7"/>
  <c r="E85" i="7"/>
  <c r="E86" i="7"/>
  <c r="E87" i="7"/>
  <c r="E88" i="7"/>
  <c r="E89" i="7"/>
  <c r="E90" i="7"/>
  <c r="E91" i="7"/>
  <c r="E92" i="7"/>
  <c r="E93" i="7"/>
  <c r="E94" i="7"/>
  <c r="E95" i="7"/>
  <c r="E97" i="7"/>
  <c r="E98" i="7"/>
  <c r="E99" i="7"/>
  <c r="E100" i="7"/>
  <c r="E102" i="7"/>
  <c r="E103" i="7"/>
  <c r="E104" i="7"/>
  <c r="E105" i="7"/>
  <c r="E107" i="7"/>
  <c r="E108" i="7"/>
  <c r="E109" i="7"/>
  <c r="E110" i="7"/>
  <c r="E112" i="7"/>
  <c r="E113" i="7"/>
  <c r="E114" i="7"/>
  <c r="E115" i="7"/>
  <c r="E116" i="7"/>
  <c r="E118" i="7"/>
  <c r="E119" i="7"/>
  <c r="E120" i="7"/>
  <c r="E121" i="7"/>
  <c r="E123" i="7"/>
  <c r="E124" i="7"/>
  <c r="E125" i="7"/>
  <c r="E126" i="7"/>
  <c r="E127" i="7"/>
  <c r="E128" i="7"/>
  <c r="E129" i="7"/>
  <c r="E130" i="7"/>
  <c r="E132" i="7"/>
  <c r="E133" i="7"/>
  <c r="E134" i="7"/>
  <c r="E135" i="7"/>
  <c r="E136" i="7"/>
  <c r="E137" i="7"/>
  <c r="E138" i="7"/>
  <c r="E139" i="7"/>
  <c r="E140" i="7"/>
  <c r="E141" i="7"/>
  <c r="E142" i="7"/>
  <c r="E143" i="7"/>
  <c r="E144" i="7"/>
  <c r="E145" i="7"/>
  <c r="E146" i="7"/>
  <c r="E147" i="7"/>
  <c r="E148" i="7"/>
  <c r="E149" i="7"/>
  <c r="E150" i="7"/>
  <c r="E151" i="7"/>
  <c r="E152" i="7"/>
  <c r="E153" i="7"/>
  <c r="E154" i="7"/>
  <c r="E156" i="7"/>
  <c r="E157" i="7"/>
  <c r="E158" i="7"/>
  <c r="E159" i="7"/>
  <c r="E160" i="7"/>
  <c r="E161" i="7"/>
  <c r="E162" i="7"/>
  <c r="E163" i="7"/>
  <c r="E164" i="7"/>
  <c r="E165" i="7"/>
  <c r="E166" i="7"/>
  <c r="E167" i="7"/>
  <c r="E168" i="7"/>
  <c r="E169" i="7"/>
  <c r="E170" i="7"/>
  <c r="E171" i="7"/>
  <c r="E172" i="7"/>
  <c r="E174" i="7"/>
  <c r="E175" i="7"/>
  <c r="E176" i="7"/>
  <c r="E177" i="7"/>
  <c r="E178" i="7"/>
  <c r="E179" i="7"/>
  <c r="E180" i="7"/>
  <c r="E181" i="7"/>
  <c r="E182" i="7"/>
  <c r="E183" i="7"/>
  <c r="E184" i="7"/>
  <c r="E185" i="7"/>
  <c r="E186" i="7"/>
  <c r="E187" i="7"/>
  <c r="E188" i="7"/>
  <c r="E189" i="7"/>
  <c r="E190" i="7"/>
  <c r="E191" i="7"/>
  <c r="E193" i="7"/>
  <c r="E194" i="7"/>
  <c r="E195" i="7"/>
  <c r="E196" i="7"/>
  <c r="E197" i="7"/>
  <c r="E198" i="7"/>
  <c r="E199" i="7"/>
  <c r="E200" i="7"/>
  <c r="E201" i="7"/>
  <c r="E203" i="7"/>
  <c r="E204" i="7"/>
  <c r="E205" i="7"/>
  <c r="E206" i="7"/>
  <c r="E207" i="7"/>
  <c r="E209" i="7"/>
  <c r="E210" i="7"/>
  <c r="E211" i="7"/>
  <c r="E212" i="7"/>
  <c r="E213" i="7"/>
  <c r="E214" i="7"/>
  <c r="E215" i="7"/>
  <c r="E216" i="7"/>
  <c r="E217" i="7"/>
  <c r="E218" i="7"/>
  <c r="E219" i="7"/>
  <c r="E220" i="7"/>
  <c r="E221" i="7"/>
  <c r="E222" i="7"/>
  <c r="E223" i="7"/>
  <c r="E224" i="7"/>
  <c r="E225" i="7"/>
  <c r="E226" i="7"/>
  <c r="E227" i="7"/>
  <c r="E228" i="7"/>
  <c r="E229" i="7"/>
  <c r="E230" i="7"/>
  <c r="E231" i="7"/>
  <c r="E232" i="7"/>
  <c r="E233" i="7"/>
  <c r="E234" i="7"/>
  <c r="E235" i="7"/>
  <c r="E236" i="7"/>
  <c r="E237" i="7"/>
  <c r="E238" i="7"/>
  <c r="E239" i="7"/>
  <c r="E240" i="7"/>
  <c r="E241" i="7"/>
  <c r="E242" i="7"/>
  <c r="E243" i="7"/>
  <c r="E244" i="7"/>
  <c r="E245" i="7"/>
  <c r="E246" i="7"/>
  <c r="E247" i="7"/>
  <c r="E248" i="7"/>
  <c r="E249" i="7"/>
  <c r="E250" i="7"/>
  <c r="E251" i="7"/>
  <c r="E252" i="7"/>
  <c r="E253" i="7"/>
  <c r="E254" i="7"/>
  <c r="E255" i="7"/>
  <c r="E256" i="7"/>
  <c r="E257" i="7"/>
  <c r="E258" i="7"/>
  <c r="E259" i="7"/>
  <c r="E261" i="7"/>
  <c r="E262" i="7"/>
  <c r="E263" i="7"/>
  <c r="E264" i="7"/>
  <c r="E265" i="7"/>
  <c r="E266" i="7"/>
  <c r="E267" i="7"/>
  <c r="E268" i="7"/>
  <c r="E269" i="7"/>
  <c r="E270" i="7"/>
  <c r="E271" i="7"/>
  <c r="E272" i="7"/>
  <c r="E273" i="7"/>
  <c r="E274" i="7"/>
  <c r="E275" i="7"/>
  <c r="E276" i="7"/>
  <c r="E277" i="7"/>
  <c r="E278" i="7"/>
  <c r="E279" i="7"/>
  <c r="E280" i="7"/>
  <c r="E282" i="7"/>
  <c r="E283" i="7"/>
  <c r="E284" i="7"/>
  <c r="E285" i="7"/>
  <c r="E286" i="7"/>
  <c r="E287" i="7"/>
  <c r="E288" i="7"/>
  <c r="E289" i="7"/>
  <c r="E290" i="7"/>
  <c r="E291" i="7"/>
  <c r="E292" i="7"/>
  <c r="E293" i="7"/>
  <c r="E295" i="7"/>
  <c r="E296" i="7"/>
  <c r="E297" i="7"/>
  <c r="E298" i="7"/>
  <c r="E299" i="7"/>
  <c r="E300" i="7"/>
  <c r="E302" i="7"/>
  <c r="E303" i="7"/>
  <c r="E304" i="7"/>
  <c r="E305" i="7"/>
  <c r="E306" i="7"/>
  <c r="E307" i="7"/>
  <c r="E308" i="7"/>
  <c r="E309" i="7"/>
  <c r="E310" i="7"/>
  <c r="E311" i="7"/>
  <c r="E312" i="7"/>
  <c r="E313" i="7"/>
  <c r="E314" i="7"/>
  <c r="E315" i="7"/>
  <c r="E316" i="7"/>
  <c r="E317" i="7"/>
  <c r="E318" i="7"/>
  <c r="E319" i="7"/>
  <c r="E320" i="7"/>
  <c r="E322" i="7"/>
  <c r="E323" i="7"/>
  <c r="E324" i="7"/>
  <c r="E325" i="7"/>
  <c r="E326" i="7"/>
  <c r="E327" i="7"/>
  <c r="E328" i="7"/>
  <c r="E329" i="7"/>
  <c r="E330" i="7"/>
  <c r="E331" i="7"/>
  <c r="E332" i="7"/>
  <c r="E333" i="7"/>
  <c r="E334" i="7"/>
  <c r="E335" i="7"/>
  <c r="E336" i="7"/>
  <c r="E337" i="7"/>
  <c r="E338" i="7"/>
  <c r="E339" i="7"/>
  <c r="E340" i="7"/>
  <c r="E343" i="7"/>
  <c r="E344" i="7"/>
  <c r="E345" i="7"/>
  <c r="E346" i="7"/>
  <c r="E347" i="7"/>
  <c r="E348" i="7"/>
  <c r="E349" i="7"/>
  <c r="E350" i="7"/>
  <c r="E351" i="7"/>
  <c r="E352" i="7"/>
  <c r="E353" i="7"/>
  <c r="E19" i="7"/>
  <c r="C19" i="7"/>
  <c r="C20" i="7"/>
  <c r="C21" i="7"/>
  <c r="C22" i="7"/>
  <c r="C23" i="7"/>
  <c r="C25" i="7"/>
  <c r="C26" i="7"/>
  <c r="C27" i="7"/>
  <c r="C29" i="7"/>
  <c r="C30" i="7"/>
  <c r="C31" i="7"/>
  <c r="C32" i="7"/>
  <c r="C33" i="7"/>
  <c r="C39" i="7"/>
  <c r="C40" i="7"/>
  <c r="C41" i="7"/>
  <c r="C42" i="7"/>
  <c r="C43" i="7"/>
  <c r="C44" i="7"/>
  <c r="C45" i="7"/>
  <c r="C46" i="7"/>
  <c r="C47" i="7"/>
  <c r="C48" i="7"/>
  <c r="C49" i="7"/>
  <c r="C50" i="7"/>
  <c r="C51" i="7"/>
  <c r="C52" i="7"/>
  <c r="C54" i="7"/>
  <c r="C55" i="7"/>
  <c r="C56" i="7"/>
  <c r="C57" i="7"/>
  <c r="C58" i="7"/>
  <c r="C59" i="7"/>
  <c r="C60" i="7"/>
  <c r="C61" i="7"/>
  <c r="C62" i="7"/>
  <c r="C63" i="7"/>
  <c r="C64" i="7"/>
  <c r="C65" i="7"/>
  <c r="C66" i="7"/>
  <c r="C67" i="7"/>
  <c r="C68" i="7"/>
  <c r="C70" i="7"/>
  <c r="C71" i="7"/>
  <c r="C72" i="7"/>
  <c r="C73" i="7"/>
  <c r="C74" i="7"/>
  <c r="C75" i="7"/>
  <c r="C76" i="7"/>
  <c r="C77" i="7"/>
  <c r="C78" i="7"/>
  <c r="C79" i="7"/>
  <c r="C80" i="7"/>
  <c r="C81" i="7"/>
  <c r="C83" i="7"/>
  <c r="C84" i="7"/>
  <c r="C85" i="7"/>
  <c r="C86" i="7"/>
  <c r="C87" i="7"/>
  <c r="C88" i="7"/>
  <c r="C89" i="7"/>
  <c r="C90" i="7"/>
  <c r="C91" i="7"/>
  <c r="C92" i="7"/>
  <c r="C93" i="7"/>
  <c r="C94" i="7"/>
  <c r="C95" i="7"/>
  <c r="C97" i="7"/>
  <c r="C98" i="7"/>
  <c r="C99" i="7"/>
  <c r="C100" i="7"/>
  <c r="C102" i="7"/>
  <c r="C103" i="7"/>
  <c r="C104" i="7"/>
  <c r="C105" i="7"/>
  <c r="C107" i="7"/>
  <c r="C108" i="7"/>
  <c r="C109" i="7"/>
  <c r="C110" i="7"/>
  <c r="C112" i="7"/>
  <c r="C113" i="7"/>
  <c r="C114" i="7"/>
  <c r="C115" i="7"/>
  <c r="C116" i="7"/>
  <c r="C118" i="7"/>
  <c r="C119" i="7"/>
  <c r="C120" i="7"/>
  <c r="C121" i="7"/>
  <c r="C123" i="7"/>
  <c r="C124" i="7"/>
  <c r="C125" i="7"/>
  <c r="C126" i="7"/>
  <c r="C127" i="7"/>
  <c r="C128" i="7"/>
  <c r="C129" i="7"/>
  <c r="C130" i="7"/>
  <c r="C132" i="7"/>
  <c r="C133" i="7"/>
  <c r="C134" i="7"/>
  <c r="C135" i="7"/>
  <c r="C136" i="7"/>
  <c r="C137" i="7"/>
  <c r="C138" i="7"/>
  <c r="C139" i="7"/>
  <c r="C140" i="7"/>
  <c r="C141" i="7"/>
  <c r="C142" i="7"/>
  <c r="C143" i="7"/>
  <c r="C144" i="7"/>
  <c r="C145" i="7"/>
  <c r="C146" i="7"/>
  <c r="C147" i="7"/>
  <c r="C148" i="7"/>
  <c r="C149" i="7"/>
  <c r="C150" i="7"/>
  <c r="C151" i="7"/>
  <c r="C152" i="7"/>
  <c r="C153" i="7"/>
  <c r="C154" i="7"/>
  <c r="C156" i="7"/>
  <c r="C157" i="7"/>
  <c r="C158" i="7"/>
  <c r="C159" i="7"/>
  <c r="C160" i="7"/>
  <c r="C161" i="7"/>
  <c r="C162" i="7"/>
  <c r="C163" i="7"/>
  <c r="C164" i="7"/>
  <c r="C165" i="7"/>
  <c r="C166" i="7"/>
  <c r="C167" i="7"/>
  <c r="C168" i="7"/>
  <c r="C169" i="7"/>
  <c r="C170" i="7"/>
  <c r="C171" i="7"/>
  <c r="C172" i="7"/>
  <c r="C174" i="7"/>
  <c r="C175" i="7"/>
  <c r="C176" i="7"/>
  <c r="C177" i="7"/>
  <c r="C178" i="7"/>
  <c r="C179" i="7"/>
  <c r="C180" i="7"/>
  <c r="C181" i="7"/>
  <c r="C182" i="7"/>
  <c r="C183" i="7"/>
  <c r="C184" i="7"/>
  <c r="C185" i="7"/>
  <c r="C186" i="7"/>
  <c r="C187" i="7"/>
  <c r="C188" i="7"/>
  <c r="C189" i="7"/>
  <c r="C190" i="7"/>
  <c r="C191" i="7"/>
  <c r="C193" i="7"/>
  <c r="C194" i="7"/>
  <c r="C195" i="7"/>
  <c r="C196" i="7"/>
  <c r="C197" i="7"/>
  <c r="C198" i="7"/>
  <c r="C199" i="7"/>
  <c r="C200" i="7"/>
  <c r="C201" i="7"/>
  <c r="C203" i="7"/>
  <c r="C204" i="7"/>
  <c r="C205" i="7"/>
  <c r="C206" i="7"/>
  <c r="C207" i="7"/>
  <c r="C209" i="7"/>
  <c r="C210" i="7"/>
  <c r="C211" i="7"/>
  <c r="C212" i="7"/>
  <c r="C213" i="7"/>
  <c r="C214" i="7"/>
  <c r="C215" i="7"/>
  <c r="C216" i="7"/>
  <c r="C217" i="7"/>
  <c r="C218" i="7"/>
  <c r="C219" i="7"/>
  <c r="C220" i="7"/>
  <c r="C221" i="7"/>
  <c r="C222" i="7"/>
  <c r="C223" i="7"/>
  <c r="C224" i="7"/>
  <c r="C225" i="7"/>
  <c r="C226" i="7"/>
  <c r="C227" i="7"/>
  <c r="C228" i="7"/>
  <c r="C229" i="7"/>
  <c r="C230" i="7"/>
  <c r="C231" i="7"/>
  <c r="C232" i="7"/>
  <c r="C233" i="7"/>
  <c r="C234" i="7"/>
  <c r="C235" i="7"/>
  <c r="C236" i="7"/>
  <c r="C237" i="7"/>
  <c r="C238" i="7"/>
  <c r="C239" i="7"/>
  <c r="C240" i="7"/>
  <c r="C241" i="7"/>
  <c r="C242" i="7"/>
  <c r="C243" i="7"/>
  <c r="C244" i="7"/>
  <c r="C245" i="7"/>
  <c r="C246" i="7"/>
  <c r="C247" i="7"/>
  <c r="C248" i="7"/>
  <c r="C249" i="7"/>
  <c r="C250" i="7"/>
  <c r="C251" i="7"/>
  <c r="C252" i="7"/>
  <c r="C253" i="7"/>
  <c r="C254" i="7"/>
  <c r="C255" i="7"/>
  <c r="C256" i="7"/>
  <c r="C257" i="7"/>
  <c r="C258" i="7"/>
  <c r="C259" i="7"/>
  <c r="C261" i="7"/>
  <c r="C262" i="7"/>
  <c r="C263" i="7"/>
  <c r="C264" i="7"/>
  <c r="C265" i="7"/>
  <c r="C266" i="7"/>
  <c r="C267" i="7"/>
  <c r="C268" i="7"/>
  <c r="C269" i="7"/>
  <c r="C270" i="7"/>
  <c r="C271" i="7"/>
  <c r="C272" i="7"/>
  <c r="C273" i="7"/>
  <c r="C274" i="7"/>
  <c r="C275" i="7"/>
  <c r="C276" i="7"/>
  <c r="C277" i="7"/>
  <c r="C278" i="7"/>
  <c r="C279" i="7"/>
  <c r="C280" i="7"/>
  <c r="C282" i="7"/>
  <c r="C283" i="7"/>
  <c r="C284" i="7"/>
  <c r="C285" i="7"/>
  <c r="C286" i="7"/>
  <c r="C287" i="7"/>
  <c r="C288" i="7"/>
  <c r="C289" i="7"/>
  <c r="C290" i="7"/>
  <c r="C291" i="7"/>
  <c r="C292" i="7"/>
  <c r="C293" i="7"/>
  <c r="C295" i="7"/>
  <c r="C296" i="7"/>
  <c r="C297" i="7"/>
  <c r="C298" i="7"/>
  <c r="C299" i="7"/>
  <c r="C300" i="7"/>
  <c r="C302" i="7"/>
  <c r="C303" i="7"/>
  <c r="C304" i="7"/>
  <c r="C305" i="7"/>
  <c r="C306" i="7"/>
  <c r="C307" i="7"/>
  <c r="C308" i="7"/>
  <c r="C309" i="7"/>
  <c r="C310" i="7"/>
  <c r="C311" i="7"/>
  <c r="C312" i="7"/>
  <c r="C313" i="7"/>
  <c r="C314" i="7"/>
  <c r="C315" i="7"/>
  <c r="C316" i="7"/>
  <c r="C317" i="7"/>
  <c r="C318" i="7"/>
  <c r="C319" i="7"/>
  <c r="C320" i="7"/>
  <c r="C322" i="7"/>
  <c r="C323" i="7"/>
  <c r="C324" i="7"/>
  <c r="C325" i="7"/>
  <c r="C326" i="7"/>
  <c r="C327" i="7"/>
  <c r="C328" i="7"/>
  <c r="C329" i="7"/>
  <c r="C330" i="7"/>
  <c r="C331" i="7"/>
  <c r="C332" i="7"/>
  <c r="C333" i="7"/>
  <c r="C334" i="7"/>
  <c r="C335" i="7"/>
  <c r="C336" i="7"/>
  <c r="C337" i="7"/>
  <c r="C338" i="7"/>
  <c r="C339" i="7"/>
  <c r="C340" i="7"/>
  <c r="C342" i="7"/>
  <c r="C343" i="7"/>
  <c r="C344" i="7"/>
  <c r="C345" i="7"/>
  <c r="C346" i="7"/>
  <c r="C347" i="7"/>
  <c r="C348" i="7"/>
  <c r="C349" i="7"/>
  <c r="C350" i="7"/>
  <c r="C351" i="7"/>
  <c r="C352" i="7"/>
  <c r="C353" i="7"/>
  <c r="A19" i="7"/>
  <c r="A12" i="8" s="1"/>
  <c r="A8" i="9" s="1"/>
  <c r="A20" i="7"/>
  <c r="A11" i="9" s="1"/>
  <c r="A21" i="7"/>
  <c r="A14" i="9" s="1"/>
  <c r="A22" i="7"/>
  <c r="A23" i="7"/>
  <c r="A17" i="9" s="1"/>
  <c r="A24" i="7"/>
  <c r="A25" i="7"/>
  <c r="A26" i="7"/>
  <c r="A27" i="7"/>
  <c r="A28" i="7"/>
  <c r="A29" i="7"/>
  <c r="A30" i="7"/>
  <c r="A31" i="7"/>
  <c r="A32" i="7"/>
  <c r="A33"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08" i="7"/>
  <c r="A109" i="7"/>
  <c r="A110" i="7"/>
  <c r="A111" i="7"/>
  <c r="A112" i="7"/>
  <c r="A113" i="7"/>
  <c r="A114" i="7"/>
  <c r="A115" i="7"/>
  <c r="A116" i="7"/>
  <c r="A117" i="7"/>
  <c r="A118" i="7"/>
  <c r="A119" i="7"/>
  <c r="A120" i="7"/>
  <c r="A121" i="7"/>
  <c r="A122" i="7"/>
  <c r="A123" i="7"/>
  <c r="A124" i="7"/>
  <c r="A125" i="7"/>
  <c r="A126" i="7"/>
  <c r="A127" i="7"/>
  <c r="A128" i="7"/>
  <c r="A129" i="7"/>
  <c r="A130" i="7"/>
  <c r="A131" i="7"/>
  <c r="A132" i="7"/>
  <c r="A133" i="7"/>
  <c r="A134" i="7"/>
  <c r="A135" i="7"/>
  <c r="A136" i="7"/>
  <c r="A137" i="7"/>
  <c r="A138" i="7"/>
  <c r="A139" i="7"/>
  <c r="A140" i="7"/>
  <c r="A141" i="7"/>
  <c r="A142" i="7"/>
  <c r="A143" i="7"/>
  <c r="A144" i="7"/>
  <c r="A145" i="7"/>
  <c r="A146" i="7"/>
  <c r="A147" i="7"/>
  <c r="A148" i="7"/>
  <c r="A149" i="7"/>
  <c r="A150" i="7"/>
  <c r="A151" i="7"/>
  <c r="A152" i="7"/>
  <c r="A153" i="7"/>
  <c r="A154" i="7"/>
  <c r="A155" i="7"/>
  <c r="A156" i="7"/>
  <c r="A157" i="7"/>
  <c r="A158" i="7"/>
  <c r="A159" i="7"/>
  <c r="A160" i="7"/>
  <c r="A161" i="7"/>
  <c r="A162" i="7"/>
  <c r="A163" i="7"/>
  <c r="A164" i="7"/>
  <c r="A165" i="7"/>
  <c r="A166" i="7"/>
  <c r="A167" i="7"/>
  <c r="A168" i="7"/>
  <c r="A169" i="7"/>
  <c r="A170" i="7"/>
  <c r="A171" i="7"/>
  <c r="A172" i="7"/>
  <c r="A173" i="7"/>
  <c r="A174" i="7"/>
  <c r="A175" i="7"/>
  <c r="A176" i="7"/>
  <c r="A177" i="7"/>
  <c r="A178" i="7"/>
  <c r="A179" i="7"/>
  <c r="A180" i="7"/>
  <c r="A181" i="7"/>
  <c r="A182" i="7"/>
  <c r="A183" i="7"/>
  <c r="A184" i="7"/>
  <c r="A185" i="7"/>
  <c r="A186" i="7"/>
  <c r="A187" i="7"/>
  <c r="A188" i="7"/>
  <c r="A189" i="7"/>
  <c r="A190" i="7"/>
  <c r="A191" i="7"/>
  <c r="A192" i="7"/>
  <c r="A193" i="7"/>
  <c r="A194" i="7"/>
  <c r="A195" i="7"/>
  <c r="A196" i="7"/>
  <c r="A197" i="7"/>
  <c r="A198" i="7"/>
  <c r="A199" i="7"/>
  <c r="A200" i="7"/>
  <c r="A201" i="7"/>
  <c r="A202" i="7"/>
  <c r="A203" i="7"/>
  <c r="A204" i="7"/>
  <c r="A205" i="7"/>
  <c r="A206" i="7"/>
  <c r="A207" i="7"/>
  <c r="A208" i="7"/>
  <c r="A209" i="7"/>
  <c r="A210" i="7"/>
  <c r="A211" i="7"/>
  <c r="A212" i="7"/>
  <c r="A213" i="7"/>
  <c r="A214" i="7"/>
  <c r="A215" i="7"/>
  <c r="A216" i="7"/>
  <c r="A217" i="7"/>
  <c r="A218" i="7"/>
  <c r="A219" i="7"/>
  <c r="A220" i="7"/>
  <c r="A221" i="7"/>
  <c r="A222" i="7"/>
  <c r="A223" i="7"/>
  <c r="A224" i="7"/>
  <c r="A225" i="7"/>
  <c r="A226" i="7"/>
  <c r="A227" i="7"/>
  <c r="A228" i="7"/>
  <c r="A229" i="7"/>
  <c r="A230" i="7"/>
  <c r="A231" i="7"/>
  <c r="A232" i="7"/>
  <c r="A233" i="7"/>
  <c r="A234" i="7"/>
  <c r="A235" i="7"/>
  <c r="A236" i="7"/>
  <c r="A237" i="7"/>
  <c r="A238" i="7"/>
  <c r="A239" i="7"/>
  <c r="A240" i="7"/>
  <c r="A241" i="7"/>
  <c r="A242" i="7"/>
  <c r="A243" i="7"/>
  <c r="A244" i="7"/>
  <c r="A245" i="7"/>
  <c r="A246" i="7"/>
  <c r="A247" i="7"/>
  <c r="A248" i="7"/>
  <c r="A249" i="7"/>
  <c r="A250" i="7"/>
  <c r="A251" i="7"/>
  <c r="A252" i="7"/>
  <c r="A253" i="7"/>
  <c r="A254" i="7"/>
  <c r="A255" i="7"/>
  <c r="A256" i="7"/>
  <c r="A257" i="7"/>
  <c r="A258" i="7"/>
  <c r="A259" i="7"/>
  <c r="A260" i="7"/>
  <c r="A261" i="7"/>
  <c r="A262" i="7"/>
  <c r="A263" i="7"/>
  <c r="A264" i="7"/>
  <c r="A265" i="7"/>
  <c r="A266" i="7"/>
  <c r="A267" i="7"/>
  <c r="A268" i="7"/>
  <c r="A269" i="7"/>
  <c r="A270" i="7"/>
  <c r="A271" i="7"/>
  <c r="A272" i="7"/>
  <c r="A273" i="7"/>
  <c r="A274" i="7"/>
  <c r="A275" i="7"/>
  <c r="A276" i="7"/>
  <c r="A277" i="7"/>
  <c r="A278" i="7"/>
  <c r="A279" i="7"/>
  <c r="A280" i="7"/>
  <c r="A281" i="7"/>
  <c r="A282" i="7"/>
  <c r="A283" i="7"/>
  <c r="A284" i="7"/>
  <c r="A285" i="7"/>
  <c r="A286" i="7"/>
  <c r="A287" i="7"/>
  <c r="A288" i="7"/>
  <c r="A289" i="7"/>
  <c r="A290" i="7"/>
  <c r="A291" i="7"/>
  <c r="A292" i="7"/>
  <c r="A293" i="7"/>
  <c r="A294" i="7"/>
  <c r="A295" i="7"/>
  <c r="A296" i="7"/>
  <c r="A297" i="7"/>
  <c r="A298" i="7"/>
  <c r="A299" i="7"/>
  <c r="A300" i="7"/>
  <c r="A301" i="7"/>
  <c r="A302" i="7"/>
  <c r="A303" i="7"/>
  <c r="A304" i="7"/>
  <c r="A305" i="7"/>
  <c r="A306" i="7"/>
  <c r="A307" i="7"/>
  <c r="A308" i="7"/>
  <c r="A309" i="7"/>
  <c r="A310" i="7"/>
  <c r="A311" i="7"/>
  <c r="A312" i="7"/>
  <c r="A313" i="7"/>
  <c r="A314" i="7"/>
  <c r="A315" i="7"/>
  <c r="A316" i="7"/>
  <c r="A317" i="7"/>
  <c r="A318" i="7"/>
  <c r="A319" i="7"/>
  <c r="A320" i="7"/>
  <c r="A321" i="7"/>
  <c r="A322" i="7"/>
  <c r="A323" i="7"/>
  <c r="A324" i="7"/>
  <c r="A325" i="7"/>
  <c r="A326" i="7"/>
  <c r="A327" i="7"/>
  <c r="A328" i="7"/>
  <c r="A329" i="7"/>
  <c r="A330" i="7"/>
  <c r="A331" i="7"/>
  <c r="A332" i="7"/>
  <c r="A333" i="7"/>
  <c r="A334" i="7"/>
  <c r="A335" i="7"/>
  <c r="A336" i="7"/>
  <c r="A337" i="7"/>
  <c r="A338" i="7"/>
  <c r="A339" i="7"/>
  <c r="A340" i="7"/>
  <c r="A341" i="7"/>
  <c r="A342" i="7"/>
  <c r="A343" i="7"/>
  <c r="A344" i="7"/>
  <c r="A345" i="7"/>
  <c r="A346" i="7"/>
  <c r="A347" i="7"/>
  <c r="A348" i="7"/>
  <c r="A349" i="7"/>
  <c r="A350" i="7"/>
  <c r="A351" i="7"/>
  <c r="A352" i="7"/>
  <c r="A353" i="7"/>
  <c r="A18" i="7"/>
  <c r="B28" i="7"/>
  <c r="B29" i="7"/>
  <c r="B30" i="7"/>
  <c r="B31" i="7"/>
  <c r="B27" i="8" s="1"/>
  <c r="B32" i="7"/>
  <c r="B30" i="8" s="1"/>
  <c r="B33" i="7"/>
  <c r="B33" i="8" s="1"/>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57" i="7"/>
  <c r="B158" i="7"/>
  <c r="B159" i="7"/>
  <c r="B160" i="7"/>
  <c r="B161" i="7"/>
  <c r="B162" i="7"/>
  <c r="B163" i="7"/>
  <c r="B164" i="7"/>
  <c r="B165" i="7"/>
  <c r="B166" i="7"/>
  <c r="B167" i="7"/>
  <c r="B168" i="7"/>
  <c r="B169" i="7"/>
  <c r="B170" i="7"/>
  <c r="B171" i="7"/>
  <c r="B172" i="7"/>
  <c r="B173" i="7"/>
  <c r="B174" i="7"/>
  <c r="B175" i="7"/>
  <c r="B176" i="7"/>
  <c r="B177" i="7"/>
  <c r="B178" i="7"/>
  <c r="B179" i="7"/>
  <c r="B180" i="7"/>
  <c r="B181" i="7"/>
  <c r="B182" i="7"/>
  <c r="B183" i="7"/>
  <c r="B184" i="7"/>
  <c r="B185" i="7"/>
  <c r="B186" i="7"/>
  <c r="B187" i="7"/>
  <c r="B188" i="7"/>
  <c r="B189" i="7"/>
  <c r="B190" i="7"/>
  <c r="B191" i="7"/>
  <c r="B192" i="7"/>
  <c r="B193" i="7"/>
  <c r="B194" i="7"/>
  <c r="B195" i="7"/>
  <c r="B196" i="7"/>
  <c r="B197" i="7"/>
  <c r="B198" i="7"/>
  <c r="B199" i="7"/>
  <c r="B200" i="7"/>
  <c r="B201" i="7"/>
  <c r="B202" i="7"/>
  <c r="B203" i="7"/>
  <c r="B204" i="7"/>
  <c r="B205" i="7"/>
  <c r="B206" i="7"/>
  <c r="B207" i="7"/>
  <c r="B208" i="7"/>
  <c r="B209" i="7"/>
  <c r="B210" i="7"/>
  <c r="B211" i="7"/>
  <c r="B212" i="7"/>
  <c r="B213" i="7"/>
  <c r="B214" i="7"/>
  <c r="B215" i="7"/>
  <c r="B216" i="7"/>
  <c r="B217" i="7"/>
  <c r="B218" i="7"/>
  <c r="B219" i="7"/>
  <c r="B220" i="7"/>
  <c r="B221" i="7"/>
  <c r="B222" i="7"/>
  <c r="B223" i="7"/>
  <c r="B224" i="7"/>
  <c r="B225" i="7"/>
  <c r="B226" i="7"/>
  <c r="B227" i="7"/>
  <c r="B228" i="7"/>
  <c r="B229" i="7"/>
  <c r="B230" i="7"/>
  <c r="B231" i="7"/>
  <c r="B232" i="7"/>
  <c r="B233" i="7"/>
  <c r="B234" i="7"/>
  <c r="B235" i="7"/>
  <c r="B236" i="7"/>
  <c r="B237" i="7"/>
  <c r="B238" i="7"/>
  <c r="B239" i="7"/>
  <c r="B240" i="7"/>
  <c r="B241" i="7"/>
  <c r="B242" i="7"/>
  <c r="B243" i="7"/>
  <c r="B244" i="7"/>
  <c r="B245" i="7"/>
  <c r="B246" i="7"/>
  <c r="B247" i="7"/>
  <c r="B248" i="7"/>
  <c r="B249" i="7"/>
  <c r="B250" i="7"/>
  <c r="B251" i="7"/>
  <c r="B252" i="7"/>
  <c r="B253" i="7"/>
  <c r="B254" i="7"/>
  <c r="B255" i="7"/>
  <c r="B256" i="7"/>
  <c r="B257" i="7"/>
  <c r="B258" i="7"/>
  <c r="B259" i="7"/>
  <c r="B260" i="7"/>
  <c r="B261" i="7"/>
  <c r="B262" i="7"/>
  <c r="B263" i="7"/>
  <c r="B264" i="7"/>
  <c r="B265" i="7"/>
  <c r="B266" i="7"/>
  <c r="B267" i="7"/>
  <c r="B268" i="7"/>
  <c r="B269" i="7"/>
  <c r="B270" i="7"/>
  <c r="B271" i="7"/>
  <c r="B272" i="7"/>
  <c r="B273" i="7"/>
  <c r="B274" i="7"/>
  <c r="B275" i="7"/>
  <c r="B276" i="7"/>
  <c r="B277" i="7"/>
  <c r="B278" i="7"/>
  <c r="B279" i="7"/>
  <c r="B280" i="7"/>
  <c r="B281" i="7"/>
  <c r="B282" i="7"/>
  <c r="B283" i="7"/>
  <c r="B284" i="7"/>
  <c r="B285" i="7"/>
  <c r="B286" i="7"/>
  <c r="B287" i="7"/>
  <c r="B288" i="7"/>
  <c r="B289" i="7"/>
  <c r="B290" i="7"/>
  <c r="B291" i="7"/>
  <c r="B292" i="7"/>
  <c r="B293" i="7"/>
  <c r="B294" i="7"/>
  <c r="B295" i="7"/>
  <c r="B296" i="7"/>
  <c r="B297" i="7"/>
  <c r="B298" i="7"/>
  <c r="B299" i="7"/>
  <c r="B300" i="7"/>
  <c r="B301" i="7"/>
  <c r="B302" i="7"/>
  <c r="B303" i="7"/>
  <c r="B304" i="7"/>
  <c r="B305" i="7"/>
  <c r="B306" i="7"/>
  <c r="B307" i="7"/>
  <c r="B308" i="7"/>
  <c r="B309" i="7"/>
  <c r="B310" i="7"/>
  <c r="B311" i="7"/>
  <c r="B312" i="7"/>
  <c r="B313" i="7"/>
  <c r="B314" i="7"/>
  <c r="B315" i="7"/>
  <c r="B316" i="7"/>
  <c r="B317" i="7"/>
  <c r="B318" i="7"/>
  <c r="B319" i="7"/>
  <c r="B320" i="7"/>
  <c r="B321" i="7"/>
  <c r="B322" i="7"/>
  <c r="B323" i="7"/>
  <c r="B324" i="7"/>
  <c r="B325" i="7"/>
  <c r="B326" i="7"/>
  <c r="B327" i="7"/>
  <c r="B328" i="7"/>
  <c r="B329" i="7"/>
  <c r="B330" i="7"/>
  <c r="B331" i="7"/>
  <c r="B332" i="7"/>
  <c r="B333" i="7"/>
  <c r="B334" i="7"/>
  <c r="B335" i="7"/>
  <c r="B336" i="7"/>
  <c r="B337" i="7"/>
  <c r="B338" i="7"/>
  <c r="B339" i="7"/>
  <c r="B340" i="7"/>
  <c r="B341" i="7"/>
  <c r="B342" i="7"/>
  <c r="B343" i="7"/>
  <c r="B344" i="7"/>
  <c r="B345" i="7"/>
  <c r="B346" i="7"/>
  <c r="B347" i="7"/>
  <c r="B348" i="7"/>
  <c r="B349" i="7"/>
  <c r="B350" i="7"/>
  <c r="B351" i="7"/>
  <c r="B352" i="7"/>
  <c r="B353" i="7"/>
  <c r="B19" i="7"/>
  <c r="B12" i="8" s="1"/>
  <c r="B8" i="9" s="1"/>
  <c r="B20" i="7"/>
  <c r="B21" i="7"/>
  <c r="B22" i="7"/>
  <c r="B23" i="7"/>
  <c r="B17" i="9" s="1"/>
  <c r="B24" i="7"/>
  <c r="B25" i="7"/>
  <c r="B26" i="7"/>
  <c r="B27" i="7"/>
  <c r="B18" i="7"/>
  <c r="I339" i="7" l="1"/>
  <c r="L339" i="7" s="1"/>
  <c r="I335" i="7"/>
  <c r="L335" i="7" s="1"/>
  <c r="I331" i="7"/>
  <c r="L331" i="7" s="1"/>
  <c r="I327" i="7"/>
  <c r="L327" i="7" s="1"/>
  <c r="I323" i="7"/>
  <c r="L323" i="7" s="1"/>
  <c r="I318" i="7"/>
  <c r="L318" i="7" s="1"/>
  <c r="I314" i="7"/>
  <c r="L314" i="7" s="1"/>
  <c r="I310" i="7"/>
  <c r="L310" i="7" s="1"/>
  <c r="I306" i="7"/>
  <c r="L306" i="7" s="1"/>
  <c r="I302" i="7"/>
  <c r="L302" i="7" s="1"/>
  <c r="I297" i="7"/>
  <c r="L297" i="7" s="1"/>
  <c r="I292" i="7"/>
  <c r="L292" i="7" s="1"/>
  <c r="I288" i="7"/>
  <c r="L288" i="7" s="1"/>
  <c r="I284" i="7"/>
  <c r="L284" i="7" s="1"/>
  <c r="I279" i="7"/>
  <c r="L279" i="7" s="1"/>
  <c r="I275" i="7"/>
  <c r="L275" i="7" s="1"/>
  <c r="I271" i="7"/>
  <c r="L271" i="7" s="1"/>
  <c r="I267" i="7"/>
  <c r="L267" i="7" s="1"/>
  <c r="I263" i="7"/>
  <c r="L263" i="7" s="1"/>
  <c r="I258" i="7"/>
  <c r="L258" i="7" s="1"/>
  <c r="I254" i="7"/>
  <c r="L254" i="7" s="1"/>
  <c r="I250" i="7"/>
  <c r="L250" i="7" s="1"/>
  <c r="I246" i="7"/>
  <c r="L246" i="7" s="1"/>
  <c r="I242" i="7"/>
  <c r="L242" i="7" s="1"/>
  <c r="I238" i="7"/>
  <c r="L238" i="7" s="1"/>
  <c r="I234" i="7"/>
  <c r="L234" i="7" s="1"/>
  <c r="I230" i="7"/>
  <c r="L230" i="7" s="1"/>
  <c r="I226" i="7"/>
  <c r="L226" i="7" s="1"/>
  <c r="I222" i="7"/>
  <c r="L222" i="7" s="1"/>
  <c r="I218" i="7"/>
  <c r="L218" i="7" s="1"/>
  <c r="I214" i="7"/>
  <c r="L214" i="7" s="1"/>
  <c r="I210" i="7"/>
  <c r="L210" i="7" s="1"/>
  <c r="I205" i="7"/>
  <c r="L205" i="7" s="1"/>
  <c r="I200" i="7"/>
  <c r="L200" i="7" s="1"/>
  <c r="I196" i="7"/>
  <c r="L196" i="7" s="1"/>
  <c r="I191" i="7"/>
  <c r="L191" i="7" s="1"/>
  <c r="I187" i="7"/>
  <c r="L187" i="7" s="1"/>
  <c r="I183" i="7"/>
  <c r="L183" i="7" s="1"/>
  <c r="I179" i="7"/>
  <c r="L179" i="7" s="1"/>
  <c r="I175" i="7"/>
  <c r="L175" i="7" s="1"/>
  <c r="I170" i="7"/>
  <c r="L170" i="7" s="1"/>
  <c r="I166" i="7"/>
  <c r="L166" i="7" s="1"/>
  <c r="I162" i="7"/>
  <c r="L162" i="7" s="1"/>
  <c r="I158" i="7"/>
  <c r="L158" i="7" s="1"/>
  <c r="I153" i="7"/>
  <c r="L153" i="7" s="1"/>
  <c r="I149" i="7"/>
  <c r="L149" i="7" s="1"/>
  <c r="I145" i="7"/>
  <c r="L145" i="7" s="1"/>
  <c r="I141" i="7"/>
  <c r="L141" i="7" s="1"/>
  <c r="I137" i="7"/>
  <c r="L137" i="7" s="1"/>
  <c r="I133" i="7"/>
  <c r="L133" i="7" s="1"/>
  <c r="I128" i="7"/>
  <c r="L128" i="7" s="1"/>
  <c r="I124" i="7"/>
  <c r="L124" i="7" s="1"/>
  <c r="I119" i="7"/>
  <c r="L119" i="7" s="1"/>
  <c r="I114" i="7"/>
  <c r="L114" i="7" s="1"/>
  <c r="I109" i="7"/>
  <c r="L109" i="7" s="1"/>
  <c r="I104" i="7"/>
  <c r="L104" i="7" s="1"/>
  <c r="I99" i="7"/>
  <c r="L99" i="7" s="1"/>
  <c r="I94" i="7"/>
  <c r="L94" i="7" s="1"/>
  <c r="I90" i="7"/>
  <c r="L90" i="7" s="1"/>
  <c r="I86" i="7"/>
  <c r="L86" i="7" s="1"/>
  <c r="I81" i="7"/>
  <c r="L81" i="7" s="1"/>
  <c r="I77" i="7"/>
  <c r="L77" i="7" s="1"/>
  <c r="I73" i="7"/>
  <c r="L73" i="7" s="1"/>
  <c r="I68" i="7"/>
  <c r="L68" i="7" s="1"/>
  <c r="I64" i="7"/>
  <c r="L64" i="7" s="1"/>
  <c r="I60" i="7"/>
  <c r="L60" i="7" s="1"/>
  <c r="I56" i="7"/>
  <c r="L56" i="7" s="1"/>
  <c r="I51" i="7"/>
  <c r="L51" i="7" s="1"/>
  <c r="I47" i="7"/>
  <c r="L47" i="7" s="1"/>
  <c r="I43" i="7"/>
  <c r="L43" i="7" s="1"/>
  <c r="I39" i="7"/>
  <c r="L39" i="7" s="1"/>
  <c r="I27" i="7"/>
  <c r="I22" i="7"/>
  <c r="I32" i="7"/>
  <c r="I337" i="7"/>
  <c r="L337" i="7" s="1"/>
  <c r="I333" i="7"/>
  <c r="L333" i="7" s="1"/>
  <c r="I329" i="7"/>
  <c r="L329" i="7" s="1"/>
  <c r="I325" i="7"/>
  <c r="L325" i="7" s="1"/>
  <c r="I320" i="7"/>
  <c r="L320" i="7" s="1"/>
  <c r="I316" i="7"/>
  <c r="L316" i="7" s="1"/>
  <c r="I312" i="7"/>
  <c r="L312" i="7" s="1"/>
  <c r="I308" i="7"/>
  <c r="L308" i="7" s="1"/>
  <c r="I304" i="7"/>
  <c r="L304" i="7" s="1"/>
  <c r="I299" i="7"/>
  <c r="L299" i="7" s="1"/>
  <c r="I295" i="7"/>
  <c r="L295" i="7" s="1"/>
  <c r="I290" i="7"/>
  <c r="L290" i="7" s="1"/>
  <c r="I286" i="7"/>
  <c r="L286" i="7" s="1"/>
  <c r="I282" i="7"/>
  <c r="L282" i="7" s="1"/>
  <c r="I277" i="7"/>
  <c r="L277" i="7" s="1"/>
  <c r="I273" i="7"/>
  <c r="L273" i="7" s="1"/>
  <c r="I269" i="7"/>
  <c r="L269" i="7" s="1"/>
  <c r="I265" i="7"/>
  <c r="L265" i="7" s="1"/>
  <c r="I261" i="7"/>
  <c r="L261" i="7" s="1"/>
  <c r="I256" i="7"/>
  <c r="L256" i="7" s="1"/>
  <c r="I252" i="7"/>
  <c r="L252" i="7" s="1"/>
  <c r="I248" i="7"/>
  <c r="L248" i="7" s="1"/>
  <c r="I244" i="7"/>
  <c r="L244" i="7" s="1"/>
  <c r="I240" i="7"/>
  <c r="L240" i="7" s="1"/>
  <c r="I236" i="7"/>
  <c r="L236" i="7" s="1"/>
  <c r="I232" i="7"/>
  <c r="L232" i="7" s="1"/>
  <c r="I228" i="7"/>
  <c r="L228" i="7" s="1"/>
  <c r="I224" i="7"/>
  <c r="L224" i="7" s="1"/>
  <c r="I220" i="7"/>
  <c r="L220" i="7" s="1"/>
  <c r="I216" i="7"/>
  <c r="L216" i="7" s="1"/>
  <c r="I212" i="7"/>
  <c r="L212" i="7" s="1"/>
  <c r="I207" i="7"/>
  <c r="L207" i="7" s="1"/>
  <c r="I203" i="7"/>
  <c r="L203" i="7" s="1"/>
  <c r="I198" i="7"/>
  <c r="L198" i="7" s="1"/>
  <c r="I194" i="7"/>
  <c r="L194" i="7" s="1"/>
  <c r="I189" i="7"/>
  <c r="L189" i="7" s="1"/>
  <c r="I185" i="7"/>
  <c r="L185" i="7" s="1"/>
  <c r="I181" i="7"/>
  <c r="L181" i="7" s="1"/>
  <c r="I177" i="7"/>
  <c r="L177" i="7" s="1"/>
  <c r="I172" i="7"/>
  <c r="L172" i="7" s="1"/>
  <c r="I168" i="7"/>
  <c r="L168" i="7" s="1"/>
  <c r="I164" i="7"/>
  <c r="L164" i="7" s="1"/>
  <c r="I160" i="7"/>
  <c r="L160" i="7" s="1"/>
  <c r="I156" i="7"/>
  <c r="L156" i="7" s="1"/>
  <c r="I151" i="7"/>
  <c r="L151" i="7" s="1"/>
  <c r="I147" i="7"/>
  <c r="L147" i="7" s="1"/>
  <c r="I143" i="7"/>
  <c r="L143" i="7" s="1"/>
  <c r="I139" i="7"/>
  <c r="L139" i="7" s="1"/>
  <c r="I135" i="7"/>
  <c r="L135" i="7" s="1"/>
  <c r="I130" i="7"/>
  <c r="L130" i="7" s="1"/>
  <c r="I126" i="7"/>
  <c r="L126" i="7" s="1"/>
  <c r="I121" i="7"/>
  <c r="L121" i="7" s="1"/>
  <c r="I116" i="7"/>
  <c r="L116" i="7" s="1"/>
  <c r="I112" i="7"/>
  <c r="L112" i="7" s="1"/>
  <c r="I107" i="7"/>
  <c r="L107" i="7" s="1"/>
  <c r="I102" i="7"/>
  <c r="L102" i="7" s="1"/>
  <c r="I97" i="7"/>
  <c r="L97" i="7" s="1"/>
  <c r="I92" i="7"/>
  <c r="L92" i="7" s="1"/>
  <c r="I88" i="7"/>
  <c r="L88" i="7" s="1"/>
  <c r="I84" i="7"/>
  <c r="L84" i="7" s="1"/>
  <c r="I79" i="7"/>
  <c r="L79" i="7" s="1"/>
  <c r="I75" i="7"/>
  <c r="L75" i="7" s="1"/>
  <c r="I71" i="7"/>
  <c r="L71" i="7" s="1"/>
  <c r="I66" i="7"/>
  <c r="L66" i="7" s="1"/>
  <c r="I62" i="7"/>
  <c r="L62" i="7" s="1"/>
  <c r="I58" i="7"/>
  <c r="L58" i="7" s="1"/>
  <c r="I54" i="7"/>
  <c r="L54" i="7" s="1"/>
  <c r="I49" i="7"/>
  <c r="L49" i="7" s="1"/>
  <c r="I45" i="7"/>
  <c r="L45" i="7" s="1"/>
  <c r="I41" i="7"/>
  <c r="L41" i="7" s="1"/>
  <c r="I30" i="7"/>
  <c r="I25" i="7"/>
  <c r="I20" i="7"/>
  <c r="B25" i="8"/>
  <c r="B20" i="9"/>
  <c r="I352" i="7"/>
  <c r="L352" i="7" s="1"/>
  <c r="I348" i="7"/>
  <c r="L348" i="7" s="1"/>
  <c r="I344" i="7"/>
  <c r="L344" i="7" s="1"/>
  <c r="I351" i="7"/>
  <c r="L351" i="7" s="1"/>
  <c r="I347" i="7"/>
  <c r="L347" i="7" s="1"/>
  <c r="I343" i="7"/>
  <c r="L343" i="7" s="1"/>
  <c r="I338" i="7"/>
  <c r="L338" i="7" s="1"/>
  <c r="I334" i="7"/>
  <c r="L334" i="7" s="1"/>
  <c r="I330" i="7"/>
  <c r="L330" i="7" s="1"/>
  <c r="I326" i="7"/>
  <c r="L326" i="7" s="1"/>
  <c r="I322" i="7"/>
  <c r="L322" i="7" s="1"/>
  <c r="I317" i="7"/>
  <c r="L317" i="7" s="1"/>
  <c r="I313" i="7"/>
  <c r="L313" i="7" s="1"/>
  <c r="I309" i="7"/>
  <c r="L309" i="7" s="1"/>
  <c r="I305" i="7"/>
  <c r="L305" i="7" s="1"/>
  <c r="I300" i="7"/>
  <c r="L300" i="7" s="1"/>
  <c r="I296" i="7"/>
  <c r="L296" i="7" s="1"/>
  <c r="I291" i="7"/>
  <c r="L291" i="7" s="1"/>
  <c r="I287" i="7"/>
  <c r="L287" i="7" s="1"/>
  <c r="I283" i="7"/>
  <c r="L283" i="7" s="1"/>
  <c r="I278" i="7"/>
  <c r="L278" i="7" s="1"/>
  <c r="I274" i="7"/>
  <c r="L274" i="7" s="1"/>
  <c r="I270" i="7"/>
  <c r="L270" i="7" s="1"/>
  <c r="I266" i="7"/>
  <c r="L266" i="7" s="1"/>
  <c r="I262" i="7"/>
  <c r="L262" i="7" s="1"/>
  <c r="I257" i="7"/>
  <c r="L257" i="7" s="1"/>
  <c r="I253" i="7"/>
  <c r="L253" i="7" s="1"/>
  <c r="I249" i="7"/>
  <c r="L249" i="7" s="1"/>
  <c r="I245" i="7"/>
  <c r="L245" i="7" s="1"/>
  <c r="I241" i="7"/>
  <c r="L241" i="7" s="1"/>
  <c r="I237" i="7"/>
  <c r="L237" i="7" s="1"/>
  <c r="I233" i="7"/>
  <c r="L233" i="7" s="1"/>
  <c r="I229" i="7"/>
  <c r="L229" i="7" s="1"/>
  <c r="I225" i="7"/>
  <c r="L225" i="7" s="1"/>
  <c r="I221" i="7"/>
  <c r="L221" i="7" s="1"/>
  <c r="I217" i="7"/>
  <c r="L217" i="7" s="1"/>
  <c r="I213" i="7"/>
  <c r="L213" i="7" s="1"/>
  <c r="I209" i="7"/>
  <c r="L209" i="7" s="1"/>
  <c r="I204" i="7"/>
  <c r="L204" i="7" s="1"/>
  <c r="I199" i="7"/>
  <c r="L199" i="7" s="1"/>
  <c r="I195" i="7"/>
  <c r="L195" i="7" s="1"/>
  <c r="I190" i="7"/>
  <c r="L190" i="7" s="1"/>
  <c r="I186" i="7"/>
  <c r="L186" i="7" s="1"/>
  <c r="I182" i="7"/>
  <c r="L182" i="7" s="1"/>
  <c r="I178" i="7"/>
  <c r="L178" i="7" s="1"/>
  <c r="I174" i="7"/>
  <c r="L174" i="7" s="1"/>
  <c r="I169" i="7"/>
  <c r="L169" i="7" s="1"/>
  <c r="I165" i="7"/>
  <c r="L165" i="7" s="1"/>
  <c r="I161" i="7"/>
  <c r="L161" i="7" s="1"/>
  <c r="I157" i="7"/>
  <c r="L157" i="7" s="1"/>
  <c r="I152" i="7"/>
  <c r="L152" i="7" s="1"/>
  <c r="I148" i="7"/>
  <c r="L148" i="7" s="1"/>
  <c r="I144" i="7"/>
  <c r="L144" i="7" s="1"/>
  <c r="I140" i="7"/>
  <c r="L140" i="7" s="1"/>
  <c r="I136" i="7"/>
  <c r="L136" i="7" s="1"/>
  <c r="I132" i="7"/>
  <c r="L132" i="7" s="1"/>
  <c r="I127" i="7"/>
  <c r="L127" i="7" s="1"/>
  <c r="I123" i="7"/>
  <c r="L123" i="7" s="1"/>
  <c r="I118" i="7"/>
  <c r="L118" i="7" s="1"/>
  <c r="I113" i="7"/>
  <c r="L113" i="7" s="1"/>
  <c r="I108" i="7"/>
  <c r="L108" i="7" s="1"/>
  <c r="I103" i="7"/>
  <c r="L103" i="7" s="1"/>
  <c r="I98" i="7"/>
  <c r="L98" i="7" s="1"/>
  <c r="I93" i="7"/>
  <c r="L93" i="7" s="1"/>
  <c r="I89" i="7"/>
  <c r="L89" i="7" s="1"/>
  <c r="I85" i="7"/>
  <c r="L85" i="7" s="1"/>
  <c r="I80" i="7"/>
  <c r="L80" i="7" s="1"/>
  <c r="I19" i="7"/>
  <c r="I350" i="7"/>
  <c r="L350" i="7" s="1"/>
  <c r="I346" i="7"/>
  <c r="L346" i="7" s="1"/>
  <c r="A25" i="8"/>
  <c r="A20" i="9"/>
  <c r="I353" i="7"/>
  <c r="L353" i="7" s="1"/>
  <c r="I349" i="7"/>
  <c r="L349" i="7" s="1"/>
  <c r="I345" i="7"/>
  <c r="L345" i="7" s="1"/>
  <c r="I340" i="7"/>
  <c r="L340" i="7" s="1"/>
  <c r="I336" i="7"/>
  <c r="L336" i="7" s="1"/>
  <c r="I332" i="7"/>
  <c r="L332" i="7" s="1"/>
  <c r="I328" i="7"/>
  <c r="L328" i="7" s="1"/>
  <c r="I324" i="7"/>
  <c r="L324" i="7" s="1"/>
  <c r="I319" i="7"/>
  <c r="L319" i="7" s="1"/>
  <c r="I315" i="7"/>
  <c r="L315" i="7" s="1"/>
  <c r="I311" i="7"/>
  <c r="L311" i="7" s="1"/>
  <c r="I307" i="7"/>
  <c r="L307" i="7" s="1"/>
  <c r="I303" i="7"/>
  <c r="L303" i="7" s="1"/>
  <c r="I298" i="7"/>
  <c r="L298" i="7" s="1"/>
  <c r="I293" i="7"/>
  <c r="L293" i="7" s="1"/>
  <c r="I289" i="7"/>
  <c r="L289" i="7" s="1"/>
  <c r="I285" i="7"/>
  <c r="L285" i="7" s="1"/>
  <c r="I280" i="7"/>
  <c r="L280" i="7" s="1"/>
  <c r="I276" i="7"/>
  <c r="L276" i="7" s="1"/>
  <c r="I272" i="7"/>
  <c r="L272" i="7" s="1"/>
  <c r="I268" i="7"/>
  <c r="L268" i="7" s="1"/>
  <c r="I264" i="7"/>
  <c r="L264" i="7" s="1"/>
  <c r="I259" i="7"/>
  <c r="L259" i="7" s="1"/>
  <c r="I255" i="7"/>
  <c r="L255" i="7" s="1"/>
  <c r="I251" i="7"/>
  <c r="L251" i="7" s="1"/>
  <c r="I247" i="7"/>
  <c r="L247" i="7" s="1"/>
  <c r="I243" i="7"/>
  <c r="L243" i="7" s="1"/>
  <c r="I239" i="7"/>
  <c r="L239" i="7" s="1"/>
  <c r="I235" i="7"/>
  <c r="L235" i="7" s="1"/>
  <c r="I231" i="7"/>
  <c r="L231" i="7" s="1"/>
  <c r="I227" i="7"/>
  <c r="L227" i="7" s="1"/>
  <c r="I223" i="7"/>
  <c r="L223" i="7" s="1"/>
  <c r="I219" i="7"/>
  <c r="L219" i="7" s="1"/>
  <c r="I215" i="7"/>
  <c r="L215" i="7" s="1"/>
  <c r="I211" i="7"/>
  <c r="L211" i="7" s="1"/>
  <c r="I206" i="7"/>
  <c r="L206" i="7" s="1"/>
  <c r="I201" i="7"/>
  <c r="L201" i="7" s="1"/>
  <c r="I197" i="7"/>
  <c r="L197" i="7" s="1"/>
  <c r="I193" i="7"/>
  <c r="L193" i="7" s="1"/>
  <c r="I188" i="7"/>
  <c r="L188" i="7" s="1"/>
  <c r="I184" i="7"/>
  <c r="L184" i="7" s="1"/>
  <c r="I180" i="7"/>
  <c r="L180" i="7" s="1"/>
  <c r="I176" i="7"/>
  <c r="L176" i="7" s="1"/>
  <c r="I171" i="7"/>
  <c r="L171" i="7" s="1"/>
  <c r="I167" i="7"/>
  <c r="L167" i="7" s="1"/>
  <c r="I163" i="7"/>
  <c r="L163" i="7" s="1"/>
  <c r="I159" i="7"/>
  <c r="L159" i="7" s="1"/>
  <c r="I154" i="7"/>
  <c r="L154" i="7" s="1"/>
  <c r="I150" i="7"/>
  <c r="L150" i="7" s="1"/>
  <c r="I146" i="7"/>
  <c r="L146" i="7" s="1"/>
  <c r="I142" i="7"/>
  <c r="L142" i="7" s="1"/>
  <c r="I138" i="7"/>
  <c r="L138" i="7" s="1"/>
  <c r="I134" i="7"/>
  <c r="L134" i="7" s="1"/>
  <c r="I129" i="7"/>
  <c r="L129" i="7" s="1"/>
  <c r="I125" i="7"/>
  <c r="L125" i="7" s="1"/>
  <c r="I120" i="7"/>
  <c r="L120" i="7" s="1"/>
  <c r="I115" i="7"/>
  <c r="L115" i="7" s="1"/>
  <c r="I110" i="7"/>
  <c r="L110" i="7" s="1"/>
  <c r="I105" i="7"/>
  <c r="L105" i="7" s="1"/>
  <c r="I100" i="7"/>
  <c r="L100" i="7" s="1"/>
  <c r="I95" i="7"/>
  <c r="L95" i="7" s="1"/>
  <c r="I91" i="7"/>
  <c r="L91" i="7" s="1"/>
  <c r="I87" i="7"/>
  <c r="L87" i="7" s="1"/>
  <c r="I83" i="7"/>
  <c r="L83" i="7" s="1"/>
  <c r="I78" i="7"/>
  <c r="L78" i="7" s="1"/>
  <c r="I74" i="7"/>
  <c r="L74" i="7" s="1"/>
  <c r="I70" i="7"/>
  <c r="L70" i="7" s="1"/>
  <c r="I65" i="7"/>
  <c r="L65" i="7" s="1"/>
  <c r="I61" i="7"/>
  <c r="L61" i="7" s="1"/>
  <c r="I57" i="7"/>
  <c r="L57" i="7" s="1"/>
  <c r="I52" i="7"/>
  <c r="L52" i="7" s="1"/>
  <c r="I48" i="7"/>
  <c r="L48" i="7" s="1"/>
  <c r="I44" i="7"/>
  <c r="L44" i="7" s="1"/>
  <c r="I40" i="7"/>
  <c r="L40" i="7" s="1"/>
  <c r="I31" i="7"/>
  <c r="I26" i="7"/>
  <c r="I21" i="7"/>
  <c r="I76" i="7"/>
  <c r="L76" i="7" s="1"/>
  <c r="I72" i="7"/>
  <c r="L72" i="7" s="1"/>
  <c r="I67" i="7"/>
  <c r="L67" i="7" s="1"/>
  <c r="I63" i="7"/>
  <c r="L63" i="7" s="1"/>
  <c r="I59" i="7"/>
  <c r="L59" i="7" s="1"/>
  <c r="I55" i="7"/>
  <c r="L55" i="7" s="1"/>
  <c r="I50" i="7"/>
  <c r="L50" i="7" s="1"/>
  <c r="I46" i="7"/>
  <c r="L46" i="7" s="1"/>
  <c r="I42" i="7"/>
  <c r="L42" i="7" s="1"/>
  <c r="I33" i="7"/>
  <c r="I29" i="7"/>
  <c r="L29" i="7" s="1"/>
  <c r="I23" i="7"/>
  <c r="K23" i="7"/>
  <c r="L23" i="7" s="1"/>
  <c r="B20" i="8"/>
  <c r="B14" i="9"/>
  <c r="B10" i="8"/>
  <c r="B7" i="9"/>
  <c r="A10" i="8"/>
  <c r="A7" i="9"/>
  <c r="B16" i="8"/>
  <c r="B11" i="9"/>
  <c r="J26" i="7"/>
  <c r="J29" i="7"/>
  <c r="L342" i="7"/>
  <c r="K33" i="7"/>
  <c r="J23" i="7"/>
  <c r="K31" i="7"/>
  <c r="J30" i="7"/>
  <c r="K30" i="7"/>
  <c r="L30" i="7" s="1"/>
  <c r="L31" i="7"/>
  <c r="K27" i="7"/>
  <c r="L27" i="7" s="1"/>
  <c r="J27" i="7"/>
  <c r="J22" i="7"/>
  <c r="K22" i="7"/>
  <c r="L22" i="7" s="1"/>
  <c r="L26" i="7"/>
  <c r="K25" i="7"/>
  <c r="L25" i="7" s="1"/>
  <c r="K20" i="7"/>
  <c r="K32" i="7"/>
  <c r="L32" i="7" s="1"/>
  <c r="J19" i="7"/>
  <c r="H19" i="7"/>
  <c r="K19" i="7" s="1"/>
  <c r="J20" i="7"/>
  <c r="H21" i="7"/>
  <c r="K21" i="7" s="1"/>
  <c r="J21" i="7"/>
  <c r="J373" i="7" l="1"/>
  <c r="I13" i="7" s="1"/>
  <c r="L20" i="7"/>
  <c r="K373" i="7"/>
  <c r="L33" i="7"/>
  <c r="I373" i="7"/>
  <c r="G13" i="7" s="1"/>
  <c r="L19" i="7"/>
  <c r="L2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Yan Casimiro</author>
  </authors>
  <commentList>
    <comment ref="D384" authorId="0" shapeId="0" xr:uid="{E7DE25F3-806E-451A-A11B-6104FDAC86C4}">
      <text>
        <r>
          <rPr>
            <b/>
            <sz val="9"/>
            <color indexed="81"/>
            <rFont val="Segoe UI"/>
            <family val="2"/>
          </rPr>
          <t>COMP.BARRA*NºBARRAS</t>
        </r>
        <r>
          <rPr>
            <sz val="9"/>
            <color indexed="81"/>
            <rFont val="Segoe UI"/>
            <family val="2"/>
          </rPr>
          <t xml:space="preserve">
</t>
        </r>
      </text>
    </comment>
    <comment ref="E384" authorId="0" shapeId="0" xr:uid="{F022BE5F-76A3-46B0-AC58-87E793B2D983}">
      <text>
        <r>
          <rPr>
            <b/>
            <sz val="9"/>
            <color indexed="81"/>
            <rFont val="Segoe UI"/>
            <family val="2"/>
          </rPr>
          <t>COMP.BARRA*NºBARRAS</t>
        </r>
        <r>
          <rPr>
            <sz val="9"/>
            <color indexed="81"/>
            <rFont val="Segoe UI"/>
            <family val="2"/>
          </rPr>
          <t xml:space="preserve">
</t>
        </r>
      </text>
    </comment>
    <comment ref="D393" authorId="0" shapeId="0" xr:uid="{53F16AE8-FB04-4987-9DA0-5681E9814E69}">
      <text>
        <r>
          <rPr>
            <sz val="9"/>
            <color indexed="81"/>
            <rFont val="Segoe UI"/>
            <family val="2"/>
          </rPr>
          <t>30cm Virada
30cm Sapata
VARcm Toco
40cm baldrame
50cm espera pilar</t>
        </r>
      </text>
    </comment>
    <comment ref="E393" authorId="0" shapeId="0" xr:uid="{044F7C6F-909C-43DD-AB32-C638488CBD32}">
      <text>
        <r>
          <rPr>
            <b/>
            <sz val="9"/>
            <color indexed="81"/>
            <rFont val="Segoe UI"/>
            <family val="2"/>
          </rPr>
          <t>Numero de barras.</t>
        </r>
      </text>
    </comment>
    <comment ref="D418" authorId="0" shapeId="0" xr:uid="{EBD77BC9-F8A0-4682-9F9C-513A219F7FEB}">
      <text>
        <r>
          <rPr>
            <b/>
            <sz val="9"/>
            <color indexed="81"/>
            <rFont val="Segoe UI"/>
            <family val="2"/>
          </rPr>
          <t>COMP.BARRA*NºBARRAS</t>
        </r>
        <r>
          <rPr>
            <sz val="9"/>
            <color indexed="81"/>
            <rFont val="Segoe UI"/>
            <family val="2"/>
          </rPr>
          <t xml:space="preserve">
</t>
        </r>
      </text>
    </comment>
    <comment ref="E418" authorId="0" shapeId="0" xr:uid="{E133E06F-4226-4930-9C6A-7CD305EB20A1}">
      <text>
        <r>
          <rPr>
            <b/>
            <sz val="9"/>
            <color indexed="81"/>
            <rFont val="Segoe UI"/>
            <family val="2"/>
          </rPr>
          <t xml:space="preserve">COMP.BARRA*NºBARRAS
</t>
        </r>
        <r>
          <rPr>
            <sz val="9"/>
            <color indexed="81"/>
            <rFont val="Segoe UI"/>
            <family val="2"/>
          </rPr>
          <t xml:space="preserve">
</t>
        </r>
      </text>
    </comment>
    <comment ref="D459" authorId="0" shapeId="0" xr:uid="{60036A03-8F2D-4A36-96FB-72DD84676478}">
      <text>
        <r>
          <rPr>
            <sz val="9"/>
            <color indexed="81"/>
            <rFont val="Segoe UI"/>
            <family val="2"/>
          </rPr>
          <t>30cm Virada
30cm Sapata
VARcm Toco
40cm baldrame
50cm espera pilar</t>
        </r>
      </text>
    </comment>
    <comment ref="D499" authorId="0" shapeId="0" xr:uid="{2F00330B-CC8C-4EC7-9DD7-82C00EC7D173}">
      <text>
        <r>
          <rPr>
            <sz val="9"/>
            <color indexed="81"/>
            <rFont val="Segoe UI"/>
            <family val="2"/>
          </rPr>
          <t>30cm Virada
30cm Sapata
VARcm Toco
40cm baldrame
50cm espera pilar</t>
        </r>
      </text>
    </comment>
    <comment ref="D523" authorId="0" shapeId="0" xr:uid="{7B31FF32-B2FA-49A8-987F-3274CFF4768A}">
      <text>
        <r>
          <rPr>
            <sz val="9"/>
            <color indexed="81"/>
            <rFont val="Segoe UI"/>
            <family val="2"/>
          </rPr>
          <t>30cm Virada
30cm Sapata
VARcm Toco
40cm baldrame
50cm espera pilar</t>
        </r>
      </text>
    </comment>
    <comment ref="D524" authorId="0" shapeId="0" xr:uid="{D1A4FC92-9CE1-4D44-8431-D87B874AEC72}">
      <text>
        <r>
          <rPr>
            <sz val="9"/>
            <color indexed="81"/>
            <rFont val="Segoe UI"/>
            <family val="2"/>
          </rPr>
          <t>30cm Virada
30cm Sapata
VARcm Toco
40cm baldrame
50cm espera pilar</t>
        </r>
      </text>
    </comment>
    <comment ref="D533" authorId="0" shapeId="0" xr:uid="{A0B9114F-3284-43EB-802C-55F8B9648958}">
      <text>
        <r>
          <rPr>
            <sz val="9"/>
            <color indexed="81"/>
            <rFont val="Segoe UI"/>
            <family val="2"/>
          </rPr>
          <t>30cm Virada
30cm Sapata
VARcm Toco
40cm baldrame
50cm espera pilar</t>
        </r>
      </text>
    </comment>
  </commentList>
</comments>
</file>

<file path=xl/sharedStrings.xml><?xml version="1.0" encoding="utf-8"?>
<sst xmlns="http://schemas.openxmlformats.org/spreadsheetml/2006/main" count="3255" uniqueCount="1252">
  <si>
    <t>Obra</t>
  </si>
  <si>
    <t>Bancos</t>
  </si>
  <si>
    <t>B.D.I.</t>
  </si>
  <si>
    <t>Encargos Sociais</t>
  </si>
  <si>
    <t xml:space="preserve">SINAPI - 09/2022 - Paraíba
ORSE - 09/2022 - Sergipe
</t>
  </si>
  <si>
    <t>25,22%</t>
  </si>
  <si>
    <t>Desonerado: 
Horista: 85,70%
Mensalista: 48,17%</t>
  </si>
  <si>
    <t>Item</t>
  </si>
  <si>
    <t>Descrição</t>
  </si>
  <si>
    <t>Total</t>
  </si>
  <si>
    <t>Peso (%)</t>
  </si>
  <si>
    <t xml:space="preserve"> 1 </t>
  </si>
  <si>
    <t>SERVIÇOS PRELIMINARES</t>
  </si>
  <si>
    <t xml:space="preserve"> 2 </t>
  </si>
  <si>
    <t>ADMINISTRAÇÃO LOCAL</t>
  </si>
  <si>
    <t xml:space="preserve"> 3 </t>
  </si>
  <si>
    <t>MOVIMENTO DE TERRA</t>
  </si>
  <si>
    <t xml:space="preserve"> 4 </t>
  </si>
  <si>
    <t>INFRAESTRUTURA</t>
  </si>
  <si>
    <t xml:space="preserve"> 5 </t>
  </si>
  <si>
    <t>SUPERESTRUTURA</t>
  </si>
  <si>
    <t xml:space="preserve"> 6 </t>
  </si>
  <si>
    <t>VEDAÇÕES</t>
  </si>
  <si>
    <t xml:space="preserve"> 7 </t>
  </si>
  <si>
    <t>PISOS INTERNOS E EXTERNOS</t>
  </si>
  <si>
    <t xml:space="preserve"> 8 </t>
  </si>
  <si>
    <t>C0BERTA</t>
  </si>
  <si>
    <t xml:space="preserve"> 9 </t>
  </si>
  <si>
    <t>IMPERMEABILIZAÇÕES</t>
  </si>
  <si>
    <t xml:space="preserve"> 10 </t>
  </si>
  <si>
    <t>REVESTIMENTOS INTERNOS</t>
  </si>
  <si>
    <t xml:space="preserve"> 11 </t>
  </si>
  <si>
    <t>FORROS</t>
  </si>
  <si>
    <t xml:space="preserve"> 12 </t>
  </si>
  <si>
    <t>REVESTIMENTOS EXTERNOS</t>
  </si>
  <si>
    <t xml:space="preserve"> 13 </t>
  </si>
  <si>
    <t>PINTURA_1</t>
  </si>
  <si>
    <t xml:space="preserve"> 14 </t>
  </si>
  <si>
    <t>ESQUADRIAS</t>
  </si>
  <si>
    <t xml:space="preserve"> 15 </t>
  </si>
  <si>
    <t>LOUÇAS, METAIS BANCADAS_1</t>
  </si>
  <si>
    <t xml:space="preserve"> 16 </t>
  </si>
  <si>
    <t>INSTALAÇÕES HIDRAULICAS</t>
  </si>
  <si>
    <t xml:space="preserve"> 17 </t>
  </si>
  <si>
    <t>INSTALAÇÕES SANITÁRIAS</t>
  </si>
  <si>
    <t xml:space="preserve"> 18 </t>
  </si>
  <si>
    <t>INSTALAÇÕES PLUVIAIS</t>
  </si>
  <si>
    <t xml:space="preserve"> 19 </t>
  </si>
  <si>
    <t>INSTALAÇÕES ELÉTRICAS</t>
  </si>
  <si>
    <t xml:space="preserve"> 20 </t>
  </si>
  <si>
    <t>INSTALAÇÕES DE SPDA</t>
  </si>
  <si>
    <t xml:space="preserve"> 21 </t>
  </si>
  <si>
    <t>SISTEMA DE CABEAMENTO E COMUNICAÇÃO</t>
  </si>
  <si>
    <t xml:space="preserve"> 22 </t>
  </si>
  <si>
    <t>SISTEMA DE CLIMATIZAÇÃO</t>
  </si>
  <si>
    <t xml:space="preserve"> 23 </t>
  </si>
  <si>
    <t>SUBESTAÇÃO</t>
  </si>
  <si>
    <t xml:space="preserve"> 24 </t>
  </si>
  <si>
    <t>INSTALAÇÕES DE COMBATE A INCÊNDIO</t>
  </si>
  <si>
    <t xml:space="preserve"> 25 </t>
  </si>
  <si>
    <t>SERVIÇOS COMPLEMENTARES</t>
  </si>
  <si>
    <t>Total sem BDI</t>
  </si>
  <si>
    <t>Total do BDI</t>
  </si>
  <si>
    <t>Total Geral</t>
  </si>
  <si>
    <t>CONSTRUÇÃO DA ESCOLA MUNICIPAL DE CIÊNCIA, TECNOLOGIA E  INOVAÇÃO, NO MUNICÍPIO DE SOUSA/PB</t>
  </si>
  <si>
    <t>Orçamento Sintético</t>
  </si>
  <si>
    <t>Código</t>
  </si>
  <si>
    <t>Banco</t>
  </si>
  <si>
    <t>Und</t>
  </si>
  <si>
    <t>Quant.</t>
  </si>
  <si>
    <t>Valor Unit</t>
  </si>
  <si>
    <t>Valor Unit com BDI</t>
  </si>
  <si>
    <t xml:space="preserve"> 1.1 </t>
  </si>
  <si>
    <t xml:space="preserve"> 00004813 </t>
  </si>
  <si>
    <t>SINAPI</t>
  </si>
  <si>
    <t>PLACA DE OBRA (PARA CONSTRUCAO CIVIL) EM CHAPA GALVANIZADA *N. 22*, ADESIVADA, DE *2,4 X 1,2* M (SEM POSTES PARA FIXACAO)</t>
  </si>
  <si>
    <t>m²</t>
  </si>
  <si>
    <t xml:space="preserve"> 1.2 </t>
  </si>
  <si>
    <t xml:space="preserve"> 93209 </t>
  </si>
  <si>
    <t>EXECUÇÃO DE ALMOXARIFADO EM CANTEIRO DE OBRA EM ALVENARIA, INCLUSO PRATELEIRAS. AF_02/2016</t>
  </si>
  <si>
    <t xml:space="preserve"> 1.3 </t>
  </si>
  <si>
    <t xml:space="preserve"> 93206 </t>
  </si>
  <si>
    <t>EXECUÇÃO DE ESCRITÓRIO EM CANTEIRO DE OBRA EM ALVENARIA, NÃO INCLUSO MOBILIÁRIO E EQUIPAMENTOS. AF_02/2016</t>
  </si>
  <si>
    <t xml:space="preserve"> 1.4 </t>
  </si>
  <si>
    <t xml:space="preserve"> 99059 </t>
  </si>
  <si>
    <t>LOCACAO CONVENCIONAL DE OBRA, UTILIZANDO GABARITO DE TÁBUAS CORRIDAS PONTALETADAS A CADA 2,00M -  2 UTILIZAÇÕES. AF_10/2018</t>
  </si>
  <si>
    <t>M</t>
  </si>
  <si>
    <t xml:space="preserve"> 1.5 </t>
  </si>
  <si>
    <t xml:space="preserve"> 98525 </t>
  </si>
  <si>
    <t>LIMPEZA MECANIZADA DE CAMADA VEGETAL, VEGETAÇÃO E PEQUENAS ÁRVORES (DIÂMETRO DE TRONCO MENOR QUE 0,20 M), COM TRATOR DE ESTEIRAS.AF_05/2018</t>
  </si>
  <si>
    <t xml:space="preserve"> 2.1 </t>
  </si>
  <si>
    <t xml:space="preserve"> 00040946 </t>
  </si>
  <si>
    <t>TECNICO DE EDIFICACOES (MENSALISTA)</t>
  </si>
  <si>
    <t>MES</t>
  </si>
  <si>
    <t xml:space="preserve"> 2.2 </t>
  </si>
  <si>
    <t xml:space="preserve"> 00040811 </t>
  </si>
  <si>
    <t>ENGENHEIRO CIVIL DE OBRA JUNIOR (MENSALISTA)</t>
  </si>
  <si>
    <t xml:space="preserve"> 2.3 </t>
  </si>
  <si>
    <t xml:space="preserve"> 00040819 </t>
  </si>
  <si>
    <t>MESTRE DE OBRAS (MENSALISTA)</t>
  </si>
  <si>
    <t xml:space="preserve"> 3.1 </t>
  </si>
  <si>
    <t xml:space="preserve"> 93358 </t>
  </si>
  <si>
    <t>ESCAVAÇÃO MANUAL DE VALA COM PROFUNDIDADE MENOR OU IGUAL A 1,30 M. AF_02/2021</t>
  </si>
  <si>
    <t>m³</t>
  </si>
  <si>
    <t xml:space="preserve"> 3.2 </t>
  </si>
  <si>
    <t xml:space="preserve"> 93382 </t>
  </si>
  <si>
    <t>REATERRO MANUAL DE VALAS COM COMPACTAÇÃO MECANIZADA. AF_04/2016</t>
  </si>
  <si>
    <t xml:space="preserve"> 3.3 </t>
  </si>
  <si>
    <t xml:space="preserve"> 102276 </t>
  </si>
  <si>
    <t>ESCAVAÇÃO MECANIZADA DE VALA COM PROF. ATÉ 1,5 M (MÉDIA MONTANTE E JUSANTE/UMA COMPOSIÇÃO POR TRECHO), ESCAVADEIRA (0,8 M3), LARG. MENOR QUE 1,5 M, EM SOLO DE 1A CATEGORIA, EM LOCAIS COM ALTO NÍVEL DE INTERFERÊNCIA. AF_02/2021</t>
  </si>
  <si>
    <t xml:space="preserve"> 3.4 </t>
  </si>
  <si>
    <t xml:space="preserve"> 100982 </t>
  </si>
  <si>
    <t>CARGA, MANOBRA E DESCARGA DE ENTULHO EM CAMINHÃO BASCULANTE 10 M³ - CARGA COM ESCAVADEIRA HIDRÁULICA  (CAÇAMBA DE 0,80 M³ / 111 HP) E DESCARGA LIVRE (UNIDADE: M3). AF_07/2020</t>
  </si>
  <si>
    <t xml:space="preserve"> 3.5 </t>
  </si>
  <si>
    <t xml:space="preserve"> 00006081 </t>
  </si>
  <si>
    <t>ARGILA OU BARRO PARA ATERRO/REATERRO (COM TRANSPORTE ATE 10 KM)</t>
  </si>
  <si>
    <t xml:space="preserve"> 4.1 </t>
  </si>
  <si>
    <t xml:space="preserve"> 96619 </t>
  </si>
  <si>
    <t>LASTRO DE CONCRETO MAGRO, APLICADO EM BLOCOS DE COROAMENTO OU SAPATAS, ESPESSURA DE 5 CM. AF_08/2017</t>
  </si>
  <si>
    <t xml:space="preserve"> 4.2 </t>
  </si>
  <si>
    <t xml:space="preserve"> 00034479 </t>
  </si>
  <si>
    <t>CONCRETO USINADO BOMBEAVEL, CLASSE DE RESISTENCIA C40, COM BRITA 0 E 1, SLUMP = 100 +/- 20 MM, INCLUI SERVICO DE BOMBEAMENTO (NBR 8953)</t>
  </si>
  <si>
    <t xml:space="preserve"> 4.3 </t>
  </si>
  <si>
    <t xml:space="preserve"> 103673 </t>
  </si>
  <si>
    <t>LANÇAMENTO COM USO DE BOMBA, ADENSAMENTO E ACABAMENTO DE CONCRETO EM ESTRUTURAS. AF_02/2022</t>
  </si>
  <si>
    <t xml:space="preserve"> 4.4 </t>
  </si>
  <si>
    <t xml:space="preserve"> 96543 </t>
  </si>
  <si>
    <t>ARMAÇÃO DE BLOCO, VIGA BALDRAME E SAPATA UTILIZANDO AÇO CA-60 DE 5 MM - MONTAGEM. AF_06/2017</t>
  </si>
  <si>
    <t>KG</t>
  </si>
  <si>
    <t xml:space="preserve"> 4.5 </t>
  </si>
  <si>
    <t xml:space="preserve"> 96544 </t>
  </si>
  <si>
    <t>ARMAÇÃO DE BLOCO, VIGA BALDRAME OU SAPATA UTILIZANDO AÇO CA-50 DE 6,3 MM - MONTAGEM. AF_06/2017</t>
  </si>
  <si>
    <t xml:space="preserve"> 4.6 </t>
  </si>
  <si>
    <t xml:space="preserve"> 96545 </t>
  </si>
  <si>
    <t>ARMAÇÃO DE BLOCO, VIGA BALDRAME OU SAPATA UTILIZANDO AÇO CA-50 DE 8 MM - MONTAGEM. AF_06/2017</t>
  </si>
  <si>
    <t xml:space="preserve"> 4.7 </t>
  </si>
  <si>
    <t xml:space="preserve"> 96546 </t>
  </si>
  <si>
    <t>ARMAÇÃO DE BLOCO, VIGA BALDRAME OU SAPATA UTILIZANDO AÇO CA-50 DE 10 MM - MONTAGEM. AF_06/2017</t>
  </si>
  <si>
    <t xml:space="preserve"> 4.8 </t>
  </si>
  <si>
    <t xml:space="preserve"> 96547 </t>
  </si>
  <si>
    <t>ARMAÇÃO DE BLOCO, VIGA BALDRAME OU SAPATA UTILIZANDO AÇO CA-50 DE 12,5 MM - MONTAGEM. AF_06/2017</t>
  </si>
  <si>
    <t xml:space="preserve"> 4.9 </t>
  </si>
  <si>
    <t xml:space="preserve"> 96548 </t>
  </si>
  <si>
    <t>ARMAÇÃO DE BLOCO, VIGA BALDRAME OU SAPATA UTILIZANDO AÇO CA-50 DE 16 MM - MONTAGEM. AF_06/2017</t>
  </si>
  <si>
    <t xml:space="preserve"> 4.10 </t>
  </si>
  <si>
    <t xml:space="preserve"> 96549 </t>
  </si>
  <si>
    <t>ARMAÇÃO DE BLOCO, VIGA BALDRAME OU SAPATA UTILIZANDO AÇO CA-50 DE 20 MM - MONTAGEM. AF_06/2017</t>
  </si>
  <si>
    <t xml:space="preserve"> 4.11 </t>
  </si>
  <si>
    <t xml:space="preserve"> 96538 </t>
  </si>
  <si>
    <t>FABRICAÇÃO, MONTAGEM E DESMONTAGEM DE FÔRMA PARA SAPATA, EM CHAPA DE MADEIRA COMPENSADA RESINADA, E=17 MM, 2 UTILIZAÇÕES. AF_06/2017</t>
  </si>
  <si>
    <t xml:space="preserve"> 4.12 </t>
  </si>
  <si>
    <t xml:space="preserve"> 96539 </t>
  </si>
  <si>
    <t>FABRICAÇÃO, MONTAGEM E DESMONTAGEM DE FÔRMA PARA VIGA BALDRAME, EM CHAPA DE MADEIRA COMPENSADA RESINADA, E=17 MM, 2 UTILIZAÇÕES. AF_06/2017</t>
  </si>
  <si>
    <t xml:space="preserve"> 4.13 </t>
  </si>
  <si>
    <t xml:space="preserve"> 96550 </t>
  </si>
  <si>
    <t>ARMAÇÃO DE BLOCO, VIGA BALDRAME OU SAPATA UTILIZANDO AÇO CA-50 DE 25 MM - MONTAGEM. AF_06/2017</t>
  </si>
  <si>
    <t xml:space="preserve"> 4.14 </t>
  </si>
  <si>
    <t xml:space="preserve"> 98562 </t>
  </si>
  <si>
    <t>IMPERMEABILIZAÇÃO DE FLOREIRA OU VIGA BALDRAME COM ARGAMASSA DE CIMENTO E AREIA, COM ADITIVO IMPERMEABILIZANTE, E = 2 CM. AF_06/2018</t>
  </si>
  <si>
    <t xml:space="preserve"> 5.1 </t>
  </si>
  <si>
    <t xml:space="preserve"> 5.2 </t>
  </si>
  <si>
    <t xml:space="preserve"> 5.3 </t>
  </si>
  <si>
    <t xml:space="preserve"> 92775 </t>
  </si>
  <si>
    <t>ARMAÇÃO DE PILAR OU VIGA DE UMA ESTRUTURA CONVENCIONAL DE CONCRETO ARMADO EM UMA EDIFICAÇÃO TÉRREA OU SOBRADO UTILIZANDO AÇO CA-60 DE 5,0 MM - MONTAGEM. AF_12/2015</t>
  </si>
  <si>
    <t xml:space="preserve"> 5.4 </t>
  </si>
  <si>
    <t xml:space="preserve"> 92776 </t>
  </si>
  <si>
    <t>ARMAÇÃO DE PILAR OU VIGA DE UMA ESTRUTURA CONVENCIONAL DE CONCRETO ARMADO EM UMA EDIFICAÇÃO TÉRREA OU SOBRADO UTILIZANDO AÇO CA-50 DE 6,3 MM - MONTAGEM. AF_12/2015</t>
  </si>
  <si>
    <t xml:space="preserve"> 5.5 </t>
  </si>
  <si>
    <t xml:space="preserve"> 92777 </t>
  </si>
  <si>
    <t>ARMAÇÃO DE PILAR OU VIGA DE UMA ESTRUTURA CONVENCIONAL DE CONCRETO ARMADO EM UMA EDIFICAÇÃO TÉRREA OU SOBRADO UTILIZANDO AÇO CA-50 DE 8,0 MM - MONTAGEM. AF_12/2015</t>
  </si>
  <si>
    <t xml:space="preserve"> 5.6 </t>
  </si>
  <si>
    <t xml:space="preserve"> 92778 </t>
  </si>
  <si>
    <t>ARMAÇÃO DE PILAR OU VIGA DE UMA ESTRUTURA CONVENCIONAL DE CONCRETO ARMADO EM UMA EDIFICAÇÃO TÉRREA OU SOBRADO UTILIZANDO AÇO CA-50 DE 10,0 MM - MONTAGEM. AF_12/2015</t>
  </si>
  <si>
    <t xml:space="preserve"> 5.7 </t>
  </si>
  <si>
    <t xml:space="preserve"> 92779 </t>
  </si>
  <si>
    <t>ARMAÇÃO DE PILAR OU VIGA DE UMA ESTRUTURA CONVENCIONAL DE CONCRETO ARMADO EM UMA EDIFICAÇÃO TÉRREA OU SOBRADO UTILIZANDO AÇO CA-50 DE 12,5 MM - MONTAGEM. AF_12/2015</t>
  </si>
  <si>
    <t xml:space="preserve"> 5.8 </t>
  </si>
  <si>
    <t xml:space="preserve"> 92780 </t>
  </si>
  <si>
    <t>ARMAÇÃO DE PILAR OU VIGA DE UMA ESTRUTURA CONVENCIONAL DE CONCRETO ARMADO EM UMA EDIFICAÇÃO TÉRREA OU SOBRADO UTILIZANDO AÇO CA-50 DE 16,0 MM - MONTAGEM. AF_12/2015</t>
  </si>
  <si>
    <t xml:space="preserve"> 5.9 </t>
  </si>
  <si>
    <t xml:space="preserve"> 92765 </t>
  </si>
  <si>
    <t>ARMAÇÃO DE PILAR OU VIGA DE ESTRUTURA CONVENCIONAL DE CONCRETO ARMADO UTILIZANDO AÇO CA-50 DE 20,0 MM - MONTAGEM. AF_06/2022</t>
  </si>
  <si>
    <t xml:space="preserve"> 5.10 </t>
  </si>
  <si>
    <t xml:space="preserve"> 92766 </t>
  </si>
  <si>
    <t>ARMAÇÃO DE PILAR OU VIGA DE ESTRUTURA CONVENCIONAL DE CONCRETO ARMADO UTILIZANDO AÇO CA-50 DE 25,0 MM - MONTAGEM. AF_06/2022</t>
  </si>
  <si>
    <t xml:space="preserve"> 5.11 </t>
  </si>
  <si>
    <t xml:space="preserve"> 101964 </t>
  </si>
  <si>
    <t>LAJE PRÉ-MOLDADA UNIDIRECIONAL, BIAPOIADA, PARA FORRO, ENCHIMENTO EM CERÂMICA, VIGOTA CONVENCIONAL, ALTURA TOTAL DA LAJE (ENCHIMENTO+CAPA) = (8+3). AF_11/2020</t>
  </si>
  <si>
    <t xml:space="preserve"> 5.12 </t>
  </si>
  <si>
    <t xml:space="preserve"> 92514 </t>
  </si>
  <si>
    <t>MONTAGEM E DESMONTAGEM DE FÔRMA DE LAJE MACIÇA, PÉ-DIREITO SIMPLES, EM CHAPA DE MADEIRA COMPENSADA RESINADA, 4 UTILIZAÇÕES. AF_09/2020</t>
  </si>
  <si>
    <t xml:space="preserve"> 5.13 </t>
  </si>
  <si>
    <t xml:space="preserve"> 92456 </t>
  </si>
  <si>
    <t>MONTAGEM E DESMONTAGEM DE FÔRMA DE VIGA, ESCORAMENTO METÁLICO, PÉ-DIREITO SIMPLES, EM CHAPA DE MADEIRA RESINADA, 4 UTILIZAÇÕES. AF_09/2020</t>
  </si>
  <si>
    <t xml:space="preserve"> 5.14 </t>
  </si>
  <si>
    <t xml:space="preserve"> 92419 </t>
  </si>
  <si>
    <t>MONTAGEM E DESMONTAGEM DE FÔRMA DE PILARES RETANGULARES E ESTRUTURAS SIMILARES, PÉ-DIREITO SIMPLES, EM CHAPA DE MADEIRA COMPENSADA RESINADA, 4 UTILIZAÇÕES. AF_09/2020</t>
  </si>
  <si>
    <t xml:space="preserve"> 5.15 </t>
  </si>
  <si>
    <t xml:space="preserve"> 100773 </t>
  </si>
  <si>
    <t>ESTRUTURA TRELIÇADA DE COBERTURA, TIPO ARCO, COM LIGAÇÕES SOLDADAS, INCLUSOS PERFIS METÁLICOS, CHAPAS METÁLICAS, MÃO DE OBRA E TRANSPORTE COM GUINDASTE - FORNECIMENTO E INSTALAÇÃO. AF_01/2020_P</t>
  </si>
  <si>
    <t xml:space="preserve"> 6.1 </t>
  </si>
  <si>
    <t xml:space="preserve"> 103328 </t>
  </si>
  <si>
    <t>ALVENARIA DE VEDAÇÃO DE BLOCOS CERÂMICOS FURADOS NA HORIZONTAL DE 9X19X19 CM (ESPESSURA 9 CM) E ARGAMASSA DE ASSENTAMENTO COM PREPARO EM BETONEIRA. AF_12/2021</t>
  </si>
  <si>
    <t xml:space="preserve"> 6.2 </t>
  </si>
  <si>
    <t xml:space="preserve"> 101157 </t>
  </si>
  <si>
    <t>ALVENARIA DE VEDAÇÃO DE BLOCOS DE GESSO DE 7X50X66CM (ESPESSURA 7CM). AF_05/2020</t>
  </si>
  <si>
    <t xml:space="preserve"> 6.3 </t>
  </si>
  <si>
    <t xml:space="preserve"> 102253 </t>
  </si>
  <si>
    <t>DIVISORIA SANITÁRIA, TIPO CABINE, EM GRANITO CINZA POLIDO, ESP = 3CM, ASSENTADO COM ARGAMASSA COLANTE AC III-E, EXCLUSIVE FERRAGENS. AF_01/2021</t>
  </si>
  <si>
    <t xml:space="preserve"> 6.4 </t>
  </si>
  <si>
    <t xml:space="preserve"> 93204 </t>
  </si>
  <si>
    <t>CINTA DE AMARRAÇÃO DE ALVENARIA MOLDADA IN LOCO EM CONCRETO. AF_03/2016</t>
  </si>
  <si>
    <t xml:space="preserve"> 6.5 </t>
  </si>
  <si>
    <t xml:space="preserve"> 93182 </t>
  </si>
  <si>
    <t>VERGA PRÉ-MOLDADA PARA JANELAS COM ATÉ 1,5 M DE VÃO. AF_03/2016</t>
  </si>
  <si>
    <t xml:space="preserve"> 6.6 </t>
  </si>
  <si>
    <t xml:space="preserve"> 93194 </t>
  </si>
  <si>
    <t>CONTRAVERGA PRÉ-MOLDADA PARA VÃOS DE ATÉ 1,5 M DE COMPRIMENTO. AF_03/2016</t>
  </si>
  <si>
    <t xml:space="preserve"> 6.7 </t>
  </si>
  <si>
    <t xml:space="preserve"> 93183 </t>
  </si>
  <si>
    <t>VERGA PRÉ-MOLDADA PARA JANELAS COM MAIS DE 1,5 M DE VÃO. AF_03/2016</t>
  </si>
  <si>
    <t xml:space="preserve"> 6.8 </t>
  </si>
  <si>
    <t xml:space="preserve"> 93195 </t>
  </si>
  <si>
    <t>CONTRAVERGA PRÉ-MOLDADA PARA VÃOS DE MAIS DE 1,5 M DE COMPRIMENTO. AF_03/2016</t>
  </si>
  <si>
    <t xml:space="preserve"> 6.9 </t>
  </si>
  <si>
    <t xml:space="preserve"> 93184 </t>
  </si>
  <si>
    <t>VERGA PRÉ-MOLDADA PARA PORTAS COM ATÉ 1,5 M DE VÃO. AF_03/2016</t>
  </si>
  <si>
    <t xml:space="preserve"> 6.10 </t>
  </si>
  <si>
    <t xml:space="preserve"> 93185 </t>
  </si>
  <si>
    <t>VERGA PRÉ-MOLDADA PARA PORTAS COM MAIS DE 1,5 M DE VÃO. AF_03/2016</t>
  </si>
  <si>
    <t xml:space="preserve"> 6.11 </t>
  </si>
  <si>
    <t xml:space="preserve"> 93203 </t>
  </si>
  <si>
    <t>FIXAÇÃO (ENCUNHAMENTO) DE ALVENARIA DE VEDAÇÃO COM ESPUMA DE POLIURETANO EXPANSIVA. AF_03/2016</t>
  </si>
  <si>
    <t xml:space="preserve"> 6.12 </t>
  </si>
  <si>
    <t xml:space="preserve"> 10036 </t>
  </si>
  <si>
    <t>ORSE</t>
  </si>
  <si>
    <t>Fornecimento e instalação de fachada em pele de vidro, linha Citta Due Alcoa, em vidro laminado 3+3 prata refletivo medindo 8,30x6,87m,c/06 modulos vertical e 11 modulos horizontal. e 05 janelas maxi mar (obra:Sup.Reg.Trabalho)</t>
  </si>
  <si>
    <t xml:space="preserve"> 7.1 </t>
  </si>
  <si>
    <t xml:space="preserve"> 97087 </t>
  </si>
  <si>
    <t>CAMADA SEPARADORA PARA EXECUÇÃO DE RADIER, PISO DE CONCRETO OU LAJE SOBRE SOLO, EM LONA PLÁSTICA. AF_09/2021</t>
  </si>
  <si>
    <t xml:space="preserve"> 7.2 </t>
  </si>
  <si>
    <t xml:space="preserve"> 94968 </t>
  </si>
  <si>
    <t>CONCRETO MAGRO PARA LASTRO, TRAÇO 1:4,5:4,5 (EM MASSA SECA DE CIMENTO/ AREIA MÉDIA/ BRITA 1) - PREPARO MECÂNICO COM BETONEIRA 600 L. AF_05/2021</t>
  </si>
  <si>
    <t xml:space="preserve"> 7.3 </t>
  </si>
  <si>
    <t xml:space="preserve"> 88477 </t>
  </si>
  <si>
    <t>CONTRAPISO COM ARGAMASSA AUTONIVELANTE, APLICADO SOBRE LAJE, ADERIDO, ESPESSURA 3CM. AF_07/2021</t>
  </si>
  <si>
    <t xml:space="preserve"> 7.4 </t>
  </si>
  <si>
    <t xml:space="preserve"> 87263 </t>
  </si>
  <si>
    <t>REVESTIMENTO CERÂMICO PARA PISO COM PLACAS TIPO PORCELANATO DE DIMENSÕES 60X60 CM APLICADA EM AMBIENTES DE ÁREA MAIOR QUE 10 M². AF_06/2014</t>
  </si>
  <si>
    <t xml:space="preserve"> 7.5 </t>
  </si>
  <si>
    <t xml:space="preserve"> 87262 </t>
  </si>
  <si>
    <t>REVESTIMENTO CERÂMICO PARA PISO COM PLACAS TIPO PORCELANATO DE DIMENSÕES 60X60 CM APLICADA EM AMBIENTES DE ÁREA ENTRE 5 M² E 10 M². AF_06/2014</t>
  </si>
  <si>
    <t xml:space="preserve"> 7.6 </t>
  </si>
  <si>
    <t xml:space="preserve"> 94995 </t>
  </si>
  <si>
    <t>EXECUÇÃO DE PASSEIO (CALÇADA) OU PISO DE CONCRETO COM CONCRETO MOLDADO IN LOCO, USINADO, ACABAMENTO CONVENCIONAL, ESPESSURA 8 CM, ARMADO. AF_08/2022</t>
  </si>
  <si>
    <t xml:space="preserve"> 7.7 </t>
  </si>
  <si>
    <t xml:space="preserve"> 00039635 </t>
  </si>
  <si>
    <t>CARPETE DE POLIPROPILENO EM MANTA PARA TRAFEGO COMERCIAL MEDIO, E = 5 A 6 MM (INSTALADO)</t>
  </si>
  <si>
    <t xml:space="preserve"> 7.8 </t>
  </si>
  <si>
    <t xml:space="preserve"> 101751 </t>
  </si>
  <si>
    <t>PISO EM TACO DE MADEIRA 7X21CM, FIXADO COM COLA BASE DE PVA. AF_09/2020</t>
  </si>
  <si>
    <t xml:space="preserve"> 7.9 </t>
  </si>
  <si>
    <t xml:space="preserve"> 101094 </t>
  </si>
  <si>
    <t>PISO PODOTÁTIL DE ALERTA OU DIRECIONAL, DE BORRACHA, ASSENTADO SOBRE ARGAMASSA. AF_05/2020</t>
  </si>
  <si>
    <t xml:space="preserve"> 7.10 </t>
  </si>
  <si>
    <t xml:space="preserve"> 95969 </t>
  </si>
  <si>
    <t>(COMPOSIÇÃO REPRESENTATIVA) EXECUÇÃO DE ESCADA EM CONCRETO ARMADO, MOLDADA IN LOCO, FCK = 25 MPA. AF_02/2017</t>
  </si>
  <si>
    <t xml:space="preserve"> 7.11 </t>
  </si>
  <si>
    <t xml:space="preserve"> 92400 </t>
  </si>
  <si>
    <t>EXECUÇÃO DE PÁTIO/ESTACIONAMENTO EM PISO INTERTRAVADO, COM BLOCO RETANGULAR DE 20 X 10 CM, ESPESSURA 10 CM. AF_12/2015</t>
  </si>
  <si>
    <t xml:space="preserve"> 7.12 </t>
  </si>
  <si>
    <t xml:space="preserve"> 94275 </t>
  </si>
  <si>
    <t>ASSENTAMENTO DE GUIA (MEIO-FIO) EM TRECHO RETO, CONFECCIONADA EM CONCRETO PRÉ-FABRICADO, DIMENSÕES 100X15X13X20 CM (COMPRIMENTO X BASE INFERIOR X BASE SUPERIOR X ALTURA), PARA URBANIZAÇÃO INTERNA DE EMPREENDIMENTOS. AF_06/2016</t>
  </si>
  <si>
    <t xml:space="preserve"> 7.13 </t>
  </si>
  <si>
    <t xml:space="preserve"> 00000368 </t>
  </si>
  <si>
    <t>AREIA PARA ATERRO - POSTO JAZIDA/FORNECEDOR (RETIRADO NA JAZIDA, SEM TRANSPORTE)</t>
  </si>
  <si>
    <t xml:space="preserve"> 8.1 </t>
  </si>
  <si>
    <t xml:space="preserve"> 94216 </t>
  </si>
  <si>
    <t>TELHAMENTO COM TELHA METÁLICA TERMOACÚSTICA E = 30 MM, COM ATÉ 2 ÁGUAS, INCLUSO IÇAMENTO. AF_07/2019</t>
  </si>
  <si>
    <t xml:space="preserve"> 8.2 </t>
  </si>
  <si>
    <t xml:space="preserve"> 94213 </t>
  </si>
  <si>
    <t>TELHAMENTO COM TELHA DE AÇO/ALUMÍNIO E = 0,5 MM, COM ATÉ 2 ÁGUAS, INCLUSO IÇAMENTO. AF_07/2019</t>
  </si>
  <si>
    <t xml:space="preserve"> 8.3 </t>
  </si>
  <si>
    <t xml:space="preserve"> 94228 </t>
  </si>
  <si>
    <t>CALHA EM CHAPA DE AÇO GALVANIZADO NÚMERO 24, DESENVOLVIMENTO DE 50 CM, INCLUSO TRANSPORTE VERTICAL. AF_07/2019</t>
  </si>
  <si>
    <t xml:space="preserve"> 8.4 </t>
  </si>
  <si>
    <t xml:space="preserve"> 94231 </t>
  </si>
  <si>
    <t>RUFO EM CHAPA DE AÇO GALVANIZADO NÚMERO 24, CORTE DE 25 CM, INCLUSO TRANSPORTE VERTICAL. AF_07/2019</t>
  </si>
  <si>
    <t xml:space="preserve"> 9.1 </t>
  </si>
  <si>
    <t xml:space="preserve"> 88476 </t>
  </si>
  <si>
    <t>CONTRAPISO COM ARGAMASSA AUTONIVELANTE, APLICADO SOBRE LAJE, ADERIDO, ESPESSURA 2CM. AF_07/2021</t>
  </si>
  <si>
    <t xml:space="preserve"> 9.2 </t>
  </si>
  <si>
    <t xml:space="preserve"> 98546 </t>
  </si>
  <si>
    <t>IMPERMEABILIZAÇÃO DE SUPERFÍCIE COM MANTA ASFÁLTICA, UMA CAMADA, INCLUSIVE APLICAÇÃO DE PRIMER ASFÁLTICO, E=3MM. AF_06/2018</t>
  </si>
  <si>
    <t xml:space="preserve"> 9.3 </t>
  </si>
  <si>
    <t xml:space="preserve"> 98557 </t>
  </si>
  <si>
    <t>IMPERMEABILIZAÇÃO DE SUPERFÍCIE COM EMULSÃO ASFÁLTICA, 2 DEMÃOS AF_06/2018</t>
  </si>
  <si>
    <t xml:space="preserve"> 9.4 </t>
  </si>
  <si>
    <t xml:space="preserve"> 98565 </t>
  </si>
  <si>
    <t>PROTEÇÃO MECÂNICA DE SUPERFICIE HORIZONTAL COM ARGAMASSA DE CIMENTO E AREIA, TRAÇO 1:3, E=3CM. AF_06/2018</t>
  </si>
  <si>
    <t xml:space="preserve"> 10.1 </t>
  </si>
  <si>
    <t xml:space="preserve"> 87879 </t>
  </si>
  <si>
    <t>CHAPISCO APLICADO EM ALVENARIAS E ESTRUTURAS DE CONCRETO INTERNAS, COM COLHER DE PEDREIRO.  ARGAMASSA TRAÇO 1:3 COM PREPARO EM BETONEIRA 400L. AF_06/2014</t>
  </si>
  <si>
    <t xml:space="preserve"> 10.2 </t>
  </si>
  <si>
    <t xml:space="preserve"> 89173 </t>
  </si>
  <si>
    <t>(COMPOSIÇÃO REPRESENTATIVA) DO SERVIÇO DE EMBOÇO/MASSA ÚNICA, APLICADO MANUALMENTE, TRAÇO 1:2:8, EM BETONEIRA DE 400L, PAREDES INTERNAS, COM EXECUÇÃO DE TALISCAS, EDIFICAÇÃO HABITACIONAL UNIFAMILIAR (CASAS) E EDIFICAÇÃO PÚBLICA PADRÃO. AF_12/2014</t>
  </si>
  <si>
    <t xml:space="preserve"> 10.3 </t>
  </si>
  <si>
    <t xml:space="preserve"> 87261 </t>
  </si>
  <si>
    <t>REVESTIMENTO CERÂMICO PARA PISO COM PLACAS TIPO PORCELANATO DE DIMENSÕES 60X60 CM APLICADA EM AMBIENTES DE ÁREA MENOR QUE 5 M². AF_06/2014</t>
  </si>
  <si>
    <t xml:space="preserve"> 10.4 </t>
  </si>
  <si>
    <t xml:space="preserve"> 00010710 </t>
  </si>
  <si>
    <t>CARPETE DE NYLON EM MANTA PARA TRAFEGO COMERCIAL PESADO, E = 6 A 7 MM (INSTALADO)</t>
  </si>
  <si>
    <t xml:space="preserve"> 11.1 </t>
  </si>
  <si>
    <t xml:space="preserve"> 12023 </t>
  </si>
  <si>
    <t>Forro acústico em placas de fibra mineral dim.1200x600x16mm,  absorção sonora NRC = 0,55, reflexão luz = 0,79, marca Armstrong, ref. Clean Room, ou similar, resist. fogo: classe A, instalado inclusive sobre perfís metálicos</t>
  </si>
  <si>
    <t xml:space="preserve"> 11.2 </t>
  </si>
  <si>
    <t xml:space="preserve"> 96123 </t>
  </si>
  <si>
    <t>ACABAMENTOS PARA FORRO (MOLDURA EM DRYWALL, COM LARGURA DE 15 CM). AF_05/2017_PS</t>
  </si>
  <si>
    <t xml:space="preserve"> 11.3 </t>
  </si>
  <si>
    <t xml:space="preserve"> 96113 </t>
  </si>
  <si>
    <t>FORRO EM PLACAS DE GESSO, PARA AMBIENTES COMERCIAIS. AF_05/2017_PS</t>
  </si>
  <si>
    <t xml:space="preserve"> 11.4 </t>
  </si>
  <si>
    <t xml:space="preserve"> 99054 </t>
  </si>
  <si>
    <t>ACABAMENTOS PARA FORRO (SANCA DE GESSO MONTADA NA OBRA). AF_05/2017_PS</t>
  </si>
  <si>
    <t xml:space="preserve"> 11.5 </t>
  </si>
  <si>
    <t xml:space="preserve"> 1944 </t>
  </si>
  <si>
    <t>Forro de madeira lambri pau d'arco, e = 6,4 mm,  inclusive madeiramento de suporte (sarrafo), instalado</t>
  </si>
  <si>
    <t xml:space="preserve"> 12.1 </t>
  </si>
  <si>
    <t xml:space="preserve"> 87889 </t>
  </si>
  <si>
    <t>CHAPISCO APLICADO EM ALVENARIA (SEM PRESENÇA DE VÃOS) E ESTRUTURAS DE CONCRETO DE FACHADA, COM ROLO PARA TEXTURA ACRÍLICA.  ARGAMASSA TRAÇO 1:4 E EMULSÃO POLIMÉRICA (ADESIVO) COM PREPARO EM BETONEIRA 400L. AF_06/2014</t>
  </si>
  <si>
    <t xml:space="preserve"> 12.2 </t>
  </si>
  <si>
    <t xml:space="preserve"> 87529 </t>
  </si>
  <si>
    <t>MASSA ÚNICA, PARA RECEBIMENTO DE PINTURA, EM ARGAMASSA TRAÇO 1:2:8, PREPARO MECÂNICO COM BETONEIRA 400L, APLICADA MANUALMENTE EM FACES INTERNAS DE PAREDES, ESPESSURA DE 20MM, COM EXECUÇÃO DE TALISCAS. AF_06/2014</t>
  </si>
  <si>
    <t xml:space="preserve"> 12.3 </t>
  </si>
  <si>
    <t xml:space="preserve"> 5057 </t>
  </si>
  <si>
    <t>Revestimento metálico em alumínio composto (Alucobond), e=0,3mm, pintura Kaynar 500 composta por seis camadas,  inclusive estrutura metálica auxiliar em perfil de viga "U" de 2" - fornecimento e montagem</t>
  </si>
  <si>
    <t xml:space="preserve"> 12.4 </t>
  </si>
  <si>
    <t xml:space="preserve"> 11175 </t>
  </si>
  <si>
    <t>Revestimento cerâmico para parede, 10 x 10 cm, Elizabeth, linha cristal piscina, aplicado com argamassa industrializada ac-ii, rejunte epoxi, exclusive regularização de base ou emboço - Rev 02</t>
  </si>
  <si>
    <t xml:space="preserve"> 13.1 </t>
  </si>
  <si>
    <t xml:space="preserve"> 88485 </t>
  </si>
  <si>
    <t>APLICAÇÃO DE FUNDO SELADOR ACRÍLICO EM PAREDES, UMA DEMÃO. AF_06/2014</t>
  </si>
  <si>
    <t xml:space="preserve"> 13.2 </t>
  </si>
  <si>
    <t xml:space="preserve"> 88497 </t>
  </si>
  <si>
    <t>APLICAÇÃO E LIXAMENTO DE MASSA LÁTEX EM PAREDES, DUAS DEMÃOS. AF_06/2014</t>
  </si>
  <si>
    <t xml:space="preserve"> 13.3 </t>
  </si>
  <si>
    <t xml:space="preserve"> 88489 </t>
  </si>
  <si>
    <t>APLICAÇÃO MANUAL DE PINTURA COM TINTA LÁTEX ACRÍLICA EM PAREDES, DUAS DEMÃOS. AF_06/2014</t>
  </si>
  <si>
    <t xml:space="preserve"> 13.4 </t>
  </si>
  <si>
    <t xml:space="preserve"> 88484 </t>
  </si>
  <si>
    <t>APLICAÇÃO DE FUNDO SELADOR ACRÍLICO EM TETO, UMA DEMÃO. AF_06/2014</t>
  </si>
  <si>
    <t xml:space="preserve"> 13.5 </t>
  </si>
  <si>
    <t xml:space="preserve"> 88496 </t>
  </si>
  <si>
    <t>APLICAÇÃO E LIXAMENTO DE MASSA LÁTEX EM TETO, DUAS DEMÃOS. AF_06/2014</t>
  </si>
  <si>
    <t xml:space="preserve"> 13.6 </t>
  </si>
  <si>
    <t xml:space="preserve"> 88488 </t>
  </si>
  <si>
    <t>APLICAÇÃO MANUAL DE PINTURA COM TINTA LÁTEX ACRÍLICA EM TETO, DUAS DEMÃOS. AF_06/2014</t>
  </si>
  <si>
    <t xml:space="preserve"> 13.7 </t>
  </si>
  <si>
    <t xml:space="preserve"> 102220 </t>
  </si>
  <si>
    <t>PINTURA TINTA DE ACABAMENTO (PIGMENTADA) ESMALTE SINTÉTICO BRILHANTE EM MADEIRA, 2 DEMÃOS. AF_01/2021</t>
  </si>
  <si>
    <t xml:space="preserve"> 13.8 </t>
  </si>
  <si>
    <t xml:space="preserve"> 102507 </t>
  </si>
  <si>
    <t>PINTURA DE DEMARCAÇÃO DE VAGA COM TINTA EPÓXI, E = 10 CM, APLICAÇÃO MANUAL. AF_05/2021</t>
  </si>
  <si>
    <t xml:space="preserve"> 14.1 </t>
  </si>
  <si>
    <t xml:space="preserve"> 90821 </t>
  </si>
  <si>
    <t>PORTA DE MADEIRA PARA PINTURA, SEMI-OCA (LEVE OU MÉDIA), 70X210CM, ESPESSURA DE 3,5CM, INCLUSO DOBRADIÇAS - FORNECIMENTO E INSTALAÇÃO. AF_12/2019</t>
  </si>
  <si>
    <t>UN</t>
  </si>
  <si>
    <t xml:space="preserve"> 14.2 </t>
  </si>
  <si>
    <t xml:space="preserve"> 90822 </t>
  </si>
  <si>
    <t>PORTA DE MADEIRA PARA PINTURA, SEMI-OCA (LEVE OU MÉDIA), 80X210CM, ESPESSURA DE 3,5CM, INCLUSO DOBRADIÇAS - FORNECIMENTO E INSTALAÇÃO. AF_12/2019</t>
  </si>
  <si>
    <t xml:space="preserve"> 14.3 </t>
  </si>
  <si>
    <t xml:space="preserve"> 90823 </t>
  </si>
  <si>
    <t>PORTA DE MADEIRA PARA PINTURA, SEMI-OCA (LEVE OU MÉDIA), 90X210CM, ESPESSURA DE 3,5CM, INCLUSO DOBRADIÇAS - FORNECIMENTO E INSTALAÇÃO. AF_12/2019</t>
  </si>
  <si>
    <t xml:space="preserve"> 14.4 </t>
  </si>
  <si>
    <t xml:space="preserve"> Sousa_0071 </t>
  </si>
  <si>
    <t>Próprio</t>
  </si>
  <si>
    <t>PORTA EM MADEIRA DE LEI, DE CORRER, LISA, SEMI-OCA 0,80X2,40M,  COM BATENTES, ALIZARES E BANDEIRA SUPERIOR 30 CM, INCLUSIVE  FERRAGENS E FECHADURA TIPO PAPAGAIO</t>
  </si>
  <si>
    <t>und</t>
  </si>
  <si>
    <t xml:space="preserve"> 14.5 </t>
  </si>
  <si>
    <t xml:space="preserve"> Sousa_0073 </t>
  </si>
  <si>
    <t>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t>
  </si>
  <si>
    <t xml:space="preserve"> 14.6 </t>
  </si>
  <si>
    <t xml:space="preserve"> 102151 </t>
  </si>
  <si>
    <t>INSTALAÇÃO DE VIDRO LISO INCOLOR, E = 3 MM, EM ESQUADRIA DE MADEIRA, FIXADO COM BAGUETE. AF_01/2021</t>
  </si>
  <si>
    <t xml:space="preserve"> 14.7 </t>
  </si>
  <si>
    <t xml:space="preserve"> 11948 </t>
  </si>
  <si>
    <t>Porta ou janela em alumínio, cor N/P/B,tipo veneziana, de abrir ou correr, completa inclusive caixilhos, dobradiças ou roldanas e fechadura</t>
  </si>
  <si>
    <t xml:space="preserve"> 14.8 </t>
  </si>
  <si>
    <t xml:space="preserve"> 100702 </t>
  </si>
  <si>
    <t>PORTA DE CORRER DE ALUMÍNIO, COM DUAS FOLHAS PARA VIDRO, INCLUSO VIDRO LISO INCOLOR, FECHADURA E PUXADOR, SEM ALIZAR. AF_12/2019</t>
  </si>
  <si>
    <t xml:space="preserve"> 14.9 </t>
  </si>
  <si>
    <t xml:space="preserve"> 11946 </t>
  </si>
  <si>
    <t>Porta em alumínio, cor N/P/B, moldura-vidro,completa, inclusive caixilhos, dobradiças ou roldanas e fechadura, exclusive vidro</t>
  </si>
  <si>
    <t xml:space="preserve"> 14.10 </t>
  </si>
  <si>
    <t xml:space="preserve"> 102179 </t>
  </si>
  <si>
    <t>INSTALAÇÃO DE VIDRO TEMPERADO, E = 6 MM, ENCAIXADO EM PERFIL U. AF_01/2021_PS</t>
  </si>
  <si>
    <t xml:space="preserve"> 14.11 </t>
  </si>
  <si>
    <t xml:space="preserve"> 94580 </t>
  </si>
  <si>
    <t>JANELA DE ALUMÍNIO DE CORRER COM 6 FOLHAS (2 VENEZIANAS FIXAS, 2 VENEZIANAS DE CORRER E 2 PARA VIDRO), COM VIDROS, BATENTE, ACABAMENTO COM ACETATO OU BRILHANTE E FERRAGENS. EXCLUSIVE ALIZAR E CONTRAMARCO. FORNECIMENTO E INSTALAÇÃO. AF_12/2019</t>
  </si>
  <si>
    <t xml:space="preserve"> 14.12 </t>
  </si>
  <si>
    <t xml:space="preserve"> 8182 </t>
  </si>
  <si>
    <t>Sistema de automação para porta de aluminio c/vidro, deslizante, 2 folhas, dimensão do trilho: de 3,30 até 4,40m</t>
  </si>
  <si>
    <t>cj</t>
  </si>
  <si>
    <t xml:space="preserve"> 14.13 </t>
  </si>
  <si>
    <t xml:space="preserve"> 13096 </t>
  </si>
  <si>
    <t>Porta em vidro temperado 10mm, incolor, inclusive ferragens de fixação e instalação, exclusive puxador - Rev 01_10/2021</t>
  </si>
  <si>
    <t xml:space="preserve"> 14.14 </t>
  </si>
  <si>
    <t xml:space="preserve"> 14.15 </t>
  </si>
  <si>
    <t xml:space="preserve"> 94573 </t>
  </si>
  <si>
    <t>JANELA DE ALUMÍNIO DE CORRER COM 4 FOLHAS PARA VIDROS, COM VIDROS, BATENTE, ACABAMENTO COM ACETATO OU BRILHANTE E FERRAGENS. EXCLUSIVE ALIZAR E CONTRAMARCO. FORNECIMENTO E INSTALAÇÃO. AF_12/2019</t>
  </si>
  <si>
    <t xml:space="preserve"> 14.16 </t>
  </si>
  <si>
    <t xml:space="preserve"> 94570 </t>
  </si>
  <si>
    <t>JANELA DE ALUMÍNIO DE CORRER COM 2 FOLHAS PARA VIDROS, COM VIDROS, BATENTE, ACABAMENTO COM ACETATO OU BRILHANTE E FERRAGENS. EXCLUSIVE ALIZAR E CONTRAMARCO. FORNECIMENTO E INSTALAÇÃO. AF_12/2019</t>
  </si>
  <si>
    <t xml:space="preserve"> 14.17 </t>
  </si>
  <si>
    <t xml:space="preserve"> 94569 </t>
  </si>
  <si>
    <t>JANELA DE ALUMÍNIO TIPO MAXIM-AR, COM VIDROS, BATENTE E FERRAGENS. EXCLUSIVE ALIZAR, ACABAMENTO E CONTRAMARCO. FORNECIMENTO E INSTALAÇÃO. AF_12/2019</t>
  </si>
  <si>
    <t xml:space="preserve"> 14.18 </t>
  </si>
  <si>
    <t xml:space="preserve"> 100674 </t>
  </si>
  <si>
    <t>JANELA FIXA DE ALUMÍNIO PARA VIDRO, COM VIDRO, BATENTE E FERRAGENS. EXCLUSIVE ACABAMENTO, ALIZAR E CONTRAMARCO. FORNECIMENTO E INSTALAÇÃO. AF_12/2019</t>
  </si>
  <si>
    <t xml:space="preserve"> 14.19 </t>
  </si>
  <si>
    <t xml:space="preserve"> 94589 </t>
  </si>
  <si>
    <t>CONTRAMARCO DE ALUMÍNIO, FIXAÇÃO COM ARGAMASSA - FORNECIMENTO E INSTALAÇÃO. AF_12/2019</t>
  </si>
  <si>
    <t xml:space="preserve"> 14.20 </t>
  </si>
  <si>
    <t xml:space="preserve"> 12220 </t>
  </si>
  <si>
    <t>Portão/porta em alumínio cor N/B/P, de abrir, 02 fls, vazado, em tubo quadrado 3"x1.1/2" horizontais e engradado e 1.1/2"x1.1/2" verticais, com espaçamento de 12cm.</t>
  </si>
  <si>
    <t xml:space="preserve"> 14.21 </t>
  </si>
  <si>
    <t xml:space="preserve"> 8238 </t>
  </si>
  <si>
    <t>Gradil Nylofor 3D, malha 20x5cm, Ø 5mm 250x103 cm, pintura branca, Belgo ou similar, inclusive postes e acessórios</t>
  </si>
  <si>
    <t xml:space="preserve"> 14.22 </t>
  </si>
  <si>
    <t xml:space="preserve"> 90830 </t>
  </si>
  <si>
    <t>FECHADURA DE EMBUTIR COM CILINDRO, EXTERNA, COMPLETA, ACABAMENTO PADRÃO MÉDIO, INCLUSO EXECUÇÃO DE FURO - FORNECIMENTO E INSTALAÇÃO. AF_12/2019</t>
  </si>
  <si>
    <t xml:space="preserve"> 14.23 </t>
  </si>
  <si>
    <t xml:space="preserve"> 1770 </t>
  </si>
  <si>
    <t>Batente em madeira de lei l = 0,14 m (caixão), incluindo 02 jogos de alizar</t>
  </si>
  <si>
    <t>m</t>
  </si>
  <si>
    <t xml:space="preserve"> 15.1 </t>
  </si>
  <si>
    <t xml:space="preserve"> 86931 </t>
  </si>
  <si>
    <t>VASO SANITÁRIO SIFONADO COM CAIXA ACOPLADA LOUÇA BRANCA, INCLUSO ENGATE FLEXÍVEL EM PLÁSTICO BRANCO, 1/2  X 40CM - FORNECIMENTO E INSTALAÇÃO. AF_01/2020</t>
  </si>
  <si>
    <t xml:space="preserve"> 15.2 </t>
  </si>
  <si>
    <t xml:space="preserve"> 95472 </t>
  </si>
  <si>
    <t>VASO SANITARIO SIFONADO CONVENCIONAL PARA PCD SEM FURO FRONTAL COM LOUÇA BRANCA SEM ASSENTO, INCLUSO CONJUNTO DE LIGAÇÃO PARA BACIA SANITÁRIA AJUSTÁVEL - FORNECIMENTO E INSTALAÇÃO. AF_01/2020</t>
  </si>
  <si>
    <t xml:space="preserve"> 15.3 </t>
  </si>
  <si>
    <t xml:space="preserve"> 100849 </t>
  </si>
  <si>
    <t>ASSENTO SANITÁRIO CONVENCIONAL - FORNECIMENTO E INSTALACAO. AF_01/2020</t>
  </si>
  <si>
    <t xml:space="preserve"> 15.4 </t>
  </si>
  <si>
    <t xml:space="preserve"> 100868 </t>
  </si>
  <si>
    <t>BARRA DE APOIO RETA, EM ACO INOX POLIDO, COMPRIMENTO 80 CM,  FIXADA NA PAREDE - FORNECIMENTO E INSTALAÇÃO. AF_01/2020</t>
  </si>
  <si>
    <t xml:space="preserve"> 15.5 </t>
  </si>
  <si>
    <t xml:space="preserve"> 4807 </t>
  </si>
  <si>
    <t>Ducha cromada, DECA, linha duna 1984 C 61 ou similar</t>
  </si>
  <si>
    <t>un</t>
  </si>
  <si>
    <t xml:space="preserve"> 15.6 </t>
  </si>
  <si>
    <t xml:space="preserve"> 100860 </t>
  </si>
  <si>
    <t>CHUVEIRO ELÉTRICO COMUM CORPO PLÁSTICO, TIPO DUCHA  FORNECIMENTO E INSTALAÇÃO. AF_01/2020</t>
  </si>
  <si>
    <t xml:space="preserve"> 15.7 </t>
  </si>
  <si>
    <t xml:space="preserve"> 12128 </t>
  </si>
  <si>
    <t>Barra de apoio, para lavatório,fixa, constituida de duas barras laterais em "U", em aço inox,  d=1 1/4", Jackwal ou similar</t>
  </si>
  <si>
    <t xml:space="preserve"> 15.8 </t>
  </si>
  <si>
    <t xml:space="preserve"> 7350 </t>
  </si>
  <si>
    <t>Lavatório louça de canto (Deca-Izy, ref L-10117 ou similar) sem coluna, c/ sifão cromado, válvula cromada, engate cromado, exclusive torneira</t>
  </si>
  <si>
    <t xml:space="preserve"> 15.9 </t>
  </si>
  <si>
    <t xml:space="preserve"> 7352 </t>
  </si>
  <si>
    <t>Cuba de sobrepor oval (deca ref.L65), acabamento GE-17, com sifão cromado (astra ref SC5), engate cromado (deca), válvula cromada (deca ref1602)  ou similares, exclusive torneira</t>
  </si>
  <si>
    <t xml:space="preserve"> 15.10 </t>
  </si>
  <si>
    <t xml:space="preserve"> 86936 </t>
  </si>
  <si>
    <t>CUBA DE EMBUTIR DE AÇO INOXIDÁVEL MÉDIA, INCLUSO VÁLVULA TIPO AMERICANA E SIFÃO TIPO GARRAFA EM METAL CROMADO - FORNECIMENTO E INSTALAÇÃO. AF_01/2020</t>
  </si>
  <si>
    <t xml:space="preserve"> 15.11 </t>
  </si>
  <si>
    <t xml:space="preserve"> 86887 </t>
  </si>
  <si>
    <t>ENGATE FLEXÍVEL EM INOX, 1/2  X 40CM - FORNECIMENTO E INSTALAÇÃO. AF_01/2020</t>
  </si>
  <si>
    <t xml:space="preserve"> 15.12 </t>
  </si>
  <si>
    <t xml:space="preserve"> 86915 </t>
  </si>
  <si>
    <t>TORNEIRA CROMADA DE MESA, 1/2 OU 3/4, PARA LAVATÓRIO, PADRÃO MÉDIO - FORNECIMENTO E INSTALAÇÃO. AF_01/2020</t>
  </si>
  <si>
    <t xml:space="preserve"> 15.13 </t>
  </si>
  <si>
    <t xml:space="preserve"> 3696 </t>
  </si>
  <si>
    <t>Torneira cromada para pia de cozinha, de mesa, com articulador, 1/2", ref. 1167, da Deca ou similar</t>
  </si>
  <si>
    <t xml:space="preserve"> 15.14 </t>
  </si>
  <si>
    <t xml:space="preserve"> 00037400 </t>
  </si>
  <si>
    <t>PAPELEIRA PLASTICA TIPO DISPENSER PARA PAPEL HIGIENICO ROLAO</t>
  </si>
  <si>
    <t xml:space="preserve"> 15.15 </t>
  </si>
  <si>
    <t xml:space="preserve"> 00011758 </t>
  </si>
  <si>
    <t>SABONETEIRA PLASTICA TIPO DISPENSER PARA SABONETE LIQUIDO COM RESERVATORIO 800 A 1500 ML</t>
  </si>
  <si>
    <t xml:space="preserve"> 15.16 </t>
  </si>
  <si>
    <t xml:space="preserve"> 11150 </t>
  </si>
  <si>
    <t>Bancada em granito verde ubatuba, e = 2cm</t>
  </si>
  <si>
    <t xml:space="preserve"> 15.17 </t>
  </si>
  <si>
    <t xml:space="preserve"> 00037401 </t>
  </si>
  <si>
    <t>TOALHEIRO PLASTICO TIPO DISPENSER PARA PAPEL TOALHA INTERFOLHADO</t>
  </si>
  <si>
    <t xml:space="preserve"> 16.1 </t>
  </si>
  <si>
    <t xml:space="preserve"> sousa_0081 </t>
  </si>
  <si>
    <t>Filtro TP Jacuzzi: 12 TP - 25A - M2 220V - MONO (1/4 CV - ATÉ 2,5 M³/h)</t>
  </si>
  <si>
    <t>UND</t>
  </si>
  <si>
    <t xml:space="preserve"> 16.2 </t>
  </si>
  <si>
    <t xml:space="preserve"> sousa_0082 </t>
  </si>
  <si>
    <t>BOMBA SUBMERSIVA BCS-255 0.5 M 60 220V 4P</t>
  </si>
  <si>
    <t xml:space="preserve"> 16.3 </t>
  </si>
  <si>
    <t xml:space="preserve"> sousa_0083 </t>
  </si>
  <si>
    <t>BOMBA DE RECALQUE BC-92S 1B 3 M 60 1/2,RT143</t>
  </si>
  <si>
    <t xml:space="preserve"> 16.4 </t>
  </si>
  <si>
    <t xml:space="preserve"> 89987 </t>
  </si>
  <si>
    <t>REGISTRO DE GAVETA BRUTO, LATÃO, ROSCÁVEL, 3/4", COM ACABAMENTO E CANOPLA CROMADOS - FORNECIMENTO E INSTALAÇÃO. AF_08/2021</t>
  </si>
  <si>
    <t xml:space="preserve"> 16.5 </t>
  </si>
  <si>
    <t xml:space="preserve"> 103046 </t>
  </si>
  <si>
    <t>REGISTRO DE PRESSÃO, PVC, ROSCÁVEL, VOLANTE SIMPLES, 3/4" - FORNECIMENTO E INSTALAÇÃO. AF_08/2021</t>
  </si>
  <si>
    <t xml:space="preserve"> 16.6 </t>
  </si>
  <si>
    <t xml:space="preserve"> 103039 </t>
  </si>
  <si>
    <t>REGISTRO DE ESFERA, PVC, ROSCÁVEL, COM VOLANTE, 1 1/2" - FORNECIMENTO E INSTALAÇÃO. AF_08/2021</t>
  </si>
  <si>
    <t xml:space="preserve"> 16.7 </t>
  </si>
  <si>
    <t xml:space="preserve"> 99622 </t>
  </si>
  <si>
    <t>VÁLVULA DE RETENÇÃO HORIZONTAL, DE BRONZE, ROSCÁVEL, 1 1/2"  - FORNECIMENTO E INSTALAÇÃO. AF_08/2021</t>
  </si>
  <si>
    <t xml:space="preserve"> 16.8 </t>
  </si>
  <si>
    <t xml:space="preserve"> 73795/004 </t>
  </si>
  <si>
    <t>VÁLVULA DE RETENÇÃO VERTICAL Ø 40MM (1.1/2") - FORNECIMENTO E INSTALAÇÃO</t>
  </si>
  <si>
    <t xml:space="preserve"> 16.9 </t>
  </si>
  <si>
    <t xml:space="preserve"> 99630 </t>
  </si>
  <si>
    <t>VÁLVULA DE RETENÇÃO VERTICAL, DE BRONZE, ROSCÁVEL, 1 1/4" - FORNECIMENTO E INSTALAÇÃO. AF_08/2021</t>
  </si>
  <si>
    <t xml:space="preserve"> 16.10 </t>
  </si>
  <si>
    <t xml:space="preserve"> 94491 </t>
  </si>
  <si>
    <t>REGISTRO DE ESFERA, PVC, SOLDÁVEL, COM VOLANTE, DN  40 MM - FORNECIMENTO E INSTALAÇÃO. AF_08/2021</t>
  </si>
  <si>
    <t xml:space="preserve"> 16.11 </t>
  </si>
  <si>
    <t xml:space="preserve"> 94492 </t>
  </si>
  <si>
    <t>REGISTRO DE ESFERA, PVC, SOLDÁVEL, COM VOLANTE, DN  50 MM - FORNECIMENTO E INSTALAÇÃO. AF_08/2021</t>
  </si>
  <si>
    <t xml:space="preserve"> 16.12 </t>
  </si>
  <si>
    <t xml:space="preserve"> 94493 </t>
  </si>
  <si>
    <t>REGISTRO DE ESFERA, PVC, SOLDÁVEL, COM VOLANTE, DN  60 MM - FORNECIMENTO E INSTALAÇÃO. AF_08/2021</t>
  </si>
  <si>
    <t xml:space="preserve"> 16.13 </t>
  </si>
  <si>
    <t xml:space="preserve"> 91785 </t>
  </si>
  <si>
    <t>(COMPOSIÇÃO REPRESENTATIVA) DO SERVIÇO DE INSTALAÇÃO DE TUBOS DE PVC, SOLDÁVEL, ÁGUA FRIA, DN 25 MM (INSTALADO EM RAMAL, SUB-RAMAL, RAMAL DE DISTRIBUIÇÃO OU PRUMADA), INCLUSIVE CONEXÕES, CORTES E FIXAÇÕES, PARA PRÉDIOS. AF_10/2015</t>
  </si>
  <si>
    <t xml:space="preserve"> 16.14 </t>
  </si>
  <si>
    <t xml:space="preserve"> 91786 </t>
  </si>
  <si>
    <t>(COMPOSIÇÃO REPRESENTATIVA) DO SERVIÇO DE INSTALAÇÃO TUBOS DE PVC, SOLDÁVEL, ÁGUA FRIA, DN 32 MM (INSTALADO EM RAMAL, SUB-RAMAL, RAMAL DE DISTRIBUIÇÃO OU PRUMADA), INCLUSIVE CONEXÕES, CORTES E FIXAÇÕES, PARA PRÉDIOS. AF_10/2015</t>
  </si>
  <si>
    <t xml:space="preserve"> 16.15 </t>
  </si>
  <si>
    <t xml:space="preserve"> 91787 </t>
  </si>
  <si>
    <t>(COMPOSIÇÃO REPRESENTATIVA) DO SERVIÇO DE INSTALAÇÃO DE TUBOS DE PVC, SOLDÁVEL, ÁGUA FRIA, DN 40 MM (INSTALADO EM PRUMADA), INCLUSIVE CONEXÕES, CORTES E FIXAÇÕES, PARA PRÉDIOS. AF_10/2015</t>
  </si>
  <si>
    <t xml:space="preserve"> 16.16 </t>
  </si>
  <si>
    <t xml:space="preserve"> 91788 </t>
  </si>
  <si>
    <t>(COMPOSIÇÃO REPRESENTATIVA) DO SERVIÇO DE INSTALAÇÃO DE TUBOS DE PVC, SOLDÁVEL, ÁGUA FRIA, DN 50 MM (INSTALADO EM PRUMADA), INCLUSIVE CONEXÕES, CORTES E FIXAÇÕES, PARA PRÉDIOS. AF_10/2015</t>
  </si>
  <si>
    <t xml:space="preserve"> 16.17 </t>
  </si>
  <si>
    <t xml:space="preserve"> 91789 </t>
  </si>
  <si>
    <t>(COMPOSIÇÃO REPRESENTATIVA) DO SERVIÇO DE INSTALAÇÃO DE TUBOS DE PVC, SÉRIE R, ÁGUA PLUVIAL, DN 75 MM (INSTALADO EM RAMAL DE ENCAMINHAMENTO, OU CONDUTORES VERTICAIS), INCLUSIVE CONEXÕES, CORTE E FIXAÇÕES, PARA PRÉDIOS. AF_10/2015</t>
  </si>
  <si>
    <t xml:space="preserve"> 16.18 </t>
  </si>
  <si>
    <t xml:space="preserve"> 102619 </t>
  </si>
  <si>
    <t>CAIXA D´ÁGUA EM POLIÉSTER REFORÇADO COM FIBRA DE VIDRO, 10000 LITROS - FORNECIMENTO E INSTALAÇÃO. AF_06/2021</t>
  </si>
  <si>
    <t xml:space="preserve"> 17.1 </t>
  </si>
  <si>
    <t xml:space="preserve"> 91795 </t>
  </si>
  <si>
    <t>(COMPOSIÇÃO REPRESENTATIVA) DO SERVIÇO DE INST. TUBO PVC, SÉRIE N, ESGOTO PREDIAL, 100 MM (INST. RAMAL DESCARGA, RAMAL DE ESG. SANIT., PRUMADA ESG. SANIT., VENTILAÇÃO OU SUB-COLETOR AÉREO), INCL. CONEXÕES E CORTES, FIXAÇÕES, P/ PRÉDIOS. AF_10/2015</t>
  </si>
  <si>
    <t xml:space="preserve"> 17.2 </t>
  </si>
  <si>
    <t xml:space="preserve"> 91794 </t>
  </si>
  <si>
    <t>(COMPOSIÇÃO REPRESENTATIVA) DO SERVIÇO DE INST. TUBO PVC, SÉRIE N, ESGOTO PREDIAL, DN 75 MM, (INST. EM RAMAL DE DESCARGA, RAMAL DE ESG. SANITÁRIO, PRUMADA DE ESG. SANITÁRIO OU VENTILAÇÃO), INCL. CONEXÕES, CORTES E FIXAÇÕES, P/ PRÉDIOS. AF_10/2015</t>
  </si>
  <si>
    <t xml:space="preserve"> 17.3 </t>
  </si>
  <si>
    <t xml:space="preserve"> 91793 </t>
  </si>
  <si>
    <t>(COMPOSIÇÃO REPRESENTATIVA) DO SERVIÇO DE INSTALAÇÃO DE TUBO DE PVC, SÉRIE NORMAL, ESGOTO PREDIAL, DN 50 MM (INSTALADO EM RAMAL DE DESCARGA OU RAMAL DE ESGOTO SANITÁRIO), INCLUSIVE CONEXÕES, CORTES E FIXAÇÕES PARA, PRÉDIOS. AF_10/2015</t>
  </si>
  <si>
    <t xml:space="preserve"> 17.4 </t>
  </si>
  <si>
    <t xml:space="preserve"> 91792 </t>
  </si>
  <si>
    <t>(COMPOSIÇÃO REPRESENTATIVA) DO SERVIÇO DE INSTALAÇÃO DE TUBO DE PVC, SÉRIE NORMAL, ESGOTO PREDIAL, DN 40 MM (INSTALADO EM RAMAL DE DESCARGA OU RAMAL DE ESGOTO SANITÁRIO), INCLUSIVE CONEXÕES, CORTES E FIXAÇÕES, PARA PRÉDIOS. AF_10/2015</t>
  </si>
  <si>
    <t xml:space="preserve"> 17.5 </t>
  </si>
  <si>
    <t xml:space="preserve"> 97906 </t>
  </si>
  <si>
    <t>CAIXA ENTERRADA HIDRÁULICA RETANGULAR, EM ALVENARIA COM BLOCOS DE CONCRETO, DIMENSÕES INTERNAS: 0,6X0,6X0,6 M PARA REDE DE ESGOTO. AF_12/2020</t>
  </si>
  <si>
    <t xml:space="preserve"> 17.6 </t>
  </si>
  <si>
    <t xml:space="preserve"> 00011737 </t>
  </si>
  <si>
    <t>PROLONGAMENTO / PROLONGADOR PARA CAIXA SIFONADA, PVC, 150 MM X 150 MM (NBR 5688)</t>
  </si>
  <si>
    <t xml:space="preserve"> 17.7 </t>
  </si>
  <si>
    <t xml:space="preserve"> 98110 </t>
  </si>
  <si>
    <t>CAIXA DE GORDURA PEQUENA (CAPACIDADE: 19 L), CIRCULAR, EM PVC, DIÂMETRO INTERNO= 0,3 M. AF_12/2020</t>
  </si>
  <si>
    <t xml:space="preserve"> 17.8 </t>
  </si>
  <si>
    <t xml:space="preserve"> 00011731 </t>
  </si>
  <si>
    <t>GRELHA FIXA, EM PVC BRANCA, QUADRADA, 150 X 150 MM, PARA RALOS E CAIXAS</t>
  </si>
  <si>
    <t xml:space="preserve"> 17.9 </t>
  </si>
  <si>
    <t xml:space="preserve"> 90702 </t>
  </si>
  <si>
    <t>TUBO DE PVC CORRUGADO DE DUPLA PAREDE PARA REDE COLETORA DE ESGOTO, DN 200 MM, JUNTA ELÁSTICA - FORNECIMENTO E ASSENTAMENTO. AF_01/2021</t>
  </si>
  <si>
    <t xml:space="preserve"> 18.1 </t>
  </si>
  <si>
    <t xml:space="preserve"> 18.2 </t>
  </si>
  <si>
    <t xml:space="preserve"> 89482 </t>
  </si>
  <si>
    <t>CAIXA SIFONADA, PVC, DN 100 X 100 X 50 MM, FORNECIDA E INSTALADA EM RAMAIS DE ENCAMINHAMENTO DE ÁGUA PLUVIAL. AF_06/2022</t>
  </si>
  <si>
    <t xml:space="preserve"> 18.3 </t>
  </si>
  <si>
    <t xml:space="preserve"> 18.4 </t>
  </si>
  <si>
    <t xml:space="preserve"> 98108 </t>
  </si>
  <si>
    <t>CAIXA DE GORDURA DUPLA (CAPACIDADE: 126 L), RETANGULAR, EM ALVENARIA COM BLOCOS DE CONCRETO, DIMENSÕES INTERNAS = 0,4X0,7 M, ALTURA INTERNA = 0,8 M. AF_12/2020</t>
  </si>
  <si>
    <t xml:space="preserve"> 18.5 </t>
  </si>
  <si>
    <t xml:space="preserve"> 00011708 </t>
  </si>
  <si>
    <t>RALO FOFO SEMIESFERICO, 100 MM, PARA LAJES/ CALHAS</t>
  </si>
  <si>
    <t xml:space="preserve"> 19.1 </t>
  </si>
  <si>
    <t xml:space="preserve"> 91924 </t>
  </si>
  <si>
    <t>CABO DE COBRE FLEXÍVEL ISOLADO, 1,5 MM², ANTI-CHAMA 450/750 V, PARA CIRCUITOS TERMINAIS - FORNECIMENTO E INSTALAÇÃO. AF_12/2015</t>
  </si>
  <si>
    <t xml:space="preserve"> 19.2 </t>
  </si>
  <si>
    <t xml:space="preserve"> 91926 </t>
  </si>
  <si>
    <t>CABO DE COBRE FLEXÍVEL ISOLADO, 2,5 MM², ANTI-CHAMA 450/750 V, PARA CIRCUITOS TERMINAIS - FORNECIMENTO E INSTALAÇÃO. AF_12/2015</t>
  </si>
  <si>
    <t xml:space="preserve"> 19.3 </t>
  </si>
  <si>
    <t xml:space="preserve"> 91928 </t>
  </si>
  <si>
    <t>CABO DE COBRE FLEXÍVEL ISOLADO, 4 MM², ANTI-CHAMA 450/750 V, PARA CIRCUITOS TERMINAIS - FORNECIMENTO E INSTALAÇÃO. AF_12/2015</t>
  </si>
  <si>
    <t xml:space="preserve"> 19.4 </t>
  </si>
  <si>
    <t xml:space="preserve"> 91930 </t>
  </si>
  <si>
    <t>CABO DE COBRE FLEXÍVEL ISOLADO, 6 MM², ANTI-CHAMA 450/750 V, PARA CIRCUITOS TERMINAIS - FORNECIMENTO E INSTALAÇÃO. AF_12/2015</t>
  </si>
  <si>
    <t xml:space="preserve"> 19.5 </t>
  </si>
  <si>
    <t xml:space="preserve"> 92982 </t>
  </si>
  <si>
    <t>CABO DE COBRE FLEXÍVEL ISOLADO, 16 MM², ANTI-CHAMA 0,6/1,0 KV, PARA DISTRIBUIÇÃO - FORNECIMENTO E INSTALAÇÃO. AF_12/2015</t>
  </si>
  <si>
    <t xml:space="preserve"> 19.6 </t>
  </si>
  <si>
    <t xml:space="preserve"> 00002622 </t>
  </si>
  <si>
    <t>CURVA 135 GRAUS, PARA ELETRODUTO, EM ACO GALVANIZADO ELETROLITICO, DIAMETRO DE 15 MM (1/2")</t>
  </si>
  <si>
    <t xml:space="preserve"> 19.7 </t>
  </si>
  <si>
    <t xml:space="preserve"> 00039274 </t>
  </si>
  <si>
    <t>CURVA 135 GRAUS, DE PVC RIGIDO ROSCAVEL, DE 3/4", PARA ELETRODUTO</t>
  </si>
  <si>
    <t xml:space="preserve"> 19.8 </t>
  </si>
  <si>
    <t xml:space="preserve"> 00039271 </t>
  </si>
  <si>
    <t>CURVA 90 GRAUS, CURTA, DE PVC RIGIDO ROSCAVEL, DE 1/2", PARA ELETRODUTO</t>
  </si>
  <si>
    <t xml:space="preserve"> 19.9 </t>
  </si>
  <si>
    <t xml:space="preserve"> 00039272 </t>
  </si>
  <si>
    <t>CURVA 90 GRAUS, CURTA, DE PVC RIGIDO ROSCAVEL, DE 3/4", PARA ELETRODUTO</t>
  </si>
  <si>
    <t xml:space="preserve"> 19.10 </t>
  </si>
  <si>
    <t xml:space="preserve"> 00039273 </t>
  </si>
  <si>
    <t>CURVA 90 GRAUS, CURTA, DE PVC RIGIDO ROSCAVEL, DE 1", PARA ELETRODUTO</t>
  </si>
  <si>
    <t xml:space="preserve"> 19.11 </t>
  </si>
  <si>
    <t xml:space="preserve"> 00001874 </t>
  </si>
  <si>
    <t>CURVA 90 GRAUS, LONGA, DE PVC RIGIDO ROSCAVEL, DE 1 1/4", PARA ELETRODUTO</t>
  </si>
  <si>
    <t xml:space="preserve"> 19.12 </t>
  </si>
  <si>
    <t xml:space="preserve"> 00001875 </t>
  </si>
  <si>
    <t>CURVA 90 GRAUS, LONGA, DE PVC RIGIDO ROSCAVEL, DE 1 1/2", PARA ELETRODUTO</t>
  </si>
  <si>
    <t xml:space="preserve"> 19.13 </t>
  </si>
  <si>
    <t xml:space="preserve"> 91955 </t>
  </si>
  <si>
    <t>INTERRUPTOR PARALELO (1 MÓDULO), 10A/250V, INCLUINDO SUPORTE E PLACA - FORNECIMENTO E INSTALAÇÃO. AF_12/2015</t>
  </si>
  <si>
    <t xml:space="preserve"> 19.14 </t>
  </si>
  <si>
    <t xml:space="preserve"> 91953 </t>
  </si>
  <si>
    <t>INTERRUPTOR SIMPLES (1 MÓDULO), 10A/250V, INCLUINDO SUPORTE E PLACA - FORNECIMENTO E INSTALAÇÃO. AF_12/2015</t>
  </si>
  <si>
    <t xml:space="preserve"> 19.15 </t>
  </si>
  <si>
    <t xml:space="preserve"> 91959 </t>
  </si>
  <si>
    <t>INTERRUPTOR SIMPLES (2 MÓDULOS), 10A/250V, INCLUINDO SUPORTE E PLACA - FORNECIMENTO E INSTALAÇÃO. AF_12/2015</t>
  </si>
  <si>
    <t xml:space="preserve"> 19.16 </t>
  </si>
  <si>
    <t xml:space="preserve"> 92023 </t>
  </si>
  <si>
    <t>INTERRUPTOR SIMPLES (1 MÓDULO) COM 1 TOMADA DE EMBUTIR 2P+T 10 A,  INCLUINDO SUPORTE E PLACA - FORNECIMENTO E INSTALAÇÃO. AF_12/2015</t>
  </si>
  <si>
    <t xml:space="preserve"> 19.17 </t>
  </si>
  <si>
    <t xml:space="preserve"> 91940 </t>
  </si>
  <si>
    <t>CAIXA RETANGULAR 4" X 2" MÉDIA (1,30 M DO PISO), PVC, INSTALADA EM PAREDE - FORNECIMENTO E INSTALAÇÃO. AF_12/2015</t>
  </si>
  <si>
    <t xml:space="preserve"> 19.18 </t>
  </si>
  <si>
    <t xml:space="preserve"> 97593 </t>
  </si>
  <si>
    <t>LUMINÁRIA TIPO SPOT, DE SOBREPOR, COM 1 LÂMPADA FLUORESCENTE DE 15 W, SEM REATOR - FORNECIMENTO E INSTALAÇÃO. AF_02/2020</t>
  </si>
  <si>
    <t xml:space="preserve"> 19.19 </t>
  </si>
  <si>
    <t xml:space="preserve"> 103782 </t>
  </si>
  <si>
    <t>LUMINÁRIA TIPO PLAFON CIRCULAR, DE SOBREPOR, COM LED DE 12/13 W - FORNECIMENTO E INSTALAÇÃO. AF_03/2022</t>
  </si>
  <si>
    <t xml:space="preserve"> 19.20 </t>
  </si>
  <si>
    <t xml:space="preserve"> 101876 </t>
  </si>
  <si>
    <t>QUADRO DE DISTRIBUIÇÃO DE ENERGIA EM PVC, DE EMBUTIR, SEM BARRAMENTO, PARA 6 DISJUNTORES - FORNECIMENTO E INSTALAÇÃO. AF_10/2020</t>
  </si>
  <si>
    <t xml:space="preserve"> 19.21 </t>
  </si>
  <si>
    <t xml:space="preserve"> 101875 </t>
  </si>
  <si>
    <t>QUADRO DE DISTRIBUIÇÃO DE ENERGIA EM CHAPA DE AÇO GALVANIZADO, DE EMBUTIR, COM BARRAMENTO TRIFÁSICO, PARA 12 DISJUNTORES DIN 100A - FORNECIMENTO E INSTALAÇÃO. AF_10/2020</t>
  </si>
  <si>
    <t xml:space="preserve"> 19.22 </t>
  </si>
  <si>
    <t xml:space="preserve"> 101883 </t>
  </si>
  <si>
    <t>QUADRO DE DISTRIBUIÇÃO DE ENERGIA EM CHAPA DE AÇO GALVANIZADO, DE EMBUTIR, COM BARRAMENTO TRIFÁSICO, PARA 18 DISJUNTORES DIN 100A - FORNECIMENTO E INSTALAÇÃO. AF_10/2020</t>
  </si>
  <si>
    <t xml:space="preserve"> 19.23 </t>
  </si>
  <si>
    <t xml:space="preserve"> 101881 </t>
  </si>
  <si>
    <t>QUADRO DE DISTRIBUIÇÃO DE ENERGIA EM CHAPA DE AÇO GALVANIZADO, DE EMBUTIR, COM BARRAMENTO TRIFÁSICO, PARA 40 DISJUNTORES DIN 100A - FORNECIMENTO E INSTALAÇÃO. AF_10/2020</t>
  </si>
  <si>
    <t xml:space="preserve"> 19.24 </t>
  </si>
  <si>
    <t xml:space="preserve"> 97595 </t>
  </si>
  <si>
    <t>SENSOR DE PRESENÇA COM FOTOCÉLULA, FIXAÇÃO EM PAREDE - FORNECIMENTO E INSTALAÇÃO. AF_02/2020</t>
  </si>
  <si>
    <t xml:space="preserve"> 19.25 </t>
  </si>
  <si>
    <t xml:space="preserve"> 92004 </t>
  </si>
  <si>
    <t>TOMADA MÉDIA DE EMBUTIR (2 MÓDULOS), 2P+T 10 A, INCLUINDO SUPORTE E PLACA - FORNECIMENTO E INSTALAÇÃO. AF_12/2015</t>
  </si>
  <si>
    <t xml:space="preserve"> 19.26 </t>
  </si>
  <si>
    <t xml:space="preserve"> 91997 </t>
  </si>
  <si>
    <t>TOMADA MÉDIA DE EMBUTIR (1 MÓDULO), 2P+T 20 A, INCLUINDO SUPORTE E PLACA - FORNECIMENTO E INSTALAÇÃO. AF_12/2015</t>
  </si>
  <si>
    <t xml:space="preserve"> 19.27 </t>
  </si>
  <si>
    <t xml:space="preserve"> 19.28 </t>
  </si>
  <si>
    <t xml:space="preserve"> 92012 </t>
  </si>
  <si>
    <t>TOMADA MÉDIA DE EMBUTIR (3 MÓDULOS), 2P+T 10 A, INCLUINDO SUPORTE E PLACA - FORNECIMENTO E INSTALAÇÃO. AF_12/2015</t>
  </si>
  <si>
    <t xml:space="preserve"> 19.29 </t>
  </si>
  <si>
    <t xml:space="preserve"> 98307 </t>
  </si>
  <si>
    <t>TOMADA DE REDE RJ45 - FORNECIMENTO E INSTALAÇÃO. AF_11/2019</t>
  </si>
  <si>
    <t xml:space="preserve"> 19.30 </t>
  </si>
  <si>
    <t xml:space="preserve"> 91862 </t>
  </si>
  <si>
    <t>ELETRODUTO RÍGIDO ROSCÁVEL, PVC, DN 20 MM (1/2"), PARA CIRCUITOS TERMINAIS, INSTALADO EM FORRO - FORNECIMENTO E INSTALAÇÃO. AF_12/2015</t>
  </si>
  <si>
    <t xml:space="preserve"> 19.31 </t>
  </si>
  <si>
    <t xml:space="preserve"> 91863 </t>
  </si>
  <si>
    <t>ELETRODUTO RÍGIDO ROSCÁVEL, PVC, DN 25 MM (3/4"), PARA CIRCUITOS TERMINAIS, INSTALADO EM FORRO - FORNECIMENTO E INSTALAÇÃO. AF_12/2015</t>
  </si>
  <si>
    <t xml:space="preserve"> 19.32 </t>
  </si>
  <si>
    <t xml:space="preserve"> 91872 </t>
  </si>
  <si>
    <t>ELETRODUTO RÍGIDO ROSCÁVEL, PVC, DN 32 MM (1"), PARA CIRCUITOS TERMINAIS, INSTALADO EM PAREDE - FORNECIMENTO E INSTALAÇÃO. AF_12/2015</t>
  </si>
  <si>
    <t xml:space="preserve"> 19.33 </t>
  </si>
  <si>
    <t xml:space="preserve"> 91869 </t>
  </si>
  <si>
    <t>ELETRODUTO RÍGIDO ROSCÁVEL, PVC, DN 40 MM (1 1/4"), PARA CIRCUITOS TERMINAIS, INSTALADO EM LAJE - FORNECIMENTO E INSTALAÇÃO. AF_12/2015</t>
  </si>
  <si>
    <t xml:space="preserve"> 19.34 </t>
  </si>
  <si>
    <t xml:space="preserve"> 93008 </t>
  </si>
  <si>
    <t>ELETRODUTO RÍGIDO ROSCÁVEL, PVC, DN 50 MM (1 1/2"), PARA REDE ENTERRADA DE DISTRIBUIÇÃO DE ENERGIA ELÉTRICA - FORNECIMENTO E INSTALAÇÃO. AF_12/2021</t>
  </si>
  <si>
    <t xml:space="preserve"> 19.35 </t>
  </si>
  <si>
    <t xml:space="preserve"> 762 </t>
  </si>
  <si>
    <t>Fornecimento e instalação de eletrocalha perfurada 100 x   50 x 3000 mm (ref. mopa ou similar)</t>
  </si>
  <si>
    <t xml:space="preserve"> 19.36 </t>
  </si>
  <si>
    <t xml:space="preserve"> 8740 </t>
  </si>
  <si>
    <t>Fornecimento e instalação de eletrocalha metálica  75 x  75 x 3000 mm (ref. vl 3.01 ge 75/50 valemam ou similar)</t>
  </si>
  <si>
    <t xml:space="preserve"> 19.37 </t>
  </si>
  <si>
    <t xml:space="preserve"> 93653 </t>
  </si>
  <si>
    <t>DISJUNTOR MONOPOLAR TIPO DIN, CORRENTE NOMINAL DE 10A - FORNECIMENTO E INSTALAÇÃO. AF_10/2020</t>
  </si>
  <si>
    <t xml:space="preserve"> 19.38 </t>
  </si>
  <si>
    <t xml:space="preserve"> 93654 </t>
  </si>
  <si>
    <t>DISJUNTOR MONOPOLAR TIPO DIN, CORRENTE NOMINAL DE 16A - FORNECIMENTO E INSTALAÇÃO. AF_10/2020</t>
  </si>
  <si>
    <t xml:space="preserve"> 19.39 </t>
  </si>
  <si>
    <t xml:space="preserve"> 93655 </t>
  </si>
  <si>
    <t>DISJUNTOR MONOPOLAR TIPO DIN, CORRENTE NOMINAL DE 20A - FORNECIMENTO E INSTALAÇÃO. AF_10/2020</t>
  </si>
  <si>
    <t xml:space="preserve"> 19.40 </t>
  </si>
  <si>
    <t xml:space="preserve"> 93657 </t>
  </si>
  <si>
    <t>DISJUNTOR MONOPOLAR TIPO DIN, CORRENTE NOMINAL DE 32A - FORNECIMENTO E INSTALAÇÃO. AF_10/2020</t>
  </si>
  <si>
    <t xml:space="preserve"> 19.41 </t>
  </si>
  <si>
    <t xml:space="preserve"> 93668 </t>
  </si>
  <si>
    <t>DISJUNTOR TRIPOLAR TIPO DIN, CORRENTE NOMINAL DE 16A - FORNECIMENTO E INSTALAÇÃO. AF_10/2020</t>
  </si>
  <si>
    <t xml:space="preserve"> 19.42 </t>
  </si>
  <si>
    <t xml:space="preserve"> 93669 </t>
  </si>
  <si>
    <t>DISJUNTOR TRIPOLAR TIPO DIN, CORRENTE NOMINAL DE 20A - FORNECIMENTO E INSTALAÇÃO. AF_10/2020</t>
  </si>
  <si>
    <t xml:space="preserve"> 19.43 </t>
  </si>
  <si>
    <t xml:space="preserve"> 93672 </t>
  </si>
  <si>
    <t>DISJUNTOR TRIPOLAR TIPO DIN, CORRENTE NOMINAL DE 40A - FORNECIMENTO E INSTALAÇÃO. AF_10/2020</t>
  </si>
  <si>
    <t xml:space="preserve"> 19.44 </t>
  </si>
  <si>
    <t xml:space="preserve"> 101894 </t>
  </si>
  <si>
    <t>DISJUNTOR TRIPOLAR TIPO NEMA, CORRENTE NOMINAL DE 60 ATÉ 100A - FORNECIMENTO E INSTALAÇÃO. AF_10/2020</t>
  </si>
  <si>
    <t xml:space="preserve"> 19.45 </t>
  </si>
  <si>
    <t xml:space="preserve"> 100623 </t>
  </si>
  <si>
    <t>POSTE DE AÇO CONICO CONTÍNUO CURVO DUPLO, ENGASTADO, H=9M, INCLUSIVE LUMINÁRIAS, SEM LÂMPADAS - FORNECIMENTO E INSTALACAO. AF_11/2019</t>
  </si>
  <si>
    <t xml:space="preserve"> 19.46 </t>
  </si>
  <si>
    <t xml:space="preserve"> 101657 </t>
  </si>
  <si>
    <t>LUMINÁRIA DE LED PARA ILUMINAÇÃO PÚBLICA, DE 98 W ATÉ 137 W - FORNECIMENTO E INSTALAÇÃO. AF_08/2020</t>
  </si>
  <si>
    <t xml:space="preserve"> 19.47 </t>
  </si>
  <si>
    <t xml:space="preserve"> 00039586 </t>
  </si>
  <si>
    <t>GRUPO GERADOR DIESEL, COM CARENAGEM, POTENCIA STANDART ENTRE 140 E 150 KVA, VELOCIDADE DE 1800 RPM, FREQUENCIA DE 60 HZ</t>
  </si>
  <si>
    <t xml:space="preserve"> 19.48 </t>
  </si>
  <si>
    <t xml:space="preserve"> 97881 </t>
  </si>
  <si>
    <t>CAIXA ENTERRADA ELÉTRICA RETANGULAR, EM CONCRETO PRÉ-MOLDADO, FUNDO COM BRITA, DIMENSÕES INTERNAS: 0,3X0,3X0,3 M. AF_12/2020</t>
  </si>
  <si>
    <t xml:space="preserve"> 19.49 </t>
  </si>
  <si>
    <t xml:space="preserve"> 101632 </t>
  </si>
  <si>
    <t>RELÉ FOTOELÉTRICO PARA COMANDO DE ILUMINAÇÃO EXTERNA 1000 W - FORNECIMENTO E INSTALAÇÃO. AF_08/2020</t>
  </si>
  <si>
    <t xml:space="preserve"> 19.50 </t>
  </si>
  <si>
    <t xml:space="preserve"> 101510 </t>
  </si>
  <si>
    <t>ENTRADA DE ENERGIA ELÉTRICA, AÉREA, TRIFÁSICA, COM CAIXA DE EMBUTIR, CABO DE 16 MM2 E DISJUNTOR DIN 50A (NÃO INCLUSO O POSTE DE CONCRETO). AF_07/2020</t>
  </si>
  <si>
    <t xml:space="preserve"> 19.51 </t>
  </si>
  <si>
    <t xml:space="preserve"> 96985 </t>
  </si>
  <si>
    <t>HASTE DE ATERRAMENTO 5/8  PARA SPDA - FORNECIMENTO E INSTALAÇÃO. AF_12/2017</t>
  </si>
  <si>
    <t xml:space="preserve"> 20.1 </t>
  </si>
  <si>
    <t xml:space="preserve"> 20.2 </t>
  </si>
  <si>
    <t xml:space="preserve"> 00003380 </t>
  </si>
  <si>
    <t>HASTE DE ATERRAMENTO EM ACO COM 3,00 M DE COMPRIMENTO E DN = 5/8", REVESTIDA COM BAIXA CAMADA DE COBRE, COM CONECTOR TIPO GRAMPO</t>
  </si>
  <si>
    <t xml:space="preserve"> 20.3 </t>
  </si>
  <si>
    <t xml:space="preserve"> 98111 </t>
  </si>
  <si>
    <t>CAIXA DE INSPEÇÃO PARA ATERRAMENTO, CIRCULAR, EM POLIETILENO, DIÂMETRO INTERNO = 0,3 M. AF_12/2020</t>
  </si>
  <si>
    <t xml:space="preserve"> 20.4 </t>
  </si>
  <si>
    <t xml:space="preserve"> 00000393 </t>
  </si>
  <si>
    <t>ABRACADEIRA EM ACO PARA AMARRACAO DE ELETRODUTOS, TIPO D, COM 1" E PARAFUSO DE FIXACAO</t>
  </si>
  <si>
    <t xml:space="preserve"> 20.5 </t>
  </si>
  <si>
    <t xml:space="preserve"> 11273 </t>
  </si>
  <si>
    <t>Caixa de equipotencialização em aço 200x200x90mm, para embutir com tampa, com 9 terminais, ref:TEL-901 ou similar (SPDA)</t>
  </si>
  <si>
    <t xml:space="preserve"> 20.6 </t>
  </si>
  <si>
    <t xml:space="preserve"> 95806 </t>
  </si>
  <si>
    <t>CONDULETE DE PVC, TIPO B, PARA ELETRODUTO DE PVC SOLDÁVEL DN 32 MM (1''), APARENTE - FORNECIMENTO E INSTALAÇÃO. AF_11/2016</t>
  </si>
  <si>
    <t xml:space="preserve"> 20.7 </t>
  </si>
  <si>
    <t xml:space="preserve"> 10694 </t>
  </si>
  <si>
    <t>Conector em latão tipo minigar para cabos 16 - 50 mm² (SPDA)</t>
  </si>
  <si>
    <t xml:space="preserve"> 20.8 </t>
  </si>
  <si>
    <t xml:space="preserve"> 00001563 </t>
  </si>
  <si>
    <t>CONECTOR METALICO TIPO PARAFUSO FENDIDO (SPLIT BOLT), COM SEPARADOR DE CABOS BIMETALICOS, PARA CABOS ATE 70 MM2</t>
  </si>
  <si>
    <t xml:space="preserve"> 20.9 </t>
  </si>
  <si>
    <t xml:space="preserve"> 00011862 </t>
  </si>
  <si>
    <t>CONECTOR METALICO TIPO PARAFUSO FENDIDO (SPLIT BOLT), PARA CABOS ATE 50 MM2</t>
  </si>
  <si>
    <t xml:space="preserve"> 20.10 </t>
  </si>
  <si>
    <t xml:space="preserve"> 20.11 </t>
  </si>
  <si>
    <t xml:space="preserve"> 00041425 </t>
  </si>
  <si>
    <t>MINICAPTOR, EM ACO GALVANIZADO A FOGO, FIXACAO HORIZONTAL DE 1 FUROS, SEM BANDEIRA, H=300 MM X DN=10 MM</t>
  </si>
  <si>
    <t xml:space="preserve"> 20.12 </t>
  </si>
  <si>
    <t xml:space="preserve"> 00004276 </t>
  </si>
  <si>
    <t>PARA-RAIOS DE DISTRIBUICAO, TENSAO NOMINAL 15 KV, CORRENTE NOMINAL DE DESCARGA 5 KA</t>
  </si>
  <si>
    <t xml:space="preserve"> 20.13 </t>
  </si>
  <si>
    <t xml:space="preserve"> 00040552 </t>
  </si>
  <si>
    <t>PARAFUSO, AUTO ATARRACHANTE, CABECA CHATA, FENDA SIMPLES, 1/4 (6,35 MM) X 25 MM</t>
  </si>
  <si>
    <t>CENTO</t>
  </si>
  <si>
    <t xml:space="preserve"> 20.14 </t>
  </si>
  <si>
    <t xml:space="preserve"> 00004300 </t>
  </si>
  <si>
    <t>PARAFUSO ZINCADO ROSCA SOBERBA, CABECA SEXTAVADA, 5/16 " X 50 MM, PARA FIXACAO DE TELHA EM MADEIRA</t>
  </si>
  <si>
    <t xml:space="preserve"> 20.15 </t>
  </si>
  <si>
    <t xml:space="preserve"> 11006 </t>
  </si>
  <si>
    <t>Presilha de latão, L=20mm, para fixação de cabos de cobre, furo d=5mm, para cabos 16mm² a 25mm², ref:TEL-743 ou similar (SPDA)</t>
  </si>
  <si>
    <t xml:space="preserve"> 20.16 </t>
  </si>
  <si>
    <t xml:space="preserve"> 10693 </t>
  </si>
  <si>
    <t>Suporte guia reforçado 90º em chapa galvanizada c/ 2 roldanas ref:TEL-290 - SPDA</t>
  </si>
  <si>
    <t xml:space="preserve"> 20.17 </t>
  </si>
  <si>
    <t xml:space="preserve"> 8795 </t>
  </si>
  <si>
    <t>Terminal aéreo em aço galvanizado 3/8" x 50cm, com fixação horizontal</t>
  </si>
  <si>
    <t xml:space="preserve"> 20.18 </t>
  </si>
  <si>
    <t xml:space="preserve"> 96973 </t>
  </si>
  <si>
    <t>CORDOALHA DE COBRE NU 35 MM², NÃO ENTERRADA, COM ISOLADOR - FORNECIMENTO E INSTALAÇÃO. AF_12/2017</t>
  </si>
  <si>
    <t xml:space="preserve"> 20.19 </t>
  </si>
  <si>
    <t xml:space="preserve"> 96977 </t>
  </si>
  <si>
    <t>CORDOALHA DE COBRE NU 50 MM², ENTERRADA, SEM ISOLADOR - FORNECIMENTO E INSTALAÇÃO. AF_12/2017</t>
  </si>
  <si>
    <t xml:space="preserve"> 20.20 </t>
  </si>
  <si>
    <t xml:space="preserve"> 21.1 </t>
  </si>
  <si>
    <t xml:space="preserve"> 98593 </t>
  </si>
  <si>
    <t>PATCH PANEL 48 PORTAS, CATEGORIA 5E - FORNECIMENTO E INSTALAÇÃO. AF_11/2019</t>
  </si>
  <si>
    <t xml:space="preserve"> 21.2 </t>
  </si>
  <si>
    <t xml:space="preserve"> 00039598 </t>
  </si>
  <si>
    <t>CABO DE REDE, PAR TRANCADO U/UTP, 4 PARES, CATEGORIA 5E (CAT 5E), ISOLAMENTO PVC (LSZH)</t>
  </si>
  <si>
    <t xml:space="preserve"> 21.3 </t>
  </si>
  <si>
    <t xml:space="preserve"> 98308 </t>
  </si>
  <si>
    <t>TOMADA PARA TELEFONE RJ11 - FORNECIMENTO E INSTALAÇÃO. AF_11/2019</t>
  </si>
  <si>
    <t xml:space="preserve"> 21.4 </t>
  </si>
  <si>
    <t xml:space="preserve"> 21.5 </t>
  </si>
  <si>
    <t xml:space="preserve"> 98283 </t>
  </si>
  <si>
    <t>CABO TELEFÔNICO CCI-50 4 PARES, SEM BLINDAGEM, INSTALADO EM DISTRIBUIÇÃO DE EDIFICAÇÃO RESIDENCIAL - FORNECIMENTO E INSTALAÇÃO. AF_11/2019</t>
  </si>
  <si>
    <t xml:space="preserve"> 21.6 </t>
  </si>
  <si>
    <t xml:space="preserve"> 100560 </t>
  </si>
  <si>
    <t>QUADRO DE DISTRIBUIÇÃO PARA TELEFONE N.2, 20X20X12CM EM CHAPA METALICA, DE EMBUTIR, SEM ACESSORIOS, PADRÃO TELEBRAS, FORNECIMENTO E INSTALAÇÃO. AF_11/2019</t>
  </si>
  <si>
    <t xml:space="preserve"> 21.7 </t>
  </si>
  <si>
    <t xml:space="preserve"> 100561 </t>
  </si>
  <si>
    <t>QUADRO DE DISTRIBUICAO PARA TELEFONE N.3, 40X40X12CM EM CHAPA METALICA, DE EMBUTIR, SEM ACESSORIOS, PADRAO TELEBRAS, FORNECIMENTO E INSTALAÇÃO. AF_11/2019</t>
  </si>
  <si>
    <t xml:space="preserve"> 21.8 </t>
  </si>
  <si>
    <t xml:space="preserve"> 92868 </t>
  </si>
  <si>
    <t>CAIXA RETANGULAR 4" X 2" MÉDIA (1,30 M DO PISO), METÁLICA, INSTALADA EM PAREDE - FORNECIMENTO E INSTALAÇÃO. AF_12/2015</t>
  </si>
  <si>
    <t xml:space="preserve"> 21.9 </t>
  </si>
  <si>
    <t xml:space="preserve"> 00039600 </t>
  </si>
  <si>
    <t>CONECTOR / TOMADA FEMEA RJ 45, CATEGORIA 5 E (CAT 5E) PARA CABOS</t>
  </si>
  <si>
    <t xml:space="preserve"> 21.10 </t>
  </si>
  <si>
    <t xml:space="preserve"> 7867 </t>
  </si>
  <si>
    <t>Switch 24 portas 10/100 Mbps - fornecimento</t>
  </si>
  <si>
    <t xml:space="preserve"> 21.11 </t>
  </si>
  <si>
    <t xml:space="preserve"> 10305 </t>
  </si>
  <si>
    <t>Fornecimento e montagem de rack fechado tipo armário 19" x 36u x 670mm</t>
  </si>
  <si>
    <t xml:space="preserve"> 21.12 </t>
  </si>
  <si>
    <t xml:space="preserve"> 91868 </t>
  </si>
  <si>
    <t>ELETRODUTO RÍGIDO ROSCÁVEL, PVC, DN 32 MM (1"), PARA CIRCUITOS TERMINAIS, INSTALADO EM LAJE - FORNECIMENTO E INSTALAÇÃO. AF_12/2015</t>
  </si>
  <si>
    <t xml:space="preserve"> 22.1 </t>
  </si>
  <si>
    <t xml:space="preserve"> 97331 </t>
  </si>
  <si>
    <t>TUBO EM COBRE FLEXÍVEL, DN 1/4", COM ISOLAMENTO, INSTALADO EM RAMAL DE ALIMENTAÇÃO DE AR CONDICIONADO COM CONDENSADORA CENTRAL  FORNECIMENTO E INSTALAÇÃO. AF_12/2015</t>
  </si>
  <si>
    <t xml:space="preserve"> 22.2 </t>
  </si>
  <si>
    <t xml:space="preserve"> 97333 </t>
  </si>
  <si>
    <t>TUBO EM COBRE FLEXÍVEL, DN 1/2", COM ISOLAMENTO, INSTALADO EM RAMAL DE ALIMENTAÇÃO DE AR CONDICIONADO COM CONDENSADORA CENTRAL  FORNECIMENTO E INSTALAÇÃO. AF_12/2015</t>
  </si>
  <si>
    <t xml:space="preserve"> 22.3 </t>
  </si>
  <si>
    <t xml:space="preserve"> 97332 </t>
  </si>
  <si>
    <t>TUBO EM COBRE FLEXÍVEL, DN 3/8", COM ISOLAMENTO, INSTALADO EM RAMAL DE ALIMENTAÇÃO DE AR CONDICIONADO COM CONDENSADORA CENTRAL  FORNECIMENTO E INSTALAÇÃO. AF_12/2015</t>
  </si>
  <si>
    <t xml:space="preserve"> 22.4 </t>
  </si>
  <si>
    <t xml:space="preserve"> 97330 </t>
  </si>
  <si>
    <t>TUBO EM COBRE FLEXÍVEL, DN 5/8", COM ISOLAMENTO, INSTALADO EM RAMAL DE ALIMENTAÇÃO DE AR CONDICIONADO COM CONDENSADORA INDIVIDUAL  FORNECIMENTO E INSTALAÇÃO. AF_12/2015</t>
  </si>
  <si>
    <t xml:space="preserve"> 22.5 </t>
  </si>
  <si>
    <t xml:space="preserve"> 22.6 </t>
  </si>
  <si>
    <t xml:space="preserve"> 3806 </t>
  </si>
  <si>
    <t>Cabo de cobre PP Cordplast 3 x 1,5 mm2, 450/750v m</t>
  </si>
  <si>
    <t xml:space="preserve"> 23.1 </t>
  </si>
  <si>
    <t xml:space="preserve"> 2864 </t>
  </si>
  <si>
    <t>Fornecimento de cruzeta de concreto tipo "t"  1900mm</t>
  </si>
  <si>
    <t xml:space="preserve"> 23.2 </t>
  </si>
  <si>
    <t xml:space="preserve"> 00007616 </t>
  </si>
  <si>
    <t>TRANSFORMADOR TRIFASICO DE DISTRIBUICAO, POTENCIA DE 500 KVA, TENSAO NOMINAL DE 15 KV, TENSAO SECUNDARIA DE 220/127V, EM OLEO ISOLANTE TIPO MINERAL</t>
  </si>
  <si>
    <t xml:space="preserve"> 23.3 </t>
  </si>
  <si>
    <t xml:space="preserve"> 101547 </t>
  </si>
  <si>
    <t>ISOLADOR, TIPO DISCO, PARA TENSÃO 15 KV - FORNECIMENTO E INSTALAÇÃO. AF_07/2020</t>
  </si>
  <si>
    <t xml:space="preserve"> 23.4 </t>
  </si>
  <si>
    <t xml:space="preserve"> 101546 </t>
  </si>
  <si>
    <t>ISOLADOR, TIPO PINO, PARA TENSÃO 15 KV - FORNECIMENTO E INSTALAÇÃO. AF_07/2020</t>
  </si>
  <si>
    <t xml:space="preserve"> 23.5 </t>
  </si>
  <si>
    <t xml:space="preserve"> 2835 </t>
  </si>
  <si>
    <t>Fornecimento de alça preformada de alumínio p/ ca 2 awg</t>
  </si>
  <si>
    <t xml:space="preserve"> 23.6 </t>
  </si>
  <si>
    <t xml:space="preserve"> 4150 </t>
  </si>
  <si>
    <t>Conector cunha 4 x 4 AWG CAA, fornecimento</t>
  </si>
  <si>
    <t xml:space="preserve"> 23.7 </t>
  </si>
  <si>
    <t xml:space="preserve"> 23.8 </t>
  </si>
  <si>
    <t xml:space="preserve"> 23.9 </t>
  </si>
  <si>
    <t xml:space="preserve"> 00037409 </t>
  </si>
  <si>
    <t>CABO DE ALUMINIO NU COM ALMA DE ACO, BITOLA 2/0 AWG</t>
  </si>
  <si>
    <t xml:space="preserve"> 23.10 </t>
  </si>
  <si>
    <t xml:space="preserve"> 101565 </t>
  </si>
  <si>
    <t>CABO DE COBRE FLEXÍVEL ISOLADO, 70 MM², 0,6/1,0 KV, PARA REDE AÉREA DE DISTRIBUIÇÃO DE ENERGIA ELÉTRICA DE BAIXA TENSÃO - FORNECIMENTO E INSTALAÇÃO. AF_07/2020</t>
  </si>
  <si>
    <t xml:space="preserve"> 23.11 </t>
  </si>
  <si>
    <t xml:space="preserve"> 92986 </t>
  </si>
  <si>
    <t>CABO DE COBRE FLEXÍVEL ISOLADO, 35 MM², ANTI-CHAMA 0,6/1,0 KV, PARA REDE ENTERRADA DE DISTRIBUIÇÃO DE ENERGIA ELÉTRICA - FORNECIMENTO E INSTALAÇÃO. AF_12/2021</t>
  </si>
  <si>
    <t xml:space="preserve"> 23.12 </t>
  </si>
  <si>
    <t xml:space="preserve"> 00001102 </t>
  </si>
  <si>
    <t>CABECOTE PARA ENTRADA DE LINHA DE ALIMENTACAO PARA ELETRODUTO, EM LIGA DE ALUMINIO COM ACABAMENTO ANTI CORROSIVO, COM FIXACAO POR ENCAIXE LISO DE 360 GRAUS, DE 3"</t>
  </si>
  <si>
    <t xml:space="preserve"> 23.13 </t>
  </si>
  <si>
    <t xml:space="preserve"> 00012062 </t>
  </si>
  <si>
    <t>ELETRODUTO FLEXIVEL, EM ACO, TIPO CONDUITE, DIAMETRO DE 3"</t>
  </si>
  <si>
    <t xml:space="preserve"> 23.14 </t>
  </si>
  <si>
    <t xml:space="preserve"> 00000406 </t>
  </si>
  <si>
    <t>FITA ACO INOX PARA CINTAR POSTE, L = 19 MM, E = 0,5 MM (ROLO DE 30M)</t>
  </si>
  <si>
    <t xml:space="preserve"> 23.15 </t>
  </si>
  <si>
    <t xml:space="preserve"> 23.16 </t>
  </si>
  <si>
    <t xml:space="preserve"> 00011032 </t>
  </si>
  <si>
    <t>GRAMPO U DE 5/8 " N8 EM FERRO GALVANIZADO</t>
  </si>
  <si>
    <t xml:space="preserve"> 23.17 </t>
  </si>
  <si>
    <t xml:space="preserve"> 23.18 </t>
  </si>
  <si>
    <t xml:space="preserve"> 12844 </t>
  </si>
  <si>
    <t>Estrado (tapete) de borracha isolante 15 kv - dimensões 1.000 x 1.000 x 25 mm</t>
  </si>
  <si>
    <t>pç</t>
  </si>
  <si>
    <t xml:space="preserve"> 23.19 </t>
  </si>
  <si>
    <t xml:space="preserve"> 101897 </t>
  </si>
  <si>
    <t>DISJUNTOR TERMOMAGNÉTICO TRIPOLAR , CORRENTE NOMINAL DE 250A - FORNECIMENTO E INSTALAÇÃO. AF_10/2020</t>
  </si>
  <si>
    <t xml:space="preserve"> 24.1 </t>
  </si>
  <si>
    <t xml:space="preserve"> 00037556 </t>
  </si>
  <si>
    <t>PLACA DE SINALIZACAO DE SEGURANCA CONTRA INCENDIO, FOTOLUMINESCENTE, QUADRADA, *20 X 20* CM, EM PVC *2* MM ANTI-CHAMAS (SIMBOLOS, CORES E PICTOGRAMAS CONFORME NBR 16820)</t>
  </si>
  <si>
    <t xml:space="preserve"> 24.2 </t>
  </si>
  <si>
    <t xml:space="preserve"> 11867 </t>
  </si>
  <si>
    <t>Luminária de emergência, de sobrepor, tipo bloco autônomo, com autonomia de 1h, modelo LLE-LLEDDF, da KBR ou si</t>
  </si>
  <si>
    <t xml:space="preserve"> 24.3 </t>
  </si>
  <si>
    <t xml:space="preserve"> 97599 </t>
  </si>
  <si>
    <t>LUMINÁRIA DE EMERGÊNCIA, COM 30 LÂMPADAS LED DE 2 W, SEM REATOR - FORNECIMENTO E INSTALAÇÃO. AF_02/2020</t>
  </si>
  <si>
    <t xml:space="preserve"> 24.4 </t>
  </si>
  <si>
    <t xml:space="preserve"> 101907 </t>
  </si>
  <si>
    <t>EXTINTOR DE INCÊNDIO PORTÁTIL COM CARGA DE CO2 DE 6 KG, CLASSE BC - FORNECIMENTO E INSTALAÇÃO. AF_10/2020_P</t>
  </si>
  <si>
    <t xml:space="preserve"> 24.5 </t>
  </si>
  <si>
    <t xml:space="preserve"> 101905 </t>
  </si>
  <si>
    <t>EXTINTOR DE INCÊNDIO PORTÁTIL COM CARGA DE ÁGUA PRESSURIZADA DE 10 L, CLASSE A - FORNECIMENTO E INSTALAÇÃO. AF_10/2020_P</t>
  </si>
  <si>
    <t xml:space="preserve"> 24.6 </t>
  </si>
  <si>
    <t xml:space="preserve"> 11333 </t>
  </si>
  <si>
    <t>Motobomba marca schneider ou similar, modelo SH55 BPI-21, 2 1/2", motor a combustão - gasolina , 5,5cv</t>
  </si>
  <si>
    <t>Un</t>
  </si>
  <si>
    <t xml:space="preserve"> 24.7 </t>
  </si>
  <si>
    <t xml:space="preserve"> 96765 </t>
  </si>
  <si>
    <t>ABRIGO PARA HIDRANTE, 90X60X17CM, COM REGISTRO GLOBO ANGULAR 45 GRAUS 2 1/2", ADAPTADOR STORZ 2 1/2", MANGUEIRA DE INCÊNDIO 20M, REDUÇÃO 2 1/2" X 1 1/2" E ESGUICHO EM LATÃO 1 1/2" - FORNECIMENTO E INSTALAÇÃO. AF_10/2020</t>
  </si>
  <si>
    <t xml:space="preserve"> 24.8 </t>
  </si>
  <si>
    <t xml:space="preserve"> 92337 </t>
  </si>
  <si>
    <t>TUBO DE AÇO GALVANIZADO COM COSTURA, CLASSE MÉDIA, CONEXÃO RANHURADA, DN 80 (3"), INSTALADO EM PRUMADAS - FORNECIMENTO E INSTALAÇÃO. AF_10/2020</t>
  </si>
  <si>
    <t xml:space="preserve"> 24.9 </t>
  </si>
  <si>
    <t xml:space="preserve"> 94500 </t>
  </si>
  <si>
    <t>REGISTRO DE GAVETA BRUTO, LATÃO, ROSCÁVEL, 3" - FORNECIMENTO E INSTALAÇÃO. AF_08/2021</t>
  </si>
  <si>
    <t xml:space="preserve"> 24.10 </t>
  </si>
  <si>
    <t xml:space="preserve"> 92644 </t>
  </si>
  <si>
    <t>TÊ, EM FERRO GALVANIZADO, CONEXÃO ROSQUEADA, DN 80 (3"), INSTALADO EM REDE DE ALIMENTAÇÃO PARA HIDRANTE - FORNECIMENTO E INSTALAÇÃO. AF_10/2020</t>
  </si>
  <si>
    <t xml:space="preserve"> 24.11 </t>
  </si>
  <si>
    <t xml:space="preserve"> 103019 </t>
  </si>
  <si>
    <t>REGISTRO OU VÁLVULA GLOBO ANGULAR EM LATÃO, PARA HIDRANTES EM INSTALAÇÃO PREDIAL DE INCÊNDIO, 45 GRAUS, 2 1/2" - FORNECIMENTO E INSTALAÇÃO. AF_08/2021</t>
  </si>
  <si>
    <t xml:space="preserve"> 24.12 </t>
  </si>
  <si>
    <t xml:space="preserve"> 99624 </t>
  </si>
  <si>
    <t>VÁLVULA DE RETENÇÃO HORIZONTAL, DE BRONZE, ROSCÁVEL, 2 1/2" - FORNECIMENTO E INSTALAÇÃO. AF_08/2021</t>
  </si>
  <si>
    <t xml:space="preserve"> 24.13 </t>
  </si>
  <si>
    <t xml:space="preserve"> 101917 </t>
  </si>
  <si>
    <t>MANÔMETRO 0 A 200 PSI (0 A 14 KGF/CM2), D = 50MM - FORNECIMENTO E INSTALAÇÃO. AF_10/2020</t>
  </si>
  <si>
    <t xml:space="preserve"> 24.14 </t>
  </si>
  <si>
    <t xml:space="preserve"> 24.15 </t>
  </si>
  <si>
    <t xml:space="preserve"> 101798 </t>
  </si>
  <si>
    <t>TAMPA PARA CAIXA TIPO R1, EM FERRO FUNDIDO, DIMENSÕES INTERNAS: 0,40 X 0,60 M - FORNECIMENTO E INSTALAÇÃO. AF_12/2020</t>
  </si>
  <si>
    <t xml:space="preserve"> 24.16 </t>
  </si>
  <si>
    <t xml:space="preserve"> 97889 </t>
  </si>
  <si>
    <t>CAIXA ENTERRADA ELÉTRICA RETANGULAR, EM ALVENARIA COM TIJOLOS CERÂMICOS MACIÇOS, FUNDO COM BRITA, DIMENSÕES INTERNAS: 0,8X0,8X0,6 M. AF_12/2020</t>
  </si>
  <si>
    <t xml:space="preserve"> 24.17 </t>
  </si>
  <si>
    <t xml:space="preserve"> 11829 </t>
  </si>
  <si>
    <t>Acionador manual (botoeira) "aperte aqui", p/instal. incendio - endereçável</t>
  </si>
  <si>
    <t xml:space="preserve"> 24.18 </t>
  </si>
  <si>
    <t xml:space="preserve"> 8058 </t>
  </si>
  <si>
    <t>Central de alarme e detecção de incendio, capacidade: 8 laços, com 2 linhas, mod.VR-8L, Verin ou similar</t>
  </si>
  <si>
    <t xml:space="preserve"> 24.19 </t>
  </si>
  <si>
    <t xml:space="preserve"> 11824 </t>
  </si>
  <si>
    <t>Sirene aúdiovisual endereçavel, 120db, para alarme de incêndio</t>
  </si>
  <si>
    <t xml:space="preserve"> 25.1 </t>
  </si>
  <si>
    <t xml:space="preserve"> Sousa_0070 </t>
  </si>
  <si>
    <t>ELEVADOR AÇO INOX CAPACIDADE P/ (8 PASSAGEIROS OU 1  CADEIRANTE + 1 ACOMPANHANTES), COM O1 PARADA, E DESNIVEL DE  4,30MM,PORTAS DE ACESSO OPOSTO , CAPACIDADE 250 KG,  VELOCIDADE 6,00 M/MIN, /MIN - FORNECIMENTO E INSTALACAO</t>
  </si>
  <si>
    <t xml:space="preserve"> 25.2 </t>
  </si>
  <si>
    <t xml:space="preserve"> 2412 </t>
  </si>
  <si>
    <t>Banco de madeira de lei sem encosto, tipo sueco, medindo 45x45x300cm</t>
  </si>
  <si>
    <t xml:space="preserve"> 25.3 </t>
  </si>
  <si>
    <t xml:space="preserve"> 98511 </t>
  </si>
  <si>
    <t>PLANTIO DE ÁRVORE ORNAMENTAL COM ALTURA DE MUDA MAIOR QUE 2,00 M E MENOR OU IGUAL A 4,00 M. AF_05/2018</t>
  </si>
  <si>
    <t xml:space="preserve"> 25.4 </t>
  </si>
  <si>
    <t xml:space="preserve"> 98516 </t>
  </si>
  <si>
    <t>PLANTIO DE PALMEIRA COM ALTURA DE MUDA MENOR OU IGUAL A 2,00 M. AF_05/2018</t>
  </si>
  <si>
    <t xml:space="preserve"> 25.5 </t>
  </si>
  <si>
    <t xml:space="preserve"> 98509 </t>
  </si>
  <si>
    <t>PLANTIO DE ARBUSTO OU  CERCA VIVA. AF_05/2018</t>
  </si>
  <si>
    <t xml:space="preserve"> 25.6 </t>
  </si>
  <si>
    <t xml:space="preserve"> 103946 </t>
  </si>
  <si>
    <t>PLANTIO DE GRAMA ESMERALDA OU SÃO CARLOS OU CURITIBANA, EM PLACAS. AF_05/2022</t>
  </si>
  <si>
    <t xml:space="preserve"> 25.7 </t>
  </si>
  <si>
    <t xml:space="preserve"> 98505 </t>
  </si>
  <si>
    <t>PLANTIO DE FORRAÇÃO. AF_05/2018</t>
  </si>
  <si>
    <t xml:space="preserve"> 25.8 </t>
  </si>
  <si>
    <t xml:space="preserve"> 7967 </t>
  </si>
  <si>
    <t>Guarda-corpo em tubo de aço inox ø=1 1/2", duplo, com montantes e fechamento em tubo inox ø=1 1/2", h=96cm, c/acabamento polido, p/fixação em piso</t>
  </si>
  <si>
    <t xml:space="preserve"> 25.9 </t>
  </si>
  <si>
    <t xml:space="preserve"> 99841 </t>
  </si>
  <si>
    <t>GUARDA-CORPO PANORÂMICO COM PERFIS DE ALUMÍNIO E VIDRO LAMINADO 8 MM, FIXADO COM CHUMBADOR MECÂNICO. AF_04/2019_P</t>
  </si>
  <si>
    <t xml:space="preserve"> 25.10 </t>
  </si>
  <si>
    <t xml:space="preserve"> 2450 </t>
  </si>
  <si>
    <t>Limpeza geral</t>
  </si>
  <si>
    <t xml:space="preserve"> 25.11 </t>
  </si>
  <si>
    <t xml:space="preserve"> 2642 </t>
  </si>
  <si>
    <t>Escada marinheiro em barra chata de ferro 2" x 5/16"</t>
  </si>
  <si>
    <t xml:space="preserve"> 25.12 </t>
  </si>
  <si>
    <t xml:space="preserve"> Sousa_0075 </t>
  </si>
  <si>
    <t>CLARABOIA PARA PBTUR EM ESTRUTURA DE PERFIL DE ALUMINIO,  METALON DE 100X100 CHAPA 14 E METALON 100X50 CHAPA 16, SENDO 01  TUBO METALON FIXADO A CADA 2,12M, COM PLACAS EM VIDRO  LAMINADO DE 7 MM COM PELICULA DE PROTECAO UV INCOLOR -  ORNECIMENTO E INSTALACAO</t>
  </si>
  <si>
    <t>ESTADO DA PARAÍBA</t>
  </si>
  <si>
    <t>PREFEITURA  MUNICIPAL  DE SOUSA - PB</t>
  </si>
  <si>
    <t>Objetivo</t>
  </si>
  <si>
    <t>Agente Promotor</t>
  </si>
  <si>
    <t>Data de Emissão</t>
  </si>
  <si>
    <t>Nº BM</t>
  </si>
  <si>
    <t>Localização</t>
  </si>
  <si>
    <t>Contratada</t>
  </si>
  <si>
    <t>Início da Obra</t>
  </si>
  <si>
    <t>Termino da Obra</t>
  </si>
  <si>
    <t>Modalidade</t>
  </si>
  <si>
    <t>Nº de Contrato e Data de assinatura</t>
  </si>
  <si>
    <t>Valor do Contrato / PMS</t>
  </si>
  <si>
    <t>Valor da medição - R$</t>
  </si>
  <si>
    <t>Período de medição</t>
  </si>
  <si>
    <t>Itens</t>
  </si>
  <si>
    <t>Discriminação dos serviços do orçamento</t>
  </si>
  <si>
    <t>Unid.</t>
  </si>
  <si>
    <t>Custo Unitário</t>
  </si>
  <si>
    <t>Quantidade</t>
  </si>
  <si>
    <t>Financeiro</t>
  </si>
  <si>
    <t>Desvio (%)</t>
  </si>
  <si>
    <t>Prevista</t>
  </si>
  <si>
    <t>Medida no período</t>
  </si>
  <si>
    <t>Acumulada incluindo o período</t>
  </si>
  <si>
    <t>01</t>
  </si>
  <si>
    <t>BM 01 - Boletim de Medição</t>
  </si>
  <si>
    <t>RUA Clotário de Paiva Gadelha . - BAIRRO MARIA RACHEL - SOUSA/PB</t>
  </si>
  <si>
    <t>MEMÓRIA DE CÁLCULO - QUANTIDADES</t>
  </si>
  <si>
    <t>Obra:</t>
  </si>
  <si>
    <t>Proprietário:</t>
  </si>
  <si>
    <t>Prefeitura Municipal de Sousa</t>
  </si>
  <si>
    <t>Local:</t>
  </si>
  <si>
    <t>Responsável Técnico:</t>
  </si>
  <si>
    <t>Vez</t>
  </si>
  <si>
    <t>Dados</t>
  </si>
  <si>
    <t>Resultado</t>
  </si>
  <si>
    <t>Un.</t>
  </si>
  <si>
    <t>X1</t>
  </si>
  <si>
    <t>X2</t>
  </si>
  <si>
    <t>Y1</t>
  </si>
  <si>
    <t>Y2</t>
  </si>
  <si>
    <t>Z1</t>
  </si>
  <si>
    <t>Z2</t>
  </si>
  <si>
    <t>Parcial</t>
  </si>
  <si>
    <t>1.2</t>
  </si>
  <si>
    <t>1.3</t>
  </si>
  <si>
    <t>3.3</t>
  </si>
  <si>
    <t>3.4</t>
  </si>
  <si>
    <t>3.5</t>
  </si>
  <si>
    <t>HPN CONSTRUÇÕES , INCORPORAÇÕES E LOCAÇÕES LTDA</t>
  </si>
  <si>
    <t>Concorrência n. 01/2023</t>
  </si>
  <si>
    <t>Nº 336/2023 - 19/04/2023</t>
  </si>
  <si>
    <t>Escritorio</t>
  </si>
  <si>
    <t>Banheiro</t>
  </si>
  <si>
    <t>BM01</t>
  </si>
  <si>
    <t>19/04/2023 a 07/08/2023</t>
  </si>
  <si>
    <t>MEMORIAL DE CÁLCULOS</t>
  </si>
  <si>
    <t>ITEM</t>
  </si>
  <si>
    <t>DESCRIÇÃO</t>
  </si>
  <si>
    <t>DADOS</t>
  </si>
  <si>
    <t>RESULTADO</t>
  </si>
  <si>
    <t>UN.</t>
  </si>
  <si>
    <t>Quantid.</t>
  </si>
  <si>
    <t>Comprim.(m)</t>
  </si>
  <si>
    <t>Largura(m)</t>
  </si>
  <si>
    <t>Altura (m)</t>
  </si>
  <si>
    <t>PARCIAL</t>
  </si>
  <si>
    <t>TOTAL</t>
  </si>
  <si>
    <t>MURO DE CONTORNO</t>
  </si>
  <si>
    <t>Lado entrada Auditório (Lado Oeste)</t>
  </si>
  <si>
    <t>Lateral Sul estacionamento nivel +50</t>
  </si>
  <si>
    <t>Lateral Sul estacionamento nivel +160</t>
  </si>
  <si>
    <t>Lateral Norte esquerdo nivel +50</t>
  </si>
  <si>
    <t>Lateral Norte esquerdo nivel +160</t>
  </si>
  <si>
    <t>M3</t>
  </si>
  <si>
    <t>M2</t>
  </si>
  <si>
    <t>DESCONTO PILARES (0,60 M)</t>
  </si>
  <si>
    <t>DESCONTO PILARES (2,50 M)</t>
  </si>
  <si>
    <t>TOCOS DE PILARES</t>
  </si>
  <si>
    <t>PILARES</t>
  </si>
  <si>
    <t>Toco pilar</t>
  </si>
  <si>
    <t>Pilar</t>
  </si>
  <si>
    <t>pilar</t>
  </si>
  <si>
    <t>viga baldrame</t>
  </si>
  <si>
    <t>viga superior</t>
  </si>
  <si>
    <t>Sapatas (0,60x0,60)</t>
  </si>
  <si>
    <t>Pilar (h=0,60m)</t>
  </si>
  <si>
    <t>Pilar (h=2,50m)</t>
  </si>
  <si>
    <t>Sapata</t>
  </si>
  <si>
    <t>toco pilar</t>
  </si>
  <si>
    <t>Escavação de Auditório previsto em orçamento</t>
  </si>
  <si>
    <t>Corte de terreno (área triangulo)</t>
  </si>
  <si>
    <t>Volume Área Auditório</t>
  </si>
  <si>
    <t>Volume Área Praça de alimentação</t>
  </si>
  <si>
    <t>PEDRA ARGAMASSADA COM CIMENTO E AREIA 1:3, 40% DE ARGAMASSA EM VOLUME - AREIA E PEDRA DE MÃO COMERCIAIS - FORNECIMENTO E ASSENTAMENTO. AF_08/2022</t>
  </si>
  <si>
    <t>ESCAVAÇÃO MECANIZADA DE VALA COM PROF. ATÉ 1,5 M (MÉDIA MONTANTE E JUSANTE/UMA COMPOSIÇÃO POR TRECHO), RETROESCAV. (0,26 M3), LARG. DE 0,8 M A 1,5 M, EM SOLO DE 1A CATEGORIA, EM LOCAIS COM ALTO NÍVEL DE INTERFERÊNCIA. AF_02/2021</t>
  </si>
  <si>
    <t>PREPARO DE FUNDO DE VALA COM LARGURA MENOR QUE 1,5 M (ACERTO DO SOLO NATURAL). AF_08/2020</t>
  </si>
  <si>
    <t>LASTRO DE CONCRETO MAGRO, APLICADO EM PISOS, LAJES SOBRE SOLO OU RADIERS, ESPESSURA DE 5 CM. AF_07/2016</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</si>
  <si>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</si>
  <si>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</si>
  <si>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MONTAGEM E DESMONTAGEM DE FÔRMA DE PILARES RETANGULARES E ESTRUTURAS SIMILARES, PÉ-DIREITO SIMPLES, EM CHAPA DE MADEIRA COMPENSADA RESINADA, 6 UTILIZAÇÕES. AF_09/2020</t>
  </si>
  <si>
    <t>MONTAGEM E DESMONTAGEM DE FÔRMA DE VIGA, ESCORAMENTO METÁLICO, PÉ-DIREITO SIMPLES, EM CHAPA DE MADEIRA RESINADA, 6 UTILIZAÇÕES. AF_09/2020</t>
  </si>
  <si>
    <t>ARMAÇÃO DE PILAR OU VIGA DE ESTRUTURA CONVENCIONAL DE CONCRETO ARMADO UTILIZANDO AÇO CA-60 DE 5,0 MM - MONTAGEM. AF_06/2022</t>
  </si>
  <si>
    <t>ARMAÇÃO DE PILAR OU VIGA DE ESTRUTURA CONVENCIONAL DE CONCRETO ARMADO UTILIZANDO AÇO CA-50 DE 8,0 MM - MONTAGEM. AF_06/2022</t>
  </si>
  <si>
    <t>ARMAÇÃO DE PILAR OU VIGA DE ESTRUTURA CONVENCIONAL DE CONCRETO ARMADO UTILIZANDO AÇO CA-50 DE 10,0 MM - MONTAGEM. AF_06/2022</t>
  </si>
  <si>
    <t>CONCRETO FCK = 20MPA, TRAÇO 1:2,7:3 (EM MASSA SECA DE CIMENTO/ AREIA MÉDIA/ BRITA 1) - PREPARO MECÂNICO COM BETONEIRA 400 L. AF_05/2021</t>
  </si>
  <si>
    <t>LANÇAMENTO COM USO DE BALDES, ADENSAMENTO E ACABAMENTO DE CONCRETO EM ESTRUTURAS. AF_02/2022</t>
  </si>
  <si>
    <t>26.1</t>
  </si>
  <si>
    <t>26.2</t>
  </si>
  <si>
    <t>26.3</t>
  </si>
  <si>
    <t>26.4</t>
  </si>
  <si>
    <t>26.5</t>
  </si>
  <si>
    <t>26.6</t>
  </si>
  <si>
    <t>26.7</t>
  </si>
  <si>
    <t>26.8</t>
  </si>
  <si>
    <t>26.9</t>
  </si>
  <si>
    <t>26.10</t>
  </si>
  <si>
    <t>26.11</t>
  </si>
  <si>
    <t>26.12</t>
  </si>
  <si>
    <t>26.13</t>
  </si>
  <si>
    <t>26.14</t>
  </si>
  <si>
    <t>26.15</t>
  </si>
  <si>
    <t>26.16</t>
  </si>
  <si>
    <t>26.17</t>
  </si>
  <si>
    <t>ALVENARIA DE TIJOLO CERÂMICO FURADO (9x19x19)cm C/ARGAMASSA MISTA DE CAL HIDRATADA ESP=20 cm</t>
  </si>
  <si>
    <t>Grade em metalon</t>
  </si>
  <si>
    <t>Dimensões</t>
  </si>
  <si>
    <t>m2</t>
  </si>
  <si>
    <t>ESCAVAÇÃO VERTICAL A CÉU ABERTO, EM OBRAS DE EDIFICAÇÃO, INCLUINDO CARGA, DESCARGA E TRANSPORTE, EM SOLO DE 1ª CATEGORIA COM ESCAVADEIRA HIDRÁULICA (CAÇAMBA: 0,8 M³ / 111 HP), FROTA DE 4 CAMINHÕES BASCULANTES D
E 14 M³, DMT DE 2 KM E VELOCIDADE MÉDIA 19KM/H. AF_05/2020</t>
  </si>
  <si>
    <t>ATERRO C/COMPACTAÇÃO MECÂNICA E CONTROLE, MAT. DE AQUISIÇÃO</t>
  </si>
  <si>
    <t>Aterro de áreas sem aquisição de material, com espalhamento mecânico, sem compactação e sem transporte</t>
  </si>
  <si>
    <t>3.6</t>
  </si>
  <si>
    <t>3.7</t>
  </si>
  <si>
    <t>3.8</t>
  </si>
  <si>
    <t>VALOR DA PRESENTE MEDIÇÃO É: R$ 274.620,69 (DUZENTOS E SETENTA E QUATRO MIL, SEISCENTOS E VINTE REAIS E SESSENTA E NOVE CENTAVOS</t>
  </si>
  <si>
    <t>BM 02 - Boletim de Medição</t>
  </si>
  <si>
    <t>2</t>
  </si>
  <si>
    <t>07/08/2023 a 20/09/2023</t>
  </si>
  <si>
    <t>1.0</t>
  </si>
  <si>
    <t>1.4</t>
  </si>
  <si>
    <t>Praça de alimentação+Biblioteca</t>
  </si>
  <si>
    <t>Praça de alimentação</t>
  </si>
  <si>
    <t>profund REAL</t>
  </si>
  <si>
    <t>Descont ATERRO</t>
  </si>
  <si>
    <t>P1-PS1</t>
  </si>
  <si>
    <t>P15-PS4</t>
  </si>
  <si>
    <t>P3</t>
  </si>
  <si>
    <t>P4</t>
  </si>
  <si>
    <t>P5</t>
  </si>
  <si>
    <t>P6</t>
  </si>
  <si>
    <t>P7</t>
  </si>
  <si>
    <t>P8</t>
  </si>
  <si>
    <t>P9</t>
  </si>
  <si>
    <t>P10</t>
  </si>
  <si>
    <t>P11</t>
  </si>
  <si>
    <t>P12</t>
  </si>
  <si>
    <t>P19</t>
  </si>
  <si>
    <t>PS7, PS8 e PS9</t>
  </si>
  <si>
    <t>PS2, PS3, PS5 e PS6</t>
  </si>
  <si>
    <t>P2</t>
  </si>
  <si>
    <t>P13</t>
  </si>
  <si>
    <t>P14</t>
  </si>
  <si>
    <t>P16</t>
  </si>
  <si>
    <t>P17</t>
  </si>
  <si>
    <t>P18</t>
  </si>
  <si>
    <t>Espaço Ciência</t>
  </si>
  <si>
    <t>P6 E P12</t>
  </si>
  <si>
    <t>P15</t>
  </si>
  <si>
    <t>P20</t>
  </si>
  <si>
    <t>P21</t>
  </si>
  <si>
    <t>P22</t>
  </si>
  <si>
    <t>P23</t>
  </si>
  <si>
    <t>P24</t>
  </si>
  <si>
    <t>P25</t>
  </si>
  <si>
    <t>P29</t>
  </si>
  <si>
    <t>P30</t>
  </si>
  <si>
    <t>P31</t>
  </si>
  <si>
    <t>P32</t>
  </si>
  <si>
    <t>P33</t>
  </si>
  <si>
    <t>P34</t>
  </si>
  <si>
    <t>P35</t>
  </si>
  <si>
    <t>P27-P26</t>
  </si>
  <si>
    <t>P40</t>
  </si>
  <si>
    <t>P41</t>
  </si>
  <si>
    <t>P42</t>
  </si>
  <si>
    <t>P43</t>
  </si>
  <si>
    <t>P44</t>
  </si>
  <si>
    <t>P45</t>
  </si>
  <si>
    <t>P46 E P47</t>
  </si>
  <si>
    <t>P49</t>
  </si>
  <si>
    <t>P50</t>
  </si>
  <si>
    <t>P52</t>
  </si>
  <si>
    <t>P51 e P53</t>
  </si>
  <si>
    <t>V. de concreto</t>
  </si>
  <si>
    <t>4.1</t>
  </si>
  <si>
    <t>P3, P4, P5, P6, P7, P8, P9, P10, P11 e P12</t>
  </si>
  <si>
    <t>P2, P13, P14, P16, P17 e P18</t>
  </si>
  <si>
    <t>4.2</t>
  </si>
  <si>
    <t>Sapata Praça de alimentação</t>
  </si>
  <si>
    <t>SAPATA Espaço Ciência</t>
  </si>
  <si>
    <t>Viga Baldrame Praça</t>
  </si>
  <si>
    <t>4.3</t>
  </si>
  <si>
    <t>4.4</t>
  </si>
  <si>
    <t>Toco de pilar Praça de alimentação</t>
  </si>
  <si>
    <t>COMP. TOCO</t>
  </si>
  <si>
    <t>ESTRIBO</t>
  </si>
  <si>
    <t>P1</t>
  </si>
  <si>
    <t>PS1</t>
  </si>
  <si>
    <t>PS4</t>
  </si>
  <si>
    <t>TOCO DE PILAR Espaço Ciência</t>
  </si>
  <si>
    <t>P27</t>
  </si>
  <si>
    <t>P26</t>
  </si>
  <si>
    <t>S1-SS1</t>
  </si>
  <si>
    <t>S15-SS4</t>
  </si>
  <si>
    <t>S3, S4, S5, S6, S7, S8, S9, S10, S11 e S12</t>
  </si>
  <si>
    <t>S19</t>
  </si>
  <si>
    <t>SS7, SS8 e SS9</t>
  </si>
  <si>
    <t>SS2, SS3, SS5 e SS6</t>
  </si>
  <si>
    <t>S2, S13, S14, S16, S17 e S18</t>
  </si>
  <si>
    <t>COMP. BARRA</t>
  </si>
  <si>
    <t>Nº BARRAS</t>
  </si>
  <si>
    <t>4.8</t>
  </si>
  <si>
    <t>4.9</t>
  </si>
  <si>
    <t>4.10</t>
  </si>
  <si>
    <t>ALTURA PILAR</t>
  </si>
  <si>
    <t>4.11</t>
  </si>
  <si>
    <t>5.1</t>
  </si>
  <si>
    <t>p51</t>
  </si>
  <si>
    <t>5.2</t>
  </si>
  <si>
    <t>5.14</t>
  </si>
  <si>
    <t>BM02</t>
  </si>
  <si>
    <t>BM 03 - Boletim de Medição</t>
  </si>
  <si>
    <t>Objeto</t>
  </si>
  <si>
    <t>3</t>
  </si>
  <si>
    <t>21/09/2023 a 23/10/2023</t>
  </si>
  <si>
    <t>OBSERVAÇÃO: O FISCAL ANTERIOR IDENTIFICOU QUE NO BOLETIM DE MEDIÇÃO Nº 01 FOI CONSIDERADO PARA O ITEM 3.7 E 3.8 UM CÁLCULO DE ATERRO LEVANDO EM CONSIDERAÇÃO ALGUMAS ESTIMATIVAS DE ALTURAS, E QUE APÓS O LEVANTAMENTO TOPÓGRAFICO DE CUBAÇÃO, FOI APRESENTADO UM VALOR REAL DE MATERIAL ATERRADO E COMPACTADO SENDO, PAGO INICIALMENTE UM VOLUME DE 1.481,16 M3  E QUE APÓS O SERVIÇO TOPOGRÁFICO DE CUBAÇÃO FOI REDUZIDO PARA 1126,72 M3, ASSIM SERÁ NECESSÁRIO EFETUAR A REDUÇÃO DE 354,44 M3.</t>
  </si>
  <si>
    <t>MEMÓRIA BM 03</t>
  </si>
  <si>
    <t>A obra encontra-se com evolução de 5,28%, logo será considerado essa porcentagem dos 15 meses totais = 0,79 meses</t>
  </si>
  <si>
    <t>Vigas baldrames da praça de alimentação - 6,04 m³ (prancha03/09). Vigas baldrames da escola - 28,46 m³ (prancha 10/36)</t>
  </si>
  <si>
    <t>Vigas baldrames da praça de alimentação - 83,00 kg (prancha05/09). Vigas baldrames da escola - 381 kg (prancha 11/36)</t>
  </si>
  <si>
    <t>Vigas baldrames da praça de alimentação - 22,00 kg (prancha05/09). Vigas baldrames da escola - 239 kg (prancha 11/36)</t>
  </si>
  <si>
    <t>Vigas baldrames da praça de alimentação - 109,00 kg (prancha05/09). Vigas baldrames da escola - 305 kg (prancha 11/36)</t>
  </si>
  <si>
    <t>Vigas baldrames da praça de alimentação - 118,00 kg (prancha05/09). Vigas baldrames da escola - 18 kg (prancha 11/36)</t>
  </si>
  <si>
    <t>Falta pagar</t>
  </si>
  <si>
    <t>Vigas baldrames da escola - 56 kg (prancha 11/36)</t>
  </si>
  <si>
    <t>Vigas baldrames da escola - 52 kg (prancha 11/36)</t>
  </si>
  <si>
    <t>Vigas baldrames da escola - 84 kg (prancha 11/36)</t>
  </si>
  <si>
    <t>Fôrmas das baldrames da praça de alimentação - 74,93 m² (prancha 03/09). Vigas baldrames da escola - 264,08 m² (prancha 10/36)</t>
  </si>
  <si>
    <t>Vigas baldrames da escola - 99 kg (prancha 11/36)</t>
  </si>
  <si>
    <t>Pilares (entre baldrame e vigas superiores) praça de alimentação - 3,23 m³ (prancha 03/09)</t>
  </si>
  <si>
    <t>Pilares (entre baldrame e vigas superiores) praça de alimentação - 149 kg (prancha 04/09) - menos parte do projeto que conta com os tocos de pilares que foram pagos no bm 02 (19,11 kg) logo, valor a ser pago é de: 129,89 kg</t>
  </si>
  <si>
    <t>Pilares (entre baldrame e vigas superiores) praça de alimentação - 431 kg (prancha 04/09) - menos parte do projeto que conta com os tocos de pilares que foram pagos no bm 02 (110,75 kg) logo, valor a ser pago é de: 320,25 kg</t>
  </si>
  <si>
    <t>Pilares (entre baldrame e vigas superiores) praça de alimentação - 64,98 m² (prancha 03/09)</t>
  </si>
  <si>
    <t>Alvenaria da praça de alimentação (até altura de viga superior) - 3,80* (2,15+ 3,25+3,25 +0,96+2,16+3,10+ 3,25+ 3,30+ 3,50+3,57+2,70+ 2,05+2,05+2,20+ 2,10+ 4,78+ 4,11+3,89+ 4,48+3,00+ 5,95+ 0,35+4,33+ 3,00+ 3,42+ 1,58+ 5,25+ 6,37) = 342,38 m² - descontos de: (0,80*2,53*7 + 0,64*1,50*3 + 2,07*1,66*3 + 2,15*1,66) = 30,92 m²; perfazendo uma área de alvenaria de: 311,46m²</t>
  </si>
  <si>
    <t>Vergas das janelas da praça de alimentação - 2,16*3 + 4,11+5,95+3,42 = 19,96 m</t>
  </si>
  <si>
    <t>Vergas das portas da praça de alimentação - 1,50*7 = 10,50 m</t>
  </si>
  <si>
    <t>BM 04 - Boletim de Medição</t>
  </si>
  <si>
    <t>4</t>
  </si>
  <si>
    <t>24/10/2023 a 07/12/2023</t>
  </si>
  <si>
    <t>MEMÓRIA BM 04</t>
  </si>
  <si>
    <t>restante do canteiro -</t>
  </si>
  <si>
    <t>Locação do restante da obra - 126,68 m</t>
  </si>
  <si>
    <t>Perímetro das vigas do espaço ciência e da praça de alimentação x altura de 40 cm x 2 lados (mesma área de fôrma das vigas baldrames) = 74,93 + 264,08</t>
  </si>
  <si>
    <t>Laje da praça de alimentação - 82,86 m² (pelo projeto estrutural)</t>
  </si>
  <si>
    <t>Contravergas das janelas da praça de alimentação - 2,16*3 + 4,11+5,95+3,42 = 19,96 m</t>
  </si>
  <si>
    <t xml:space="preserve">Chapisco de 50% da praça de alimentação - 311,46 m² (área total de alvenaria x 1 face); mais chapisco do muro de entorno = 361,56 x 2 faces = </t>
  </si>
  <si>
    <t>Emboço de 50% da praça de alimentação - 311,46 m²</t>
  </si>
  <si>
    <t xml:space="preserve">Tubo da rede de esgoto da parte externa dos quiosques da praça de alimentação - 4,05+6,25+4,33+3,48 = </t>
  </si>
  <si>
    <t>17 unid (todas as caixas da lateral da praça de alimentação e da escola de ciências com a rua projetada B)</t>
  </si>
  <si>
    <t>3 unid (todas as caixas da lateral da praça de alimentação e da escola de ciências com a rua projetada B)</t>
  </si>
  <si>
    <t>Vigas superiores - (pelo projeto) = 60,81 m²</t>
  </si>
  <si>
    <t>Vigas superiores - (pelo projeto) = 90,28 kg</t>
  </si>
  <si>
    <t>Vigas superiores - (pelo projeto) = 5,25 m³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</si>
</sst>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R$&quot;\ * #,##0.00_-;\-&quot;R$&quot;\ * #,##0.00_-;_-&quot;R$&quot;\ * &quot;-&quot;??_-;_-@_-"/>
    <numFmt numFmtId="43" formatCode="_-* #,##0.00_-;\-* #,##0.00_-;_-* &quot;-&quot;??_-;_-@_-"/>
    <numFmt numFmtId="164" formatCode="#,##0.00\ %"/>
    <numFmt numFmtId="165" formatCode="&quot;R$&quot;#,##0.00"/>
    <numFmt numFmtId="166" formatCode="#,##0.0000000000"/>
    <numFmt numFmtId="167" formatCode="0.0%"/>
  </numFmts>
  <fonts count="35" x14ac:knownFonts="1">
    <font>
      <sz val="11"/>
      <color theme="1"/>
      <name val="Calibri"/>
      <family val="2"/>
      <scheme val="minor"/>
    </font>
    <font>
      <sz val="10"/>
      <name val="Arial"/>
      <family val="2"/>
    </font>
    <font>
      <b/>
      <sz val="10"/>
      <name val="Arial"/>
      <family val="2"/>
    </font>
    <font>
      <b/>
      <sz val="11"/>
      <name val="Arial"/>
      <family val="1"/>
    </font>
    <font>
      <b/>
      <sz val="10"/>
      <name val="Arial"/>
      <family val="1"/>
    </font>
    <font>
      <b/>
      <sz val="10"/>
      <color rgb="FF000000"/>
      <name val="Arial"/>
      <family val="1"/>
    </font>
    <font>
      <sz val="10"/>
      <name val="Arial"/>
      <family val="1"/>
    </font>
    <font>
      <sz val="10"/>
      <color rgb="FF000000"/>
      <name val="Arial"/>
      <family val="1"/>
    </font>
    <font>
      <sz val="11"/>
      <color theme="1"/>
      <name val="Calibri"/>
      <family val="2"/>
      <scheme val="minor"/>
    </font>
    <font>
      <sz val="10"/>
      <name val="Arial Narrow"/>
      <family val="2"/>
    </font>
    <font>
      <b/>
      <sz val="14"/>
      <name val="Arial Narrow"/>
      <family val="2"/>
    </font>
    <font>
      <sz val="10"/>
      <color theme="0"/>
      <name val="Arial Narrow"/>
      <family val="2"/>
    </font>
    <font>
      <b/>
      <sz val="10"/>
      <name val="Arial Narrow"/>
      <family val="2"/>
    </font>
    <font>
      <b/>
      <sz val="12"/>
      <name val="Arial Narrow"/>
      <family val="2"/>
    </font>
    <font>
      <b/>
      <sz val="10"/>
      <color rgb="FF000000"/>
      <name val="Arial Narrow"/>
      <family val="2"/>
    </font>
    <font>
      <sz val="10"/>
      <color rgb="FF000000"/>
      <name val="Calibri"/>
      <family val="2"/>
      <scheme val="minor"/>
    </font>
    <font>
      <sz val="11"/>
      <name val="Arial"/>
      <family val="1"/>
    </font>
    <font>
      <sz val="10"/>
      <color theme="1"/>
      <name val="Arial"/>
      <family val="2"/>
    </font>
    <font>
      <b/>
      <sz val="12"/>
      <color theme="1"/>
      <name val="Arial"/>
      <family val="2"/>
    </font>
    <font>
      <b/>
      <sz val="10"/>
      <color theme="1"/>
      <name val="Arial"/>
      <family val="2"/>
    </font>
    <font>
      <sz val="11"/>
      <color rgb="FF00B050"/>
      <name val="Calibri"/>
      <family val="2"/>
      <scheme val="minor"/>
    </font>
    <font>
      <b/>
      <sz val="11"/>
      <color theme="1"/>
      <name val="Calibri"/>
      <family val="2"/>
      <scheme val="minor"/>
    </font>
    <font>
      <b/>
      <sz val="14"/>
      <color theme="1"/>
      <name val="Calibri"/>
      <family val="2"/>
      <scheme val="minor"/>
    </font>
    <font>
      <b/>
      <sz val="20"/>
      <color theme="0"/>
      <name val="Calibri"/>
      <family val="2"/>
      <scheme val="minor"/>
    </font>
    <font>
      <b/>
      <sz val="9"/>
      <color theme="1"/>
      <name val="Calibri"/>
      <family val="2"/>
      <scheme val="minor"/>
    </font>
    <font>
      <b/>
      <sz val="10"/>
      <color theme="1"/>
      <name val="Calibri"/>
      <family val="2"/>
      <scheme val="minor"/>
    </font>
    <font>
      <b/>
      <sz val="10"/>
      <name val="Calibri"/>
      <family val="2"/>
      <scheme val="minor"/>
    </font>
    <font>
      <sz val="10"/>
      <color theme="1"/>
      <name val="Calibri"/>
      <family val="2"/>
      <scheme val="minor"/>
    </font>
    <font>
      <sz val="10"/>
      <name val="Calibri"/>
      <family val="2"/>
      <scheme val="minor"/>
    </font>
    <font>
      <sz val="10"/>
      <name val="Courier New"/>
      <family val="3"/>
    </font>
    <font>
      <b/>
      <sz val="11"/>
      <color rgb="FF000000"/>
      <name val="Arial Narrow"/>
      <family val="2"/>
    </font>
    <font>
      <sz val="11"/>
      <name val="Calibri"/>
      <family val="2"/>
      <scheme val="minor"/>
    </font>
    <font>
      <b/>
      <sz val="10"/>
      <color rgb="FF00B050"/>
      <name val="Calibri"/>
      <family val="2"/>
      <scheme val="minor"/>
    </font>
    <font>
      <b/>
      <sz val="9"/>
      <color indexed="81"/>
      <name val="Segoe UI"/>
      <family val="2"/>
    </font>
    <font>
      <sz val="9"/>
      <color indexed="81"/>
      <name val="Segoe UI"/>
      <family val="2"/>
    </font>
  </fonts>
  <fills count="16">
    <fill>
      <patternFill patternType="none"/>
    </fill>
    <fill>
      <patternFill patternType="gray125"/>
    </fill>
    <fill>
      <patternFill patternType="solid">
        <fgColor rgb="FFFFFFFF"/>
      </patternFill>
    </fill>
    <fill>
      <patternFill patternType="solid">
        <fgColor rgb="FFD8ECF6"/>
      </patternFill>
    </fill>
    <fill>
      <patternFill patternType="solid">
        <fgColor rgb="FFF7F3DF"/>
      </patternFill>
    </fill>
    <fill>
      <patternFill patternType="solid">
        <fgColor rgb="FFDFF0D8"/>
      </patternFill>
    </fill>
    <fill>
      <patternFill patternType="solid">
        <fgColor theme="4"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2" tint="-0.89999084444715716"/>
        <bgColor indexed="64"/>
      </patternFill>
    </fill>
    <fill>
      <patternFill patternType="solid">
        <fgColor theme="3" tint="0.59999389629810485"/>
        <bgColor indexed="64"/>
      </patternFill>
    </fill>
    <fill>
      <patternFill patternType="solid">
        <fgColor rgb="FFFFC000"/>
        <bgColor indexed="64"/>
      </patternFill>
    </fill>
    <fill>
      <patternFill patternType="solid">
        <fgColor theme="6" tint="0.59999389629810485"/>
        <bgColor indexed="64"/>
      </patternFill>
    </fill>
    <fill>
      <patternFill patternType="solid">
        <fgColor rgb="FFFFFF00"/>
        <bgColor indexed="64"/>
      </patternFill>
    </fill>
  </fills>
  <borders count="4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CCCCCC"/>
      </left>
      <right style="thin">
        <color rgb="FFCCCCCC"/>
      </right>
      <top style="thin">
        <color rgb="FFCCCCCC"/>
      </top>
      <bottom style="thin">
        <color rgb="FFCCCCCC"/>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auto="1"/>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s>
  <cellStyleXfs count="8">
    <xf numFmtId="0" fontId="0" fillId="0" borderId="0"/>
    <xf numFmtId="43" fontId="8" fillId="0" borderId="0" applyFont="0" applyFill="0" applyBorder="0" applyAlignment="0" applyProtection="0"/>
    <xf numFmtId="44" fontId="8" fillId="0" borderId="0" applyFont="0" applyFill="0" applyBorder="0" applyAlignment="0" applyProtection="0"/>
    <xf numFmtId="9" fontId="8" fillId="0" borderId="0" applyFont="0" applyFill="0" applyBorder="0" applyAlignment="0" applyProtection="0"/>
    <xf numFmtId="43" fontId="16" fillId="0" borderId="0" applyFont="0" applyFill="0" applyBorder="0" applyAlignment="0" applyProtection="0"/>
    <xf numFmtId="0" fontId="16" fillId="0" borderId="0"/>
    <xf numFmtId="0" fontId="8" fillId="0" borderId="0"/>
    <xf numFmtId="0" fontId="1" fillId="0" borderId="0"/>
  </cellStyleXfs>
  <cellXfs count="285">
    <xf numFmtId="0" fontId="0" fillId="0" borderId="0" xfId="0"/>
    <xf numFmtId="0" fontId="3" fillId="2" borderId="0" xfId="0" applyFont="1" applyFill="1" applyAlignment="1">
      <alignment horizontal="left" vertical="top" wrapText="1"/>
    </xf>
    <xf numFmtId="0" fontId="4" fillId="2" borderId="0" xfId="0" applyFont="1" applyFill="1" applyAlignment="1">
      <alignment horizontal="left" vertical="top" wrapText="1"/>
    </xf>
    <xf numFmtId="0" fontId="3" fillId="2" borderId="5" xfId="0" applyFont="1" applyFill="1" applyBorder="1" applyAlignment="1">
      <alignment horizontal="left" vertical="top" wrapText="1"/>
    </xf>
    <xf numFmtId="0" fontId="3" fillId="2" borderId="5" xfId="0" applyFont="1" applyFill="1" applyBorder="1" applyAlignment="1">
      <alignment horizontal="right" vertical="top" wrapText="1"/>
    </xf>
    <xf numFmtId="0" fontId="5" fillId="3" borderId="5" xfId="0" applyFont="1" applyFill="1" applyBorder="1" applyAlignment="1">
      <alignment horizontal="left" vertical="top" wrapText="1"/>
    </xf>
    <xf numFmtId="4" fontId="5" fillId="3" borderId="5" xfId="0" applyNumberFormat="1" applyFont="1" applyFill="1" applyBorder="1" applyAlignment="1">
      <alignment horizontal="right" vertical="top" wrapText="1"/>
    </xf>
    <xf numFmtId="164" fontId="5" fillId="3" borderId="5" xfId="0" applyNumberFormat="1" applyFont="1" applyFill="1" applyBorder="1" applyAlignment="1">
      <alignment horizontal="right" vertical="top" wrapText="1"/>
    </xf>
    <xf numFmtId="0" fontId="6" fillId="2" borderId="0" xfId="0" applyFont="1" applyFill="1" applyAlignment="1">
      <alignment horizontal="center" vertical="top" wrapText="1"/>
    </xf>
    <xf numFmtId="0" fontId="4" fillId="2" borderId="0" xfId="0" applyFont="1" applyFill="1" applyAlignment="1">
      <alignment horizontal="right" vertical="top" wrapText="1"/>
    </xf>
    <xf numFmtId="0" fontId="6" fillId="2" borderId="0" xfId="0" applyFont="1" applyFill="1" applyAlignment="1">
      <alignment horizontal="left" vertical="top" wrapText="1"/>
    </xf>
    <xf numFmtId="0" fontId="4" fillId="2" borderId="0" xfId="0" applyFont="1" applyFill="1" applyAlignment="1">
      <alignment horizontal="center" vertical="top" wrapText="1"/>
    </xf>
    <xf numFmtId="0" fontId="3" fillId="2" borderId="5" xfId="0" applyFont="1" applyFill="1" applyBorder="1" applyAlignment="1">
      <alignment horizontal="center" vertical="top" wrapText="1"/>
    </xf>
    <xf numFmtId="0" fontId="5" fillId="3" borderId="5" xfId="0" applyFont="1" applyFill="1" applyBorder="1" applyAlignment="1">
      <alignment horizontal="right" vertical="top" wrapText="1"/>
    </xf>
    <xf numFmtId="0" fontId="7" fillId="4" borderId="5" xfId="0" applyFont="1" applyFill="1" applyBorder="1" applyAlignment="1">
      <alignment horizontal="left" vertical="top" wrapText="1"/>
    </xf>
    <xf numFmtId="0" fontId="7" fillId="4" borderId="5" xfId="0" applyFont="1" applyFill="1" applyBorder="1" applyAlignment="1">
      <alignment horizontal="right" vertical="top" wrapText="1"/>
    </xf>
    <xf numFmtId="0" fontId="7" fillId="4" borderId="5" xfId="0" applyFont="1" applyFill="1" applyBorder="1" applyAlignment="1">
      <alignment horizontal="center" vertical="top" wrapText="1"/>
    </xf>
    <xf numFmtId="4" fontId="7" fillId="4" borderId="5" xfId="0" applyNumberFormat="1" applyFont="1" applyFill="1" applyBorder="1" applyAlignment="1">
      <alignment horizontal="right" vertical="top" wrapText="1"/>
    </xf>
    <xf numFmtId="164" fontId="7" fillId="4" borderId="5" xfId="0" applyNumberFormat="1" applyFont="1" applyFill="1" applyBorder="1" applyAlignment="1">
      <alignment horizontal="right" vertical="top" wrapText="1"/>
    </xf>
    <xf numFmtId="0" fontId="7" fillId="5" borderId="5" xfId="0" applyFont="1" applyFill="1" applyBorder="1" applyAlignment="1">
      <alignment horizontal="left" vertical="top" wrapText="1"/>
    </xf>
    <xf numFmtId="0" fontId="7" fillId="5" borderId="5" xfId="0" applyFont="1" applyFill="1" applyBorder="1" applyAlignment="1">
      <alignment horizontal="right" vertical="top" wrapText="1"/>
    </xf>
    <xf numFmtId="0" fontId="7" fillId="5" borderId="5" xfId="0" applyFont="1" applyFill="1" applyBorder="1" applyAlignment="1">
      <alignment horizontal="center" vertical="top" wrapText="1"/>
    </xf>
    <xf numFmtId="4" fontId="7" fillId="5" borderId="5" xfId="0" applyNumberFormat="1" applyFont="1" applyFill="1" applyBorder="1" applyAlignment="1">
      <alignment horizontal="right" vertical="top" wrapText="1"/>
    </xf>
    <xf numFmtId="164" fontId="7" fillId="5" borderId="5" xfId="0" applyNumberFormat="1" applyFont="1" applyFill="1" applyBorder="1" applyAlignment="1">
      <alignment horizontal="right" vertical="top" wrapText="1"/>
    </xf>
    <xf numFmtId="4" fontId="5" fillId="3" borderId="5" xfId="0" applyNumberFormat="1" applyFont="1" applyFill="1" applyBorder="1" applyAlignment="1">
      <alignment horizontal="left" vertical="top" wrapText="1"/>
    </xf>
    <xf numFmtId="0" fontId="9" fillId="0" borderId="6" xfId="0" applyFont="1" applyBorder="1" applyAlignment="1">
      <alignment vertical="distributed"/>
    </xf>
    <xf numFmtId="0" fontId="9" fillId="0" borderId="0" xfId="0" applyFont="1" applyAlignment="1">
      <alignment vertical="distributed"/>
    </xf>
    <xf numFmtId="0" fontId="11" fillId="0" borderId="0" xfId="0" applyFont="1" applyAlignment="1">
      <alignment horizontal="justify" vertical="distributed"/>
    </xf>
    <xf numFmtId="0" fontId="9" fillId="0" borderId="0" xfId="0" applyFont="1" applyAlignment="1">
      <alignment horizontal="justify" vertical="distributed"/>
    </xf>
    <xf numFmtId="0" fontId="9" fillId="0" borderId="0" xfId="0" applyFont="1" applyAlignment="1">
      <alignment horizontal="center" vertical="distributed"/>
    </xf>
    <xf numFmtId="0" fontId="9" fillId="0" borderId="8" xfId="0" applyFont="1" applyBorder="1" applyAlignment="1">
      <alignment vertical="distributed"/>
    </xf>
    <xf numFmtId="10" fontId="9" fillId="6" borderId="14" xfId="0" applyNumberFormat="1" applyFont="1" applyFill="1" applyBorder="1" applyAlignment="1">
      <alignment horizontal="left" vertical="distributed"/>
    </xf>
    <xf numFmtId="4" fontId="9" fillId="6" borderId="18" xfId="0" applyNumberFormat="1" applyFont="1" applyFill="1" applyBorder="1" applyAlignment="1">
      <alignment horizontal="left" vertical="distributed"/>
    </xf>
    <xf numFmtId="10" fontId="9" fillId="6" borderId="18" xfId="0" applyNumberFormat="1" applyFont="1" applyFill="1" applyBorder="1" applyAlignment="1">
      <alignment horizontal="left" vertical="distributed"/>
    </xf>
    <xf numFmtId="0" fontId="12" fillId="6" borderId="18" xfId="0" applyFont="1" applyFill="1" applyBorder="1" applyAlignment="1">
      <alignment horizontal="center" vertical="center" wrapText="1"/>
    </xf>
    <xf numFmtId="0" fontId="11" fillId="0" borderId="0" xfId="0" applyFont="1"/>
    <xf numFmtId="0" fontId="9" fillId="0" borderId="0" xfId="0" applyFont="1"/>
    <xf numFmtId="4" fontId="12" fillId="6" borderId="18" xfId="0" applyNumberFormat="1" applyFont="1" applyFill="1" applyBorder="1" applyAlignment="1">
      <alignment horizontal="center" vertical="center" wrapText="1"/>
    </xf>
    <xf numFmtId="0" fontId="9" fillId="7" borderId="0" xfId="0" applyFont="1" applyFill="1" applyAlignment="1">
      <alignment vertical="center"/>
    </xf>
    <xf numFmtId="0" fontId="15" fillId="8" borderId="18" xfId="0" applyFont="1" applyFill="1" applyBorder="1" applyAlignment="1">
      <alignment horizontal="center" vertical="center" wrapText="1"/>
    </xf>
    <xf numFmtId="4" fontId="15" fillId="8" borderId="18" xfId="0" applyNumberFormat="1" applyFont="1" applyFill="1" applyBorder="1" applyAlignment="1">
      <alignment horizontal="center" vertical="center" wrapText="1"/>
    </xf>
    <xf numFmtId="0" fontId="15" fillId="7" borderId="18" xfId="0" applyFont="1" applyFill="1" applyBorder="1" applyAlignment="1">
      <alignment horizontal="center" vertical="center" wrapText="1"/>
    </xf>
    <xf numFmtId="0" fontId="0" fillId="0" borderId="18" xfId="0" applyBorder="1" applyAlignment="1">
      <alignment horizontal="center" vertical="center"/>
    </xf>
    <xf numFmtId="4" fontId="0" fillId="0" borderId="18" xfId="0" applyNumberFormat="1" applyBorder="1" applyAlignment="1">
      <alignment horizontal="center" vertical="center"/>
    </xf>
    <xf numFmtId="9" fontId="8" fillId="0" borderId="18" xfId="3" applyFont="1" applyBorder="1" applyAlignment="1">
      <alignment horizontal="center" vertical="center"/>
    </xf>
    <xf numFmtId="0" fontId="15" fillId="8" borderId="18" xfId="0" applyFont="1" applyFill="1" applyBorder="1" applyAlignment="1">
      <alignment horizontal="left" vertical="center" wrapText="1"/>
    </xf>
    <xf numFmtId="0" fontId="15" fillId="7" borderId="18" xfId="0" applyFont="1" applyFill="1" applyBorder="1" applyAlignment="1">
      <alignment horizontal="left" vertical="center" wrapText="1"/>
    </xf>
    <xf numFmtId="0" fontId="0" fillId="8" borderId="18" xfId="0" applyFill="1" applyBorder="1" applyAlignment="1">
      <alignment horizontal="center" vertical="center"/>
    </xf>
    <xf numFmtId="4" fontId="0" fillId="8" borderId="18" xfId="0" applyNumberFormat="1" applyFill="1" applyBorder="1" applyAlignment="1">
      <alignment horizontal="center" vertical="center"/>
    </xf>
    <xf numFmtId="9" fontId="8" fillId="8" borderId="18" xfId="3" applyFont="1" applyFill="1" applyBorder="1" applyAlignment="1">
      <alignment horizontal="center" vertical="center"/>
    </xf>
    <xf numFmtId="0" fontId="0" fillId="8" borderId="18" xfId="0" applyFill="1" applyBorder="1"/>
    <xf numFmtId="0" fontId="14" fillId="8" borderId="18" xfId="0" applyFont="1" applyFill="1" applyBorder="1" applyAlignment="1">
      <alignment vertical="distributed" wrapText="1"/>
    </xf>
    <xf numFmtId="4" fontId="0" fillId="8" borderId="18" xfId="0" applyNumberFormat="1" applyFill="1" applyBorder="1"/>
    <xf numFmtId="0" fontId="14" fillId="7" borderId="0" xfId="0" applyFont="1" applyFill="1" applyAlignment="1">
      <alignment vertical="distributed" wrapText="1"/>
    </xf>
    <xf numFmtId="4" fontId="0" fillId="0" borderId="0" xfId="0" applyNumberFormat="1"/>
    <xf numFmtId="44" fontId="0" fillId="0" borderId="18" xfId="2" applyFont="1" applyBorder="1" applyAlignment="1">
      <alignment horizontal="center" vertical="center"/>
    </xf>
    <xf numFmtId="44" fontId="0" fillId="8" borderId="18" xfId="2" applyFont="1" applyFill="1" applyBorder="1" applyAlignment="1">
      <alignment horizontal="center" vertical="center"/>
    </xf>
    <xf numFmtId="44" fontId="0" fillId="8" borderId="18" xfId="2" applyFont="1" applyFill="1" applyBorder="1"/>
    <xf numFmtId="43" fontId="19" fillId="0" borderId="20" xfId="4" applyFont="1" applyBorder="1" applyAlignment="1">
      <alignment vertical="center"/>
    </xf>
    <xf numFmtId="43" fontId="19" fillId="0" borderId="21" xfId="4" applyFont="1" applyBorder="1" applyAlignment="1">
      <alignment vertical="center"/>
    </xf>
    <xf numFmtId="43" fontId="19" fillId="9" borderId="25" xfId="4" applyFont="1" applyFill="1" applyBorder="1" applyAlignment="1">
      <alignment vertical="center"/>
    </xf>
    <xf numFmtId="43" fontId="19" fillId="9" borderId="26" xfId="4" applyFont="1" applyFill="1" applyBorder="1" applyAlignment="1">
      <alignment vertical="center"/>
    </xf>
    <xf numFmtId="43" fontId="17" fillId="0" borderId="22" xfId="4" applyFont="1" applyBorder="1" applyAlignment="1">
      <alignment horizontal="left"/>
    </xf>
    <xf numFmtId="43" fontId="17" fillId="0" borderId="0" xfId="4" applyFont="1" applyBorder="1" applyAlignment="1">
      <alignment horizontal="left"/>
    </xf>
    <xf numFmtId="43" fontId="17" fillId="0" borderId="23" xfId="4" applyFont="1" applyBorder="1" applyAlignment="1">
      <alignment horizontal="left"/>
    </xf>
    <xf numFmtId="43" fontId="2" fillId="0" borderId="34" xfId="4" applyFont="1" applyFill="1" applyBorder="1" applyAlignment="1">
      <alignment horizontal="center" vertical="center"/>
    </xf>
    <xf numFmtId="43" fontId="2" fillId="0" borderId="0" xfId="4" applyFont="1" applyFill="1" applyBorder="1" applyAlignment="1">
      <alignment horizontal="center" vertical="center"/>
    </xf>
    <xf numFmtId="43" fontId="2" fillId="10" borderId="18" xfId="4" applyFont="1" applyFill="1" applyBorder="1" applyAlignment="1">
      <alignment horizontal="center" vertical="center"/>
    </xf>
    <xf numFmtId="0" fontId="16" fillId="0" borderId="18" xfId="5" applyBorder="1"/>
    <xf numFmtId="43" fontId="1" fillId="8" borderId="18" xfId="4" applyFont="1" applyFill="1" applyBorder="1" applyAlignment="1">
      <alignment horizontal="center" vertical="center"/>
    </xf>
    <xf numFmtId="43" fontId="1" fillId="10" borderId="18" xfId="4" applyFont="1" applyFill="1" applyBorder="1" applyAlignment="1">
      <alignment horizontal="center" vertical="center"/>
    </xf>
    <xf numFmtId="43" fontId="0" fillId="0" borderId="0" xfId="1" applyFont="1"/>
    <xf numFmtId="43" fontId="0" fillId="0" borderId="0" xfId="1" applyFont="1" applyAlignment="1">
      <alignment horizontal="center" vertical="center"/>
    </xf>
    <xf numFmtId="43" fontId="0" fillId="0" borderId="18" xfId="0" applyNumberFormat="1" applyBorder="1" applyAlignment="1">
      <alignment horizontal="center" vertical="center"/>
    </xf>
    <xf numFmtId="43" fontId="0" fillId="0" borderId="18" xfId="1" applyFont="1" applyBorder="1" applyAlignment="1">
      <alignment horizontal="center" vertical="center"/>
    </xf>
    <xf numFmtId="0" fontId="0" fillId="0" borderId="0" xfId="0" applyAlignment="1">
      <alignment horizontal="center"/>
    </xf>
    <xf numFmtId="0" fontId="20" fillId="0" borderId="0" xfId="0" applyFont="1" applyAlignment="1">
      <alignment horizontal="center" vertical="center"/>
    </xf>
    <xf numFmtId="43" fontId="20" fillId="0" borderId="0" xfId="0" applyNumberFormat="1" applyFont="1" applyAlignment="1">
      <alignment horizontal="center" vertical="center"/>
    </xf>
    <xf numFmtId="43" fontId="20" fillId="0" borderId="0" xfId="1" applyFont="1" applyAlignment="1">
      <alignment horizontal="center" vertical="center"/>
    </xf>
    <xf numFmtId="0" fontId="8" fillId="0" borderId="0" xfId="6"/>
    <xf numFmtId="0" fontId="21" fillId="12" borderId="18" xfId="6" applyFont="1" applyFill="1" applyBorder="1" applyAlignment="1">
      <alignment horizontal="center" vertical="center" wrapText="1"/>
    </xf>
    <xf numFmtId="0" fontId="21" fillId="13" borderId="11" xfId="6" applyFont="1" applyFill="1" applyBorder="1" applyAlignment="1">
      <alignment horizontal="center" vertical="center"/>
    </xf>
    <xf numFmtId="0" fontId="21" fillId="13" borderId="11" xfId="6" applyFont="1" applyFill="1" applyBorder="1" applyAlignment="1">
      <alignment horizontal="left" vertical="center"/>
    </xf>
    <xf numFmtId="0" fontId="21" fillId="13" borderId="12" xfId="6" applyFont="1" applyFill="1" applyBorder="1" applyAlignment="1">
      <alignment horizontal="center" vertical="center" wrapText="1"/>
    </xf>
    <xf numFmtId="49" fontId="21" fillId="13" borderId="13" xfId="6" applyNumberFormat="1" applyFont="1" applyFill="1" applyBorder="1" applyAlignment="1">
      <alignment horizontal="center" vertical="center" wrapText="1"/>
    </xf>
    <xf numFmtId="166" fontId="25" fillId="12" borderId="11" xfId="6" applyNumberFormat="1" applyFont="1" applyFill="1" applyBorder="1" applyAlignment="1">
      <alignment horizontal="center" vertical="center"/>
    </xf>
    <xf numFmtId="166" fontId="25" fillId="14" borderId="11" xfId="6" applyNumberFormat="1" applyFont="1" applyFill="1" applyBorder="1" applyAlignment="1">
      <alignment horizontal="center" vertical="center"/>
    </xf>
    <xf numFmtId="4" fontId="25" fillId="14" borderId="18" xfId="6" applyNumberFormat="1" applyFont="1" applyFill="1" applyBorder="1" applyAlignment="1">
      <alignment horizontal="center" vertical="center"/>
    </xf>
    <xf numFmtId="0" fontId="25" fillId="14" borderId="18" xfId="6" applyFont="1" applyFill="1" applyBorder="1" applyAlignment="1">
      <alignment horizontal="center" vertical="center"/>
    </xf>
    <xf numFmtId="2" fontId="27" fillId="0" borderId="18" xfId="6" applyNumberFormat="1" applyFont="1" applyBorder="1" applyAlignment="1">
      <alignment horizontal="center"/>
    </xf>
    <xf numFmtId="2" fontId="27" fillId="0" borderId="18" xfId="6" applyNumberFormat="1" applyFont="1" applyBorder="1" applyAlignment="1">
      <alignment horizontal="center" vertical="center" wrapText="1"/>
    </xf>
    <xf numFmtId="2" fontId="27" fillId="0" borderId="18" xfId="6" applyNumberFormat="1" applyFont="1" applyBorder="1" applyAlignment="1">
      <alignment horizontal="center" vertical="center"/>
    </xf>
    <xf numFmtId="2" fontId="8" fillId="0" borderId="0" xfId="6" applyNumberFormat="1"/>
    <xf numFmtId="2" fontId="27" fillId="0" borderId="11" xfId="6" applyNumberFormat="1" applyFont="1" applyBorder="1" applyAlignment="1">
      <alignment horizontal="center"/>
    </xf>
    <xf numFmtId="2" fontId="27" fillId="0" borderId="11" xfId="6" applyNumberFormat="1" applyFont="1" applyBorder="1" applyAlignment="1">
      <alignment horizontal="center" vertical="center" wrapText="1"/>
    </xf>
    <xf numFmtId="2" fontId="27" fillId="0" borderId="12" xfId="6" applyNumberFormat="1" applyFont="1" applyBorder="1" applyAlignment="1">
      <alignment horizontal="center" vertical="center"/>
    </xf>
    <xf numFmtId="2" fontId="27" fillId="0" borderId="13" xfId="6" applyNumberFormat="1" applyFont="1" applyBorder="1" applyAlignment="1">
      <alignment horizontal="center" vertical="center"/>
    </xf>
    <xf numFmtId="166" fontId="25" fillId="0" borderId="15" xfId="6" applyNumberFormat="1" applyFont="1" applyBorder="1" applyAlignment="1">
      <alignment horizontal="center" vertical="center"/>
    </xf>
    <xf numFmtId="0" fontId="28" fillId="0" borderId="18" xfId="6" applyFont="1" applyBorder="1" applyAlignment="1">
      <alignment horizontal="center" vertical="center" wrapText="1"/>
    </xf>
    <xf numFmtId="2" fontId="28" fillId="0" borderId="18" xfId="6" applyNumberFormat="1" applyFont="1" applyBorder="1" applyAlignment="1">
      <alignment horizontal="center" vertical="center" wrapText="1"/>
    </xf>
    <xf numFmtId="0" fontId="27" fillId="0" borderId="18" xfId="6" applyFont="1" applyBorder="1" applyAlignment="1">
      <alignment horizontal="center" vertical="center"/>
    </xf>
    <xf numFmtId="0" fontId="26" fillId="0" borderId="18" xfId="6" applyFont="1" applyBorder="1" applyAlignment="1">
      <alignment horizontal="center" vertical="center" wrapText="1"/>
    </xf>
    <xf numFmtId="4" fontId="25" fillId="0" borderId="18" xfId="6" applyNumberFormat="1" applyFont="1" applyBorder="1" applyAlignment="1">
      <alignment horizontal="center" vertical="center"/>
    </xf>
    <xf numFmtId="0" fontId="25" fillId="0" borderId="18" xfId="6" applyFont="1" applyBorder="1" applyAlignment="1">
      <alignment horizontal="center" vertical="center"/>
    </xf>
    <xf numFmtId="2" fontId="27" fillId="0" borderId="18" xfId="6" applyNumberFormat="1" applyFont="1" applyBorder="1"/>
    <xf numFmtId="2" fontId="27" fillId="0" borderId="18" xfId="6" applyNumberFormat="1" applyFont="1" applyBorder="1" applyAlignment="1">
      <alignment vertical="center" wrapText="1"/>
    </xf>
    <xf numFmtId="0" fontId="8" fillId="0" borderId="18" xfId="6" applyBorder="1"/>
    <xf numFmtId="0" fontId="8" fillId="0" borderId="18" xfId="6" applyBorder="1" applyAlignment="1">
      <alignment horizontal="center"/>
    </xf>
    <xf numFmtId="166" fontId="25" fillId="0" borderId="11" xfId="6" applyNumberFormat="1" applyFont="1" applyBorder="1" applyAlignment="1">
      <alignment horizontal="center" vertical="center"/>
    </xf>
    <xf numFmtId="2" fontId="27" fillId="0" borderId="0" xfId="0" applyNumberFormat="1" applyFont="1"/>
    <xf numFmtId="2" fontId="27" fillId="0" borderId="18" xfId="0" applyNumberFormat="1" applyFont="1" applyBorder="1"/>
    <xf numFmtId="0" fontId="28" fillId="7" borderId="18" xfId="7" applyFont="1" applyFill="1" applyBorder="1" applyAlignment="1">
      <alignment horizontal="left" vertical="center" wrapText="1"/>
    </xf>
    <xf numFmtId="0" fontId="28" fillId="7" borderId="18" xfId="7" applyFont="1" applyFill="1" applyBorder="1" applyAlignment="1">
      <alignment horizontal="center" vertical="center"/>
    </xf>
    <xf numFmtId="0" fontId="28" fillId="7" borderId="18" xfId="7" applyFont="1" applyFill="1" applyBorder="1" applyAlignment="1">
      <alignment horizontal="left"/>
    </xf>
    <xf numFmtId="0" fontId="29" fillId="7" borderId="18" xfId="7" applyFont="1" applyFill="1" applyBorder="1" applyAlignment="1">
      <alignment horizontal="center"/>
    </xf>
    <xf numFmtId="0" fontId="28" fillId="7" borderId="18" xfId="7" applyFont="1" applyFill="1" applyBorder="1" applyAlignment="1">
      <alignment horizontal="left" wrapText="1"/>
    </xf>
    <xf numFmtId="0" fontId="28" fillId="7" borderId="13" xfId="7" applyFont="1" applyFill="1" applyBorder="1" applyAlignment="1">
      <alignment horizontal="left" vertical="center" wrapText="1"/>
    </xf>
    <xf numFmtId="0" fontId="0" fillId="0" borderId="0" xfId="0" applyAlignment="1">
      <alignment wrapText="1"/>
    </xf>
    <xf numFmtId="0" fontId="21" fillId="0" borderId="11" xfId="6" applyFont="1" applyBorder="1" applyAlignment="1">
      <alignment horizontal="center" vertical="center"/>
    </xf>
    <xf numFmtId="0" fontId="21" fillId="0" borderId="18" xfId="6" applyFont="1" applyBorder="1" applyAlignment="1">
      <alignment horizontal="center" vertical="center"/>
    </xf>
    <xf numFmtId="0" fontId="21" fillId="0" borderId="18" xfId="6" applyFont="1" applyBorder="1" applyAlignment="1">
      <alignment horizontal="center" vertical="center" wrapText="1"/>
    </xf>
    <xf numFmtId="49" fontId="21" fillId="0" borderId="18" xfId="6" applyNumberFormat="1" applyFont="1" applyBorder="1" applyAlignment="1">
      <alignment horizontal="center" vertical="center" wrapText="1"/>
    </xf>
    <xf numFmtId="0" fontId="26" fillId="14" borderId="11" xfId="6" applyFont="1" applyFill="1" applyBorder="1" applyAlignment="1">
      <alignment horizontal="center" vertical="center" wrapText="1"/>
    </xf>
    <xf numFmtId="0" fontId="26" fillId="14" borderId="12" xfId="6" applyFont="1" applyFill="1" applyBorder="1" applyAlignment="1">
      <alignment horizontal="center" vertical="center" wrapText="1"/>
    </xf>
    <xf numFmtId="14" fontId="9" fillId="0" borderId="18" xfId="0" applyNumberFormat="1" applyFont="1" applyBorder="1" applyAlignment="1">
      <alignment horizontal="left" vertical="distributed"/>
    </xf>
    <xf numFmtId="49" fontId="9" fillId="0" borderId="19" xfId="0" applyNumberFormat="1" applyFont="1" applyBorder="1" applyAlignment="1">
      <alignment horizontal="center" vertical="distributed"/>
    </xf>
    <xf numFmtId="10" fontId="8" fillId="0" borderId="18" xfId="3" applyNumberFormat="1" applyFont="1" applyBorder="1" applyAlignment="1">
      <alignment horizontal="center" vertical="center"/>
    </xf>
    <xf numFmtId="43" fontId="31" fillId="0" borderId="18" xfId="0" applyNumberFormat="1" applyFont="1" applyBorder="1" applyAlignment="1">
      <alignment horizontal="center" vertical="center"/>
    </xf>
    <xf numFmtId="10" fontId="0" fillId="8" borderId="18" xfId="3" applyNumberFormat="1" applyFont="1" applyFill="1" applyBorder="1"/>
    <xf numFmtId="44" fontId="0" fillId="0" borderId="0" xfId="0" applyNumberFormat="1"/>
    <xf numFmtId="166" fontId="25" fillId="0" borderId="0" xfId="6" applyNumberFormat="1" applyFont="1" applyAlignment="1">
      <alignment horizontal="center" vertical="center"/>
    </xf>
    <xf numFmtId="0" fontId="26" fillId="0" borderId="11" xfId="6" applyFont="1" applyBorder="1" applyAlignment="1">
      <alignment horizontal="left" vertical="center" wrapText="1"/>
    </xf>
    <xf numFmtId="0" fontId="26" fillId="0" borderId="12" xfId="6" applyFont="1" applyBorder="1" applyAlignment="1">
      <alignment horizontal="left" vertical="center" wrapText="1"/>
    </xf>
    <xf numFmtId="0" fontId="26" fillId="0" borderId="0" xfId="6" applyFont="1" applyAlignment="1">
      <alignment horizontal="left" vertical="center" wrapText="1"/>
    </xf>
    <xf numFmtId="0" fontId="25" fillId="14" borderId="13" xfId="6" applyFont="1" applyFill="1" applyBorder="1" applyAlignment="1">
      <alignment horizontal="center" vertical="center"/>
    </xf>
    <xf numFmtId="43" fontId="21" fillId="0" borderId="18" xfId="1" applyFont="1" applyBorder="1" applyAlignment="1">
      <alignment horizontal="center" vertical="center"/>
    </xf>
    <xf numFmtId="0" fontId="0" fillId="0" borderId="18" xfId="0" applyBorder="1"/>
    <xf numFmtId="4" fontId="0" fillId="0" borderId="18" xfId="0" applyNumberFormat="1" applyBorder="1"/>
    <xf numFmtId="43" fontId="0" fillId="0" borderId="18" xfId="0" applyNumberFormat="1" applyBorder="1"/>
    <xf numFmtId="0" fontId="21" fillId="10" borderId="11" xfId="6" applyFont="1" applyFill="1" applyBorder="1" applyAlignment="1">
      <alignment horizontal="center" vertical="center"/>
    </xf>
    <xf numFmtId="0" fontId="21" fillId="10" borderId="18" xfId="6" applyFont="1" applyFill="1" applyBorder="1" applyAlignment="1">
      <alignment horizontal="left" vertical="center"/>
    </xf>
    <xf numFmtId="0" fontId="21" fillId="10" borderId="18" xfId="6" applyFont="1" applyFill="1" applyBorder="1" applyAlignment="1">
      <alignment horizontal="center" vertical="center" wrapText="1"/>
    </xf>
    <xf numFmtId="49" fontId="21" fillId="10" borderId="13" xfId="6" applyNumberFormat="1" applyFont="1" applyFill="1" applyBorder="1" applyAlignment="1">
      <alignment horizontal="center" vertical="center" wrapText="1"/>
    </xf>
    <xf numFmtId="43" fontId="0" fillId="0" borderId="0" xfId="0" applyNumberFormat="1"/>
    <xf numFmtId="43" fontId="31" fillId="15" borderId="18" xfId="1" applyFont="1" applyFill="1" applyBorder="1" applyAlignment="1">
      <alignment horizontal="center" vertical="center"/>
    </xf>
    <xf numFmtId="43" fontId="0" fillId="15" borderId="18" xfId="1" applyFont="1" applyFill="1" applyBorder="1" applyAlignment="1">
      <alignment horizontal="center" vertical="center"/>
    </xf>
    <xf numFmtId="43" fontId="0" fillId="7" borderId="18" xfId="1" applyFont="1" applyFill="1" applyBorder="1" applyAlignment="1">
      <alignment horizontal="center" vertical="center"/>
    </xf>
    <xf numFmtId="0" fontId="25" fillId="7" borderId="0" xfId="6" applyFont="1" applyFill="1" applyAlignment="1">
      <alignment horizontal="center" vertical="center"/>
    </xf>
    <xf numFmtId="0" fontId="0" fillId="7" borderId="0" xfId="0" applyFill="1"/>
    <xf numFmtId="43" fontId="0" fillId="7" borderId="0" xfId="1" applyFont="1" applyFill="1" applyBorder="1" applyAlignment="1">
      <alignment horizontal="center" vertical="center"/>
    </xf>
    <xf numFmtId="0" fontId="25" fillId="14" borderId="12" xfId="6" applyFont="1" applyFill="1" applyBorder="1" applyAlignment="1">
      <alignment horizontal="center" vertical="center"/>
    </xf>
    <xf numFmtId="0" fontId="25" fillId="14" borderId="14" xfId="6" applyFont="1" applyFill="1" applyBorder="1" applyAlignment="1">
      <alignment horizontal="center" vertical="center"/>
    </xf>
    <xf numFmtId="43" fontId="0" fillId="0" borderId="0" xfId="1" applyFont="1" applyBorder="1" applyAlignment="1">
      <alignment horizontal="center" vertical="center"/>
    </xf>
    <xf numFmtId="0" fontId="26" fillId="14" borderId="11" xfId="6" applyFont="1" applyFill="1" applyBorder="1" applyAlignment="1">
      <alignment vertical="center" wrapText="1"/>
    </xf>
    <xf numFmtId="0" fontId="26" fillId="14" borderId="12" xfId="6" applyFont="1" applyFill="1" applyBorder="1" applyAlignment="1">
      <alignment vertical="center" wrapText="1"/>
    </xf>
    <xf numFmtId="4" fontId="26" fillId="14" borderId="18" xfId="6" applyNumberFormat="1" applyFont="1" applyFill="1" applyBorder="1" applyAlignment="1">
      <alignment horizontal="center" vertical="center"/>
    </xf>
    <xf numFmtId="166" fontId="25" fillId="14" borderId="15" xfId="6" applyNumberFormat="1" applyFont="1" applyFill="1" applyBorder="1" applyAlignment="1">
      <alignment horizontal="center" vertical="center"/>
    </xf>
    <xf numFmtId="4" fontId="32" fillId="14" borderId="18" xfId="6" applyNumberFormat="1" applyFont="1" applyFill="1" applyBorder="1" applyAlignment="1">
      <alignment horizontal="center" vertical="center"/>
    </xf>
    <xf numFmtId="2" fontId="27" fillId="0" borderId="18" xfId="6" applyNumberFormat="1" applyFont="1" applyBorder="1" applyAlignment="1">
      <alignment horizontal="left" vertical="center" wrapText="1"/>
    </xf>
    <xf numFmtId="167" fontId="8" fillId="0" borderId="18" xfId="3" applyNumberFormat="1" applyFont="1" applyBorder="1" applyAlignment="1">
      <alignment horizontal="center" vertical="center"/>
    </xf>
    <xf numFmtId="167" fontId="8" fillId="8" borderId="18" xfId="3" applyNumberFormat="1" applyFont="1" applyFill="1" applyBorder="1" applyAlignment="1">
      <alignment horizontal="center" vertical="center"/>
    </xf>
    <xf numFmtId="10" fontId="0" fillId="0" borderId="0" xfId="3" applyNumberFormat="1" applyFont="1"/>
    <xf numFmtId="0" fontId="13" fillId="6" borderId="18" xfId="0" applyFont="1" applyFill="1" applyBorder="1" applyAlignment="1">
      <alignment horizontal="center" vertical="center"/>
    </xf>
    <xf numFmtId="0" fontId="13" fillId="6" borderId="18" xfId="0" applyFont="1" applyFill="1" applyBorder="1" applyAlignment="1">
      <alignment horizontal="center" vertical="center" wrapText="1"/>
    </xf>
    <xf numFmtId="0" fontId="13" fillId="6" borderId="18" xfId="0" applyFont="1" applyFill="1" applyBorder="1" applyAlignment="1">
      <alignment horizontal="left" vertical="center" wrapText="1"/>
    </xf>
    <xf numFmtId="0" fontId="0" fillId="0" borderId="18" xfId="0" applyBorder="1" applyAlignment="1">
      <alignment horizontal="left" vertical="center"/>
    </xf>
    <xf numFmtId="0" fontId="0" fillId="8" borderId="18" xfId="0" applyFill="1" applyBorder="1" applyAlignment="1">
      <alignment horizontal="left" vertical="center"/>
    </xf>
    <xf numFmtId="0" fontId="0" fillId="0" borderId="18" xfId="0" applyBorder="1" applyAlignment="1">
      <alignment horizontal="left" vertical="center" wrapText="1"/>
    </xf>
    <xf numFmtId="0" fontId="0" fillId="8" borderId="18" xfId="0" applyFill="1" applyBorder="1" applyAlignment="1">
      <alignment horizontal="left"/>
    </xf>
    <xf numFmtId="0" fontId="0" fillId="0" borderId="0" xfId="0" applyAlignment="1">
      <alignment horizontal="left"/>
    </xf>
    <xf numFmtId="0" fontId="3" fillId="2" borderId="0" xfId="0" applyFont="1" applyFill="1" applyAlignment="1">
      <alignment horizontal="left" vertical="top" wrapText="1"/>
    </xf>
    <xf numFmtId="0" fontId="4" fillId="2" borderId="0" xfId="0" applyFont="1" applyFill="1" applyAlignment="1">
      <alignment horizontal="left" vertical="top" wrapText="1"/>
    </xf>
    <xf numFmtId="0" fontId="4" fillId="2" borderId="0" xfId="0" applyFont="1" applyFill="1" applyAlignment="1">
      <alignment horizontal="right" vertical="top" wrapText="1"/>
    </xf>
    <xf numFmtId="4" fontId="4" fillId="2" borderId="0" xfId="0" applyNumberFormat="1" applyFont="1" applyFill="1" applyAlignment="1">
      <alignment horizontal="right" vertical="top" wrapText="1"/>
    </xf>
    <xf numFmtId="0" fontId="3" fillId="2" borderId="0" xfId="0" applyFont="1" applyFill="1" applyAlignment="1">
      <alignment horizontal="center" wrapText="1"/>
    </xf>
    <xf numFmtId="0" fontId="0" fillId="0" borderId="0" xfId="0"/>
    <xf numFmtId="14" fontId="9" fillId="0" borderId="18" xfId="0" applyNumberFormat="1" applyFont="1" applyBorder="1" applyAlignment="1">
      <alignment horizontal="left" vertical="distributed"/>
    </xf>
    <xf numFmtId="0" fontId="10" fillId="0" borderId="0" xfId="0" applyFont="1" applyAlignment="1">
      <alignment horizontal="center" vertical="distributed"/>
    </xf>
    <xf numFmtId="0" fontId="10" fillId="0" borderId="7" xfId="0" applyFont="1" applyBorder="1" applyAlignment="1">
      <alignment horizontal="center" vertical="distributed"/>
    </xf>
    <xf numFmtId="0" fontId="10" fillId="0" borderId="9" xfId="0" applyFont="1" applyBorder="1" applyAlignment="1">
      <alignment horizontal="center" vertical="distributed"/>
    </xf>
    <xf numFmtId="0" fontId="10" fillId="0" borderId="10" xfId="0" applyFont="1" applyBorder="1" applyAlignment="1">
      <alignment horizontal="center" vertical="distributed"/>
    </xf>
    <xf numFmtId="0" fontId="9" fillId="6" borderId="11" xfId="0" applyFont="1" applyFill="1" applyBorder="1" applyAlignment="1">
      <alignment horizontal="left" vertical="distributed"/>
    </xf>
    <xf numFmtId="0" fontId="9" fillId="6" borderId="12" xfId="0" applyFont="1" applyFill="1" applyBorder="1" applyAlignment="1">
      <alignment horizontal="left" vertical="distributed"/>
    </xf>
    <xf numFmtId="0" fontId="9" fillId="6" borderId="13" xfId="0" applyFont="1" applyFill="1" applyBorder="1" applyAlignment="1">
      <alignment horizontal="left" vertical="distributed"/>
    </xf>
    <xf numFmtId="4" fontId="9" fillId="6" borderId="11" xfId="0" applyNumberFormat="1" applyFont="1" applyFill="1" applyBorder="1" applyAlignment="1">
      <alignment horizontal="left" vertical="distributed"/>
    </xf>
    <xf numFmtId="4" fontId="9" fillId="6" borderId="12" xfId="0" applyNumberFormat="1" applyFont="1" applyFill="1" applyBorder="1" applyAlignment="1">
      <alignment horizontal="left" vertical="distributed"/>
    </xf>
    <xf numFmtId="4" fontId="9" fillId="6" borderId="13" xfId="0" applyNumberFormat="1" applyFont="1" applyFill="1" applyBorder="1" applyAlignment="1">
      <alignment horizontal="left" vertical="distributed"/>
    </xf>
    <xf numFmtId="0" fontId="9" fillId="0" borderId="15" xfId="0" applyFont="1" applyBorder="1" applyAlignment="1">
      <alignment horizontal="left" vertical="distributed"/>
    </xf>
    <xf numFmtId="0" fontId="9" fillId="0" borderId="16" xfId="0" applyFont="1" applyBorder="1" applyAlignment="1">
      <alignment horizontal="left" vertical="distributed"/>
    </xf>
    <xf numFmtId="0" fontId="9" fillId="0" borderId="17" xfId="0" applyFont="1" applyBorder="1" applyAlignment="1">
      <alignment horizontal="left" vertical="distributed"/>
    </xf>
    <xf numFmtId="0" fontId="9" fillId="0" borderId="8" xfId="0" applyFont="1" applyBorder="1" applyAlignment="1">
      <alignment horizontal="left" vertical="distributed"/>
    </xf>
    <xf numFmtId="0" fontId="9" fillId="0" borderId="9" xfId="0" applyFont="1" applyBorder="1" applyAlignment="1">
      <alignment horizontal="left" vertical="distributed"/>
    </xf>
    <xf numFmtId="0" fontId="9" fillId="0" borderId="10" xfId="0" applyFont="1" applyBorder="1" applyAlignment="1">
      <alignment horizontal="left" vertical="distributed"/>
    </xf>
    <xf numFmtId="49" fontId="9" fillId="0" borderId="19" xfId="0" applyNumberFormat="1" applyFont="1" applyBorder="1" applyAlignment="1">
      <alignment horizontal="center" vertical="distributed"/>
    </xf>
    <xf numFmtId="49" fontId="9" fillId="0" borderId="14" xfId="0" applyNumberFormat="1" applyFont="1" applyBorder="1" applyAlignment="1">
      <alignment horizontal="center" vertical="distributed"/>
    </xf>
    <xf numFmtId="0" fontId="9" fillId="6" borderId="18" xfId="0" applyFont="1" applyFill="1" applyBorder="1" applyAlignment="1">
      <alignment horizontal="left" vertical="distributed"/>
    </xf>
    <xf numFmtId="0" fontId="9" fillId="0" borderId="18" xfId="0" applyFont="1" applyBorder="1" applyAlignment="1">
      <alignment horizontal="left" vertical="distributed"/>
    </xf>
    <xf numFmtId="165" fontId="9" fillId="0" borderId="15" xfId="0" applyNumberFormat="1" applyFont="1" applyBorder="1" applyAlignment="1">
      <alignment horizontal="left" vertical="distributed"/>
    </xf>
    <xf numFmtId="165" fontId="9" fillId="0" borderId="17" xfId="0" applyNumberFormat="1" applyFont="1" applyBorder="1" applyAlignment="1">
      <alignment horizontal="left" vertical="distributed"/>
    </xf>
    <xf numFmtId="165" fontId="9" fillId="0" borderId="8" xfId="0" applyNumberFormat="1" applyFont="1" applyBorder="1" applyAlignment="1">
      <alignment horizontal="left" vertical="distributed"/>
    </xf>
    <xf numFmtId="165" fontId="9" fillId="0" borderId="10" xfId="0" applyNumberFormat="1" applyFont="1" applyBorder="1" applyAlignment="1">
      <alignment horizontal="left" vertical="distributed"/>
    </xf>
    <xf numFmtId="165" fontId="13" fillId="0" borderId="18" xfId="0" applyNumberFormat="1" applyFont="1" applyBorder="1" applyAlignment="1">
      <alignment horizontal="left" vertical="distributed"/>
    </xf>
    <xf numFmtId="4" fontId="12" fillId="6" borderId="18" xfId="0" applyNumberFormat="1" applyFont="1" applyFill="1" applyBorder="1" applyAlignment="1">
      <alignment horizontal="left" vertical="distributed"/>
    </xf>
    <xf numFmtId="4" fontId="9" fillId="6" borderId="18" xfId="0" applyNumberFormat="1" applyFont="1" applyFill="1" applyBorder="1" applyAlignment="1">
      <alignment horizontal="left" vertical="distributed"/>
    </xf>
    <xf numFmtId="0" fontId="30" fillId="7" borderId="0" xfId="0" applyFont="1" applyFill="1" applyAlignment="1">
      <alignment horizontal="center" vertical="distributed" wrapText="1"/>
    </xf>
    <xf numFmtId="0" fontId="9" fillId="0" borderId="18" xfId="0" applyFont="1" applyBorder="1" applyAlignment="1">
      <alignment horizontal="center" vertical="distributed"/>
    </xf>
    <xf numFmtId="0" fontId="12" fillId="6" borderId="18" xfId="0" applyFont="1" applyFill="1" applyBorder="1" applyAlignment="1">
      <alignment horizontal="center" vertical="center"/>
    </xf>
    <xf numFmtId="0" fontId="12" fillId="6" borderId="18" xfId="0" applyFont="1" applyFill="1" applyBorder="1" applyAlignment="1">
      <alignment horizontal="center" vertical="center" wrapText="1"/>
    </xf>
    <xf numFmtId="4" fontId="12" fillId="6" borderId="18" xfId="0" applyNumberFormat="1" applyFont="1" applyFill="1" applyBorder="1" applyAlignment="1">
      <alignment horizontal="center" vertical="center"/>
    </xf>
    <xf numFmtId="10" fontId="12" fillId="6" borderId="18" xfId="0" applyNumberFormat="1" applyFont="1" applyFill="1" applyBorder="1" applyAlignment="1">
      <alignment horizontal="center" vertical="center"/>
    </xf>
    <xf numFmtId="43" fontId="2" fillId="0" borderId="35" xfId="4" applyFont="1" applyFill="1" applyBorder="1" applyAlignment="1">
      <alignment horizontal="center" vertical="center"/>
    </xf>
    <xf numFmtId="43" fontId="2" fillId="0" borderId="36" xfId="4" applyFont="1" applyFill="1" applyBorder="1" applyAlignment="1">
      <alignment horizontal="center" vertical="center"/>
    </xf>
    <xf numFmtId="43" fontId="17" fillId="0" borderId="20" xfId="4" applyFont="1" applyBorder="1" applyAlignment="1">
      <alignment horizontal="center"/>
    </xf>
    <xf numFmtId="43" fontId="17" fillId="0" borderId="21" xfId="4" applyFont="1" applyBorder="1" applyAlignment="1">
      <alignment horizontal="center"/>
    </xf>
    <xf numFmtId="43" fontId="17" fillId="0" borderId="22" xfId="4" applyFont="1" applyBorder="1" applyAlignment="1">
      <alignment horizontal="center"/>
    </xf>
    <xf numFmtId="43" fontId="17" fillId="0" borderId="23" xfId="4" applyFont="1" applyBorder="1" applyAlignment="1">
      <alignment horizontal="center"/>
    </xf>
    <xf numFmtId="43" fontId="17" fillId="0" borderId="25" xfId="4" applyFont="1" applyBorder="1" applyAlignment="1">
      <alignment horizontal="center"/>
    </xf>
    <xf numFmtId="43" fontId="17" fillId="0" borderId="26" xfId="4" applyFont="1" applyBorder="1" applyAlignment="1">
      <alignment horizontal="center"/>
    </xf>
    <xf numFmtId="43" fontId="18" fillId="0" borderId="2" xfId="4" applyFont="1" applyBorder="1" applyAlignment="1">
      <alignment horizontal="center" vertical="center" wrapText="1"/>
    </xf>
    <xf numFmtId="43" fontId="18" fillId="0" borderId="3" xfId="4" applyFont="1" applyBorder="1" applyAlignment="1">
      <alignment horizontal="center" vertical="center" wrapText="1"/>
    </xf>
    <xf numFmtId="43" fontId="18" fillId="0" borderId="4" xfId="4" applyFont="1" applyBorder="1" applyAlignment="1">
      <alignment horizontal="center" vertical="center" wrapText="1"/>
    </xf>
    <xf numFmtId="43" fontId="17" fillId="0" borderId="20" xfId="4" applyFont="1" applyBorder="1" applyAlignment="1">
      <alignment horizontal="left"/>
    </xf>
    <xf numFmtId="43" fontId="17" fillId="0" borderId="24" xfId="4" applyFont="1" applyBorder="1" applyAlignment="1">
      <alignment horizontal="left"/>
    </xf>
    <xf numFmtId="43" fontId="17" fillId="0" borderId="21" xfId="4" applyFont="1" applyBorder="1" applyAlignment="1">
      <alignment horizontal="left"/>
    </xf>
    <xf numFmtId="43" fontId="19" fillId="9" borderId="25" xfId="4" applyFont="1" applyFill="1" applyBorder="1" applyAlignment="1">
      <alignment horizontal="left" wrapText="1"/>
    </xf>
    <xf numFmtId="43" fontId="19" fillId="9" borderId="1" xfId="4" applyFont="1" applyFill="1" applyBorder="1" applyAlignment="1">
      <alignment horizontal="left" wrapText="1"/>
    </xf>
    <xf numFmtId="43" fontId="19" fillId="9" borderId="26" xfId="4" applyFont="1" applyFill="1" applyBorder="1" applyAlignment="1">
      <alignment horizontal="left" wrapText="1"/>
    </xf>
    <xf numFmtId="43" fontId="19" fillId="9" borderId="25" xfId="4" applyFont="1" applyFill="1" applyBorder="1" applyAlignment="1">
      <alignment horizontal="left"/>
    </xf>
    <xf numFmtId="43" fontId="19" fillId="9" borderId="1" xfId="4" applyFont="1" applyFill="1" applyBorder="1" applyAlignment="1">
      <alignment horizontal="left"/>
    </xf>
    <xf numFmtId="43" fontId="19" fillId="9" borderId="26" xfId="4" applyFont="1" applyFill="1" applyBorder="1" applyAlignment="1">
      <alignment horizontal="left"/>
    </xf>
    <xf numFmtId="43" fontId="17" fillId="0" borderId="20" xfId="4" applyFont="1" applyBorder="1" applyAlignment="1">
      <alignment horizontal="left" vertical="center"/>
    </xf>
    <xf numFmtId="43" fontId="17" fillId="0" borderId="24" xfId="4" applyFont="1" applyBorder="1" applyAlignment="1">
      <alignment horizontal="left" vertical="center"/>
    </xf>
    <xf numFmtId="43" fontId="17" fillId="0" borderId="21" xfId="4" applyFont="1" applyBorder="1" applyAlignment="1">
      <alignment horizontal="left" vertical="center"/>
    </xf>
    <xf numFmtId="43" fontId="19" fillId="9" borderId="25" xfId="4" applyFont="1" applyFill="1" applyBorder="1" applyAlignment="1">
      <alignment horizontal="left" vertical="top" wrapText="1"/>
    </xf>
    <xf numFmtId="43" fontId="19" fillId="9" borderId="1" xfId="4" applyFont="1" applyFill="1" applyBorder="1" applyAlignment="1">
      <alignment horizontal="left" vertical="top" wrapText="1"/>
    </xf>
    <xf numFmtId="43" fontId="19" fillId="9" borderId="26" xfId="4" applyFont="1" applyFill="1" applyBorder="1" applyAlignment="1">
      <alignment horizontal="left" vertical="top" wrapText="1"/>
    </xf>
    <xf numFmtId="43" fontId="19" fillId="9" borderId="25" xfId="4" applyFont="1" applyFill="1" applyBorder="1" applyAlignment="1">
      <alignment horizontal="left" vertical="center" wrapText="1"/>
    </xf>
    <xf numFmtId="43" fontId="19" fillId="9" borderId="1" xfId="4" applyFont="1" applyFill="1" applyBorder="1" applyAlignment="1">
      <alignment horizontal="left" vertical="center" wrapText="1"/>
    </xf>
    <xf numFmtId="43" fontId="19" fillId="9" borderId="26" xfId="4" applyFont="1" applyFill="1" applyBorder="1" applyAlignment="1">
      <alignment horizontal="left" vertical="center" wrapText="1"/>
    </xf>
    <xf numFmtId="43" fontId="2" fillId="0" borderId="39" xfId="4" applyFont="1" applyFill="1" applyBorder="1" applyAlignment="1">
      <alignment horizontal="center" vertical="center"/>
    </xf>
    <xf numFmtId="43" fontId="2" fillId="0" borderId="40" xfId="4" applyFont="1" applyFill="1" applyBorder="1" applyAlignment="1">
      <alignment horizontal="center" vertical="center"/>
    </xf>
    <xf numFmtId="43" fontId="2" fillId="0" borderId="27" xfId="4" applyFont="1" applyFill="1" applyBorder="1" applyAlignment="1">
      <alignment horizontal="center" vertical="center"/>
    </xf>
    <xf numFmtId="43" fontId="2" fillId="0" borderId="28" xfId="4" applyFont="1" applyFill="1" applyBorder="1" applyAlignment="1">
      <alignment horizontal="center" vertical="center"/>
    </xf>
    <xf numFmtId="43" fontId="2" fillId="0" borderId="32" xfId="4" applyFont="1" applyFill="1" applyBorder="1" applyAlignment="1">
      <alignment horizontal="center" vertical="center"/>
    </xf>
    <xf numFmtId="43" fontId="2" fillId="0" borderId="33" xfId="4" applyFont="1" applyFill="1" applyBorder="1" applyAlignment="1">
      <alignment horizontal="center" vertical="center"/>
    </xf>
    <xf numFmtId="43" fontId="2" fillId="0" borderId="37" xfId="4" applyFont="1" applyFill="1" applyBorder="1" applyAlignment="1">
      <alignment horizontal="center" vertical="center"/>
    </xf>
    <xf numFmtId="43" fontId="2" fillId="0" borderId="38" xfId="4" applyFont="1" applyFill="1" applyBorder="1" applyAlignment="1">
      <alignment horizontal="center" vertical="center"/>
    </xf>
    <xf numFmtId="43" fontId="2" fillId="0" borderId="29" xfId="4" applyFont="1" applyFill="1" applyBorder="1" applyAlignment="1">
      <alignment horizontal="center" vertical="center"/>
    </xf>
    <xf numFmtId="43" fontId="2" fillId="0" borderId="30" xfId="4" applyFont="1" applyFill="1" applyBorder="1" applyAlignment="1">
      <alignment horizontal="center" vertical="center"/>
    </xf>
    <xf numFmtId="43" fontId="2" fillId="0" borderId="31" xfId="4" applyFont="1" applyFill="1" applyBorder="1" applyAlignment="1">
      <alignment horizontal="center" vertical="center"/>
    </xf>
    <xf numFmtId="43" fontId="1" fillId="8" borderId="11" xfId="4" applyFont="1" applyFill="1" applyBorder="1" applyAlignment="1">
      <alignment horizontal="left" vertical="center" wrapText="1"/>
    </xf>
    <xf numFmtId="43" fontId="1" fillId="8" borderId="12" xfId="4" applyFont="1" applyFill="1" applyBorder="1" applyAlignment="1">
      <alignment horizontal="left" vertical="center" wrapText="1"/>
    </xf>
    <xf numFmtId="43" fontId="1" fillId="8" borderId="13" xfId="4" applyFont="1" applyFill="1" applyBorder="1" applyAlignment="1">
      <alignment horizontal="left" vertical="center" wrapText="1"/>
    </xf>
    <xf numFmtId="43" fontId="2" fillId="10" borderId="11" xfId="4" applyFont="1" applyFill="1" applyBorder="1" applyAlignment="1">
      <alignment horizontal="left" vertical="top"/>
    </xf>
    <xf numFmtId="43" fontId="2" fillId="10" borderId="12" xfId="4" applyFont="1" applyFill="1" applyBorder="1" applyAlignment="1">
      <alignment horizontal="left" vertical="top"/>
    </xf>
    <xf numFmtId="43" fontId="2" fillId="10" borderId="13" xfId="4" applyFont="1" applyFill="1" applyBorder="1" applyAlignment="1">
      <alignment horizontal="left" vertical="top"/>
    </xf>
    <xf numFmtId="43" fontId="1" fillId="8" borderId="11" xfId="1" applyFont="1" applyFill="1" applyBorder="1" applyAlignment="1">
      <alignment horizontal="center" vertical="center" wrapText="1"/>
    </xf>
    <xf numFmtId="43" fontId="1" fillId="8" borderId="12" xfId="1" applyFont="1" applyFill="1" applyBorder="1" applyAlignment="1">
      <alignment horizontal="center" vertical="center" wrapText="1"/>
    </xf>
    <xf numFmtId="43" fontId="1" fillId="8" borderId="13" xfId="1" applyFont="1" applyFill="1" applyBorder="1" applyAlignment="1">
      <alignment horizontal="center" vertical="center" wrapText="1"/>
    </xf>
    <xf numFmtId="43" fontId="1" fillId="10" borderId="11" xfId="4" applyFont="1" applyFill="1" applyBorder="1" applyAlignment="1">
      <alignment horizontal="left" vertical="top"/>
    </xf>
    <xf numFmtId="43" fontId="1" fillId="10" borderId="12" xfId="4" applyFont="1" applyFill="1" applyBorder="1" applyAlignment="1">
      <alignment horizontal="left" vertical="top"/>
    </xf>
    <xf numFmtId="43" fontId="1" fillId="10" borderId="13" xfId="4" applyFont="1" applyFill="1" applyBorder="1" applyAlignment="1">
      <alignment horizontal="left" vertical="top"/>
    </xf>
    <xf numFmtId="0" fontId="23" fillId="11" borderId="18" xfId="6" applyFont="1" applyFill="1" applyBorder="1" applyAlignment="1">
      <alignment horizontal="center" vertical="center"/>
    </xf>
    <xf numFmtId="0" fontId="21" fillId="12" borderId="18" xfId="6" applyFont="1" applyFill="1" applyBorder="1" applyAlignment="1">
      <alignment horizontal="center" vertical="center"/>
    </xf>
    <xf numFmtId="0" fontId="24" fillId="12" borderId="18" xfId="6" applyFont="1" applyFill="1" applyBorder="1" applyAlignment="1">
      <alignment horizontal="center" wrapText="1"/>
    </xf>
    <xf numFmtId="49" fontId="21" fillId="12" borderId="18" xfId="6" applyNumberFormat="1" applyFont="1" applyFill="1" applyBorder="1" applyAlignment="1">
      <alignment horizontal="center" vertical="center" wrapText="1"/>
    </xf>
    <xf numFmtId="0" fontId="26" fillId="14" borderId="18" xfId="6" applyFont="1" applyFill="1" applyBorder="1" applyAlignment="1">
      <alignment horizontal="center" vertical="center" wrapText="1"/>
    </xf>
    <xf numFmtId="0" fontId="26" fillId="12" borderId="11" xfId="6" applyFont="1" applyFill="1" applyBorder="1" applyAlignment="1">
      <alignment horizontal="left" vertical="center" wrapText="1"/>
    </xf>
    <xf numFmtId="0" fontId="26" fillId="12" borderId="12" xfId="6" applyFont="1" applyFill="1" applyBorder="1" applyAlignment="1">
      <alignment horizontal="left" vertical="center" wrapText="1"/>
    </xf>
    <xf numFmtId="0" fontId="26" fillId="12" borderId="13" xfId="6" applyFont="1" applyFill="1" applyBorder="1" applyAlignment="1">
      <alignment horizontal="left" vertical="center" wrapText="1"/>
    </xf>
    <xf numFmtId="0" fontId="26" fillId="14" borderId="11" xfId="6" applyFont="1" applyFill="1" applyBorder="1" applyAlignment="1">
      <alignment horizontal="center" vertical="center" wrapText="1"/>
    </xf>
    <xf numFmtId="0" fontId="26" fillId="14" borderId="12" xfId="6" applyFont="1" applyFill="1" applyBorder="1" applyAlignment="1">
      <alignment horizontal="center" vertical="center" wrapText="1"/>
    </xf>
    <xf numFmtId="0" fontId="26" fillId="14" borderId="13" xfId="6" applyFont="1" applyFill="1" applyBorder="1" applyAlignment="1">
      <alignment horizontal="center" vertical="center" wrapText="1"/>
    </xf>
    <xf numFmtId="0" fontId="21" fillId="0" borderId="0" xfId="0" applyFont="1" applyAlignment="1">
      <alignment horizontal="center" wrapText="1"/>
    </xf>
    <xf numFmtId="0" fontId="12" fillId="6" borderId="19" xfId="0" applyFont="1" applyFill="1" applyBorder="1" applyAlignment="1">
      <alignment horizontal="center" vertical="center" wrapText="1"/>
    </xf>
    <xf numFmtId="0" fontId="12" fillId="6" borderId="14" xfId="0" applyFont="1" applyFill="1" applyBorder="1" applyAlignment="1">
      <alignment horizontal="center" vertical="center" wrapText="1"/>
    </xf>
    <xf numFmtId="0" fontId="10" fillId="6" borderId="11" xfId="0" applyFont="1" applyFill="1" applyBorder="1" applyAlignment="1">
      <alignment horizontal="center" vertical="center"/>
    </xf>
    <xf numFmtId="0" fontId="10" fillId="6" borderId="12" xfId="0" applyFont="1" applyFill="1" applyBorder="1" applyAlignment="1">
      <alignment horizontal="center" vertical="center"/>
    </xf>
    <xf numFmtId="43" fontId="26" fillId="14" borderId="11" xfId="6" applyNumberFormat="1" applyFont="1" applyFill="1" applyBorder="1" applyAlignment="1">
      <alignment horizontal="center" vertical="center" wrapText="1"/>
    </xf>
    <xf numFmtId="2" fontId="22" fillId="0" borderId="15" xfId="6" applyNumberFormat="1" applyFont="1" applyBorder="1" applyAlignment="1">
      <alignment horizontal="center" vertical="center"/>
    </xf>
    <xf numFmtId="0" fontId="22" fillId="0" borderId="16" xfId="6" applyFont="1" applyBorder="1" applyAlignment="1">
      <alignment horizontal="center" vertical="center"/>
    </xf>
    <xf numFmtId="0" fontId="22" fillId="0" borderId="17" xfId="6" applyFont="1" applyBorder="1" applyAlignment="1">
      <alignment horizontal="center" vertical="center"/>
    </xf>
    <xf numFmtId="2" fontId="21" fillId="0" borderId="15" xfId="6" applyNumberFormat="1" applyFont="1" applyBorder="1" applyAlignment="1">
      <alignment horizontal="center" vertical="center"/>
    </xf>
    <xf numFmtId="0" fontId="21" fillId="0" borderId="16" xfId="6" applyFont="1" applyBorder="1" applyAlignment="1">
      <alignment horizontal="center" vertical="center"/>
    </xf>
    <xf numFmtId="0" fontId="21" fillId="0" borderId="17" xfId="6" applyFont="1" applyBorder="1" applyAlignment="1">
      <alignment horizontal="center" vertical="center"/>
    </xf>
  </cellXfs>
  <cellStyles count="8">
    <cellStyle name="Moeda" xfId="2" builtinId="4"/>
    <cellStyle name="Normal" xfId="0" builtinId="0"/>
    <cellStyle name="Normal 2" xfId="7" xr:uid="{00000000-0005-0000-0000-000002000000}"/>
    <cellStyle name="Normal 5" xfId="6" xr:uid="{00000000-0005-0000-0000-000003000000}"/>
    <cellStyle name="Normal 6" xfId="5" xr:uid="{00000000-0005-0000-0000-000004000000}"/>
    <cellStyle name="Porcentagem" xfId="3" builtinId="5"/>
    <cellStyle name="Vírgula" xfId="1" builtinId="3"/>
    <cellStyle name="Vírgula 2 2" xfId="4" xr:uid="{00000000-0005-0000-0000-000007000000}"/>
  </cellStyles>
  <dxfs count="53">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53788</xdr:colOff>
      <xdr:row>0</xdr:row>
      <xdr:rowOff>15883</xdr:rowOff>
    </xdr:from>
    <xdr:to>
      <xdr:col>1</xdr:col>
      <xdr:colOff>150860</xdr:colOff>
      <xdr:row>4</xdr:row>
      <xdr:rowOff>136</xdr:rowOff>
    </xdr:to>
    <xdr:pic>
      <xdr:nvPicPr>
        <xdr:cNvPr id="2" name="Imagem 1" descr="Prefeitura de Sousa (@sousapms) | Twitter">
          <a:extLst>
            <a:ext uri="{FF2B5EF4-FFF2-40B4-BE49-F238E27FC236}">
              <a16:creationId xmlns:a16="http://schemas.microsoft.com/office/drawing/2014/main" id="{5ED45910-CD39-45BF-8C49-B6DA99F69F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88" y="15883"/>
          <a:ext cx="706672" cy="689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34</xdr:row>
          <xdr:rowOff>180975</xdr:rowOff>
        </xdr:from>
        <xdr:to>
          <xdr:col>12</xdr:col>
          <xdr:colOff>266700</xdr:colOff>
          <xdr:row>65</xdr:row>
          <xdr:rowOff>123825</xdr:rowOff>
        </xdr:to>
        <xdr:sp macro="" textlink="">
          <xdr:nvSpPr>
            <xdr:cNvPr id="4101" name="Object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6</xdr:col>
      <xdr:colOff>541020</xdr:colOff>
      <xdr:row>66</xdr:row>
      <xdr:rowOff>45720</xdr:rowOff>
    </xdr:from>
    <xdr:to>
      <xdr:col>12</xdr:col>
      <xdr:colOff>259080</xdr:colOff>
      <xdr:row>67</xdr:row>
      <xdr:rowOff>0</xdr:rowOff>
    </xdr:to>
    <xdr:sp macro="" textlink="">
      <xdr:nvSpPr>
        <xdr:cNvPr id="5" name="CaixaDeTexto 4">
          <a:extLst>
            <a:ext uri="{FF2B5EF4-FFF2-40B4-BE49-F238E27FC236}">
              <a16:creationId xmlns:a16="http://schemas.microsoft.com/office/drawing/2014/main" id="{00000000-0008-0000-0200-000005000000}"/>
            </a:ext>
          </a:extLst>
        </xdr:cNvPr>
        <xdr:cNvSpPr txBox="1"/>
      </xdr:nvSpPr>
      <xdr:spPr>
        <a:xfrm>
          <a:off x="6423660" y="12588240"/>
          <a:ext cx="3375660" cy="137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53788</xdr:colOff>
      <xdr:row>0</xdr:row>
      <xdr:rowOff>15883</xdr:rowOff>
    </xdr:from>
    <xdr:to>
      <xdr:col>1</xdr:col>
      <xdr:colOff>150860</xdr:colOff>
      <xdr:row>4</xdr:row>
      <xdr:rowOff>136</xdr:rowOff>
    </xdr:to>
    <xdr:pic>
      <xdr:nvPicPr>
        <xdr:cNvPr id="2" name="Imagem 1" descr="Prefeitura de Sousa (@sousapms) | Twitter">
          <a:extLst>
            <a:ext uri="{FF2B5EF4-FFF2-40B4-BE49-F238E27FC236}">
              <a16:creationId xmlns:a16="http://schemas.microsoft.com/office/drawing/2014/main" id="{28EE87AC-12BE-4AAD-AD4E-81DBC0B838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88" y="15883"/>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A2D634FC-B8ED-4DEB-AE57-DC79CB739A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03F439D5-F503-41C2-B607-955AC7BB09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Documents\Prefeitura\ESCOLA%20CI&#202;NCIA,%20TECNOLOGIA%20E%20INOVA&#199;&#195;O%20-%20SOUSA-PB\BM.ESCOLA.CIENCIA.TECNOLOGIA.xlsx" TargetMode="External"/><Relationship Id="rId1" Type="http://schemas.openxmlformats.org/officeDocument/2006/relationships/externalLinkPath" Target="/Documents/Prefeitura/ESCOLA%20CI&#202;NCIA,%20TECNOLOGIA%20E%20INOVA&#199;&#195;O%20-%20SOUSA-PB/BM.ESCOLA.CIENCIA.TECNOLOGI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RQUIVOS/planeja%20note/desktop/Arquivos%20Nivson/Pref%20Sousa/GEST&#195;O%202017-2020/OBRAS%20RECURSOS%20PR&#211;PRIOS%202017/Secretaria%20de%20Educa&#231;&#227;o/Escola%20do%20N&#250;cleo%20II%20(1)/REV.02-ADITIVO%2001%20-%20ESCOLA%204%20SALAS%20(SOUSA-PB)%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RQUIVOS/planeja%20note/desktop/Arquivos%20Nivson/Pref%20Sousa/GEST&#195;O%202017-2020/OBRAS%20RECURSOS%20PR&#211;PRIOS%202017/Secretaria%20de%20Educa&#231;&#227;o/ESCOLA%20MODELO/Aditivo/aditivo%20PREFEITURA%20corrigi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rçamento"/>
      <sheetName val="BM_02"/>
      <sheetName val="MEM MURO"/>
      <sheetName val="Memorial"/>
      <sheetName val="BM_02."/>
      <sheetName val="MEM"/>
      <sheetName val="BM_03"/>
      <sheetName val="MEMÓRIA03"/>
      <sheetName val="BM_04"/>
      <sheetName val="MEMÓRIA04"/>
      <sheetName val="BM_05"/>
      <sheetName val="MEMÓRIA05"/>
      <sheetName val="BM_06"/>
      <sheetName val="MEMÓRIA06"/>
      <sheetName val="BM_07"/>
      <sheetName val="MEMÓRIA07"/>
      <sheetName val="BM_08"/>
      <sheetName val="MEMÓRIA08"/>
      <sheetName val="BM_09"/>
      <sheetName val="MEMÓRIA09"/>
      <sheetName val="BM_10"/>
      <sheetName val="MEMÓRIA10"/>
      <sheetName val="BM_11"/>
      <sheetName val="MEMÓRIA11"/>
      <sheetName val="BM_12"/>
      <sheetName val="MEMÓRIA12"/>
      <sheetName val="BM_13"/>
      <sheetName val="MEMÓRIA13"/>
      <sheetName val="BM_14"/>
      <sheetName val="MEMÓRIA14"/>
      <sheetName val="BM_15"/>
      <sheetName val="MEMÓRIA15"/>
      <sheetName val="BM_16"/>
      <sheetName val="MEMÓRIA16"/>
      <sheetName val="BM_17"/>
      <sheetName val="MEMÓRIA17"/>
      <sheetName val="BM_18"/>
      <sheetName val="MEMÓRIA18"/>
      <sheetName val="BM_19"/>
      <sheetName val="MEMÓRIA19"/>
      <sheetName val="BM_20"/>
      <sheetName val="MEMÓRIA20"/>
      <sheetName val="BM REAJUSTE"/>
      <sheetName val="REAJUSTE"/>
      <sheetName val="Memorial (2)"/>
    </sheetNames>
    <sheetDataSet>
      <sheetData sheetId="0">
        <row r="5">
          <cell r="A5" t="str">
            <v xml:space="preserve"> 1 </v>
          </cell>
          <cell r="D5" t="str">
            <v>SERVIÇOS PRELIMINARES</v>
          </cell>
        </row>
        <row r="6">
          <cell r="A6" t="str">
            <v xml:space="preserve"> 1.1 </v>
          </cell>
          <cell r="D6" t="str">
            <v>PLACA DE OBRA (PARA CONSTRUCAO CIVIL) EM CHAPA GALVANIZADA *N. 22*, ADESIVADA, DE *2,4 X 1,2* M (SEM POSTES PARA FIXACAO)</v>
          </cell>
          <cell r="E6" t="str">
            <v>m²</v>
          </cell>
          <cell r="F6">
            <v>6</v>
          </cell>
          <cell r="H6">
            <v>481.42</v>
          </cell>
        </row>
        <row r="7">
          <cell r="A7" t="str">
            <v xml:space="preserve"> 1.2 </v>
          </cell>
          <cell r="D7" t="str">
            <v>EXECUÇÃO DE ALMOXARIFADO EM CANTEIRO DE OBRA EM ALVENARIA, INCLUSO PRATELEIRAS. AF_02/2016</v>
          </cell>
          <cell r="E7" t="str">
            <v>m²</v>
          </cell>
          <cell r="F7">
            <v>15</v>
          </cell>
          <cell r="H7">
            <v>1028.6600000000001</v>
          </cell>
        </row>
        <row r="8">
          <cell r="A8" t="str">
            <v xml:space="preserve"> 1.3 </v>
          </cell>
          <cell r="D8" t="str">
            <v>EXECUÇÃO DE ESCRITÓRIO EM CANTEIRO DE OBRA EM ALVENARIA, NÃO INCLUSO MOBILIÁRIO E EQUIPAMENTOS. AF_02/2016</v>
          </cell>
          <cell r="E8" t="str">
            <v>m²</v>
          </cell>
          <cell r="F8">
            <v>10</v>
          </cell>
          <cell r="H8">
            <v>1174.48</v>
          </cell>
        </row>
        <row r="9">
          <cell r="A9" t="str">
            <v xml:space="preserve"> 1.4 </v>
          </cell>
          <cell r="D9" t="str">
            <v>LOCACAO CONVENCIONAL DE OBRA, UTILIZANDO GABARITO DE TÁBUAS CORRIDAS PONTALETADAS A CADA 2,00M -  2 UTILIZAÇÕES. AF_10/2018</v>
          </cell>
          <cell r="E9" t="str">
            <v>M</v>
          </cell>
          <cell r="F9">
            <v>315.44</v>
          </cell>
          <cell r="H9">
            <v>57.41</v>
          </cell>
        </row>
        <row r="10">
          <cell r="A10" t="str">
            <v xml:space="preserve"> 1.5 </v>
          </cell>
          <cell r="D10" t="str">
            <v>LIMPEZA MECANIZADA DE CAMADA VEGETAL, VEGETAÇÃO E PEQUENAS ÁRVORES (DIÂMETRO DE TRONCO MENOR QUE 0,20 M), COM TRATOR DE ESTEIRAS.AF_05/2018</v>
          </cell>
          <cell r="E10" t="str">
            <v>m²</v>
          </cell>
          <cell r="F10">
            <v>3729</v>
          </cell>
          <cell r="H10">
            <v>0.38</v>
          </cell>
        </row>
        <row r="11">
          <cell r="A11" t="str">
            <v xml:space="preserve"> 2 </v>
          </cell>
          <cell r="D11" t="str">
            <v>ADMINISTRAÇÃO LOCAL</v>
          </cell>
        </row>
        <row r="12">
          <cell r="A12" t="str">
            <v xml:space="preserve"> 2.1 </v>
          </cell>
          <cell r="D12" t="str">
            <v>TECNICO DE EDIFICACOES (MENSALISTA)</v>
          </cell>
          <cell r="E12" t="str">
            <v>MES</v>
          </cell>
          <cell r="F12">
            <v>15</v>
          </cell>
          <cell r="H12">
            <v>4792.59</v>
          </cell>
        </row>
        <row r="13">
          <cell r="A13" t="str">
            <v xml:space="preserve"> 2.2 </v>
          </cell>
          <cell r="D13" t="str">
            <v>ENGENHEIRO CIVIL DE OBRA JUNIOR (MENSALISTA)</v>
          </cell>
          <cell r="E13" t="str">
            <v>MES</v>
          </cell>
          <cell r="F13">
            <v>15</v>
          </cell>
          <cell r="H13">
            <v>19131.61</v>
          </cell>
        </row>
        <row r="14">
          <cell r="A14" t="str">
            <v xml:space="preserve"> 2.3 </v>
          </cell>
          <cell r="D14" t="str">
            <v>MESTRE DE OBRAS (MENSALISTA)</v>
          </cell>
          <cell r="E14" t="str">
            <v>MES</v>
          </cell>
          <cell r="F14">
            <v>15</v>
          </cell>
          <cell r="H14">
            <v>5496.36</v>
          </cell>
        </row>
        <row r="15">
          <cell r="A15" t="str">
            <v xml:space="preserve"> 3 </v>
          </cell>
          <cell r="D15" t="str">
            <v>MOVIMENTO DE TERRA</v>
          </cell>
        </row>
        <row r="16">
          <cell r="A16" t="str">
            <v xml:space="preserve"> 3.1 </v>
          </cell>
          <cell r="D16" t="str">
            <v>ESCAVAÇÃO MANUAL DE VALA COM PROFUNDIDADE MENOR OU IGUAL A 1,30 M. AF_02/2021</v>
          </cell>
          <cell r="E16" t="str">
            <v>m³</v>
          </cell>
          <cell r="F16">
            <v>210.92</v>
          </cell>
          <cell r="H16">
            <v>74.94</v>
          </cell>
        </row>
        <row r="17">
          <cell r="A17" t="str">
            <v xml:space="preserve"> 3.2 </v>
          </cell>
          <cell r="D17" t="str">
            <v>REATERRO MANUAL DE VALAS COM COMPACTAÇÃO MECANIZADA. AF_04/2016</v>
          </cell>
          <cell r="E17" t="str">
            <v>m³</v>
          </cell>
          <cell r="F17">
            <v>124.714</v>
          </cell>
          <cell r="H17">
            <v>29.16</v>
          </cell>
        </row>
        <row r="18">
          <cell r="A18" t="str">
            <v xml:space="preserve"> 3.3 </v>
          </cell>
          <cell r="D18" t="str">
            <v>ESCAVAÇÃO MECANIZADA DE VALA COM PROF. ATÉ 1,5 M (MÉDIA MONTANTE E JUSANTE/UMA COMPOSIÇÃO POR TRECHO), ESCAVADEIRA (0,8 M3), LARG. MENOR QUE 1,5 M, EM SOLO DE 1A CATEGORIA, EM LOCAIS COM ALTO NÍVEL DE INTERFERÊNCIA. AF_02/2021</v>
          </cell>
          <cell r="E18" t="str">
            <v>m³</v>
          </cell>
          <cell r="H18">
            <v>13.37</v>
          </cell>
        </row>
        <row r="19">
          <cell r="A19" t="str">
            <v xml:space="preserve"> 3.4 </v>
          </cell>
          <cell r="D19" t="str">
            <v>CARGA, MANOBRA E DESCARGA DE ENTULHO EM CAMINHÃO BASCULANTE 10 M³ - CARGA COM ESCAVADEIRA HIDRÁULICA  (CAÇAMBA DE 0,80 M³ / 111 HP) E DESCARGA LIVRE (UNIDADE: M3). AF_07/2020</v>
          </cell>
          <cell r="E19" t="str">
            <v>m³</v>
          </cell>
          <cell r="H19">
            <v>9.27</v>
          </cell>
        </row>
        <row r="20">
          <cell r="A20" t="str">
            <v xml:space="preserve"> 3.5 </v>
          </cell>
          <cell r="D20" t="str">
            <v>ARGILA OU BARRO PARA ATERRO/REATERRO (COM TRANSPORTE ATE 10 KM)</v>
          </cell>
          <cell r="E20" t="str">
            <v>m³</v>
          </cell>
          <cell r="H20">
            <v>115.81</v>
          </cell>
        </row>
        <row r="21">
          <cell r="A21" t="str">
            <v xml:space="preserve"> 4 </v>
          </cell>
          <cell r="D21" t="str">
            <v>INFRAESTRUTURA</v>
          </cell>
        </row>
        <row r="22">
          <cell r="A22" t="str">
            <v xml:space="preserve"> 4.1 </v>
          </cell>
          <cell r="D22" t="str">
            <v>LASTRO DE CONCRETO MAGRO, APLICADO EM BLOCOS DE COROAMENTO OU SAPATAS, ESPESSURA DE 5 CM. AF_08/2017</v>
          </cell>
          <cell r="E22" t="str">
            <v>m²</v>
          </cell>
          <cell r="F22">
            <v>168.17</v>
          </cell>
          <cell r="H22">
            <v>32.28</v>
          </cell>
        </row>
        <row r="23">
          <cell r="A23" t="str">
            <v xml:space="preserve"> 4.2 </v>
          </cell>
          <cell r="D23" t="str">
            <v>CONCRETO USINADO BOMBEAVEL, CLASSE DE RESISTENCIA C40, COM BRITA 0 E 1, SLUMP = 100 +/- 20 MM, INCLUI SERVICO DE BOMBEAMENTO (NBR 8953)</v>
          </cell>
          <cell r="E23" t="str">
            <v>m³</v>
          </cell>
          <cell r="F23">
            <v>86.21</v>
          </cell>
          <cell r="H23">
            <v>565.05999999999995</v>
          </cell>
        </row>
        <row r="24">
          <cell r="A24" t="str">
            <v xml:space="preserve"> 4.3 </v>
          </cell>
          <cell r="D24" t="str">
            <v>LANÇAMENTO COM USO DE BOMBA, ADENSAMENTO E ACABAMENTO DE CONCRETO EM ESTRUTURAS. AF_02/2022</v>
          </cell>
          <cell r="E24" t="str">
            <v>m³</v>
          </cell>
          <cell r="F24">
            <v>86.21</v>
          </cell>
          <cell r="H24">
            <v>36.36</v>
          </cell>
        </row>
        <row r="25">
          <cell r="A25" t="str">
            <v xml:space="preserve"> 4.4 </v>
          </cell>
          <cell r="D25" t="str">
            <v>ARMAÇÃO DE BLOCO, VIGA BALDRAME E SAPATA UTILIZANDO AÇO CA-60 DE 5 MM - MONTAGEM. AF_06/2017</v>
          </cell>
          <cell r="E25" t="str">
            <v>KG</v>
          </cell>
          <cell r="F25">
            <v>832</v>
          </cell>
          <cell r="H25">
            <v>19.57</v>
          </cell>
        </row>
        <row r="26">
          <cell r="A26" t="str">
            <v xml:space="preserve"> 4.5 </v>
          </cell>
          <cell r="D26" t="str">
            <v>ARMAÇÃO DE BLOCO, VIGA BALDRAME OU SAPATA UTILIZANDO AÇO CA-50 DE 6,3 MM - MONTAGEM. AF_06/2017</v>
          </cell>
          <cell r="E26" t="str">
            <v>KG</v>
          </cell>
          <cell r="F26">
            <v>780</v>
          </cell>
          <cell r="H26">
            <v>18.579999999999998</v>
          </cell>
        </row>
        <row r="27">
          <cell r="A27" t="str">
            <v xml:space="preserve"> 4.6 </v>
          </cell>
          <cell r="D27" t="str">
            <v>ARMAÇÃO DE BLOCO, VIGA BALDRAME OU SAPATA UTILIZANDO AÇO CA-50 DE 8 MM - MONTAGEM. AF_06/2017</v>
          </cell>
          <cell r="E27" t="str">
            <v>KG</v>
          </cell>
          <cell r="F27">
            <v>615</v>
          </cell>
          <cell r="H27">
            <v>17.489999999999998</v>
          </cell>
        </row>
        <row r="28">
          <cell r="A28" t="str">
            <v xml:space="preserve"> 4.7 </v>
          </cell>
          <cell r="D28" t="str">
            <v>ARMAÇÃO DE BLOCO, VIGA BALDRAME OU SAPATA UTILIZANDO AÇO CA-50 DE 10 MM - MONTAGEM. AF_06/2017</v>
          </cell>
          <cell r="E28" t="str">
            <v>KG</v>
          </cell>
          <cell r="F28">
            <v>1255</v>
          </cell>
          <cell r="H28">
            <v>15.74</v>
          </cell>
        </row>
        <row r="29">
          <cell r="A29" t="str">
            <v xml:space="preserve"> 4.8 </v>
          </cell>
          <cell r="D29" t="str">
            <v>ARMAÇÃO DE BLOCO, VIGA BALDRAME OU SAPATA UTILIZANDO AÇO CA-50 DE 12,5 MM - MONTAGEM. AF_06/2017</v>
          </cell>
          <cell r="E29" t="str">
            <v>KG</v>
          </cell>
          <cell r="F29">
            <v>422</v>
          </cell>
          <cell r="H29">
            <v>13.37</v>
          </cell>
        </row>
        <row r="30">
          <cell r="A30" t="str">
            <v xml:space="preserve"> 4.9 </v>
          </cell>
          <cell r="D30" t="str">
            <v>ARMAÇÃO DE BLOCO, VIGA BALDRAME OU SAPATA UTILIZANDO AÇO CA-50 DE 16 MM - MONTAGEM. AF_06/2017</v>
          </cell>
          <cell r="E30" t="str">
            <v>KG</v>
          </cell>
          <cell r="F30">
            <v>138</v>
          </cell>
          <cell r="H30">
            <v>12.7</v>
          </cell>
        </row>
        <row r="31">
          <cell r="A31" t="str">
            <v xml:space="preserve"> 4.10 </v>
          </cell>
          <cell r="D31" t="str">
            <v>ARMAÇÃO DE BLOCO, VIGA BALDRAME OU SAPATA UTILIZANDO AÇO CA-50 DE 20 MM - MONTAGEM. AF_06/2017</v>
          </cell>
          <cell r="E31" t="str">
            <v>KG</v>
          </cell>
          <cell r="F31">
            <v>127</v>
          </cell>
          <cell r="H31">
            <v>14.17</v>
          </cell>
        </row>
        <row r="32">
          <cell r="A32" t="str">
            <v xml:space="preserve"> 4.11 </v>
          </cell>
          <cell r="D32" t="str">
            <v>FABRICAÇÃO, MONTAGEM E DESMONTAGEM DE FÔRMA PARA SAPATA, EM CHAPA DE MADEIRA COMPENSADA RESINADA, E=17 MM, 2 UTILIZAÇÕES. AF_06/2017</v>
          </cell>
          <cell r="E32" t="str">
            <v>m²</v>
          </cell>
          <cell r="F32">
            <v>112.53</v>
          </cell>
          <cell r="H32">
            <v>287.05</v>
          </cell>
        </row>
        <row r="33">
          <cell r="A33" t="str">
            <v xml:space="preserve"> 4.12 </v>
          </cell>
          <cell r="D33" t="str">
            <v>FABRICAÇÃO, MONTAGEM E DESMONTAGEM DE FÔRMA PARA VIGA BALDRAME, EM CHAPA DE MADEIRA COMPENSADA RESINADA, E=17 MM, 2 UTILIZAÇÕES. AF_06/2017</v>
          </cell>
          <cell r="E33" t="str">
            <v>m²</v>
          </cell>
          <cell r="F33">
            <v>1065.24</v>
          </cell>
          <cell r="H33">
            <v>125.03</v>
          </cell>
        </row>
        <row r="34">
          <cell r="A34" t="str">
            <v xml:space="preserve"> 4.13 </v>
          </cell>
          <cell r="D34" t="str">
            <v>ARMAÇÃO DE BLOCO, VIGA BALDRAME OU SAPATA UTILIZANDO AÇO CA-50 DE 25 MM - MONTAGEM. AF_06/2017</v>
          </cell>
          <cell r="E34" t="str">
            <v>KG</v>
          </cell>
          <cell r="F34">
            <v>853</v>
          </cell>
          <cell r="H34">
            <v>13.83</v>
          </cell>
        </row>
        <row r="35">
          <cell r="A35" t="str">
            <v xml:space="preserve"> 4.14 </v>
          </cell>
          <cell r="D35" t="str">
            <v>IMPERMEABILIZAÇÃO DE FLOREIRA OU VIGA BALDRAME COM ARGAMASSA DE CIMENTO E AREIA, COM ADITIVO IMPERMEABILIZANTE, E = 2 CM. AF_06/2018</v>
          </cell>
          <cell r="E35" t="str">
            <v>m²</v>
          </cell>
          <cell r="F35">
            <v>832.65</v>
          </cell>
          <cell r="H35">
            <v>43.5</v>
          </cell>
        </row>
        <row r="36">
          <cell r="A36" t="str">
            <v xml:space="preserve"> 5 </v>
          </cell>
          <cell r="D36" t="str">
            <v>SUPERESTRUTURA</v>
          </cell>
        </row>
        <row r="37">
          <cell r="A37" t="str">
            <v xml:space="preserve"> 5.1 </v>
          </cell>
          <cell r="D37" t="str">
            <v>CONCRETO USINADO BOMBEAVEL, CLASSE DE RESISTENCIA C40, COM BRITA 0 E 1, SLUMP = 100 +/- 20 MM, INCLUI SERVICO DE BOMBEAMENTO (NBR 8953)</v>
          </cell>
          <cell r="E37" t="str">
            <v>m³</v>
          </cell>
          <cell r="F37">
            <v>425.6</v>
          </cell>
          <cell r="H37">
            <v>565.05999999999995</v>
          </cell>
        </row>
        <row r="38">
          <cell r="A38" t="str">
            <v xml:space="preserve"> 5.2 </v>
          </cell>
          <cell r="D38" t="str">
            <v>LANÇAMENTO COM USO DE BOMBA, ADENSAMENTO E ACABAMENTO DE CONCRETO EM ESTRUTURAS. AF_02/2022</v>
          </cell>
          <cell r="E38" t="str">
            <v>m³</v>
          </cell>
          <cell r="F38">
            <v>425.6</v>
          </cell>
          <cell r="H38">
            <v>36.36</v>
          </cell>
        </row>
        <row r="39">
          <cell r="A39" t="str">
            <v xml:space="preserve"> 5.3 </v>
          </cell>
          <cell r="D39" t="str">
            <v>ARMAÇÃO DE PILAR OU VIGA DE UMA ESTRUTURA CONVENCIONAL DE CONCRETO ARMADO EM UMA EDIFICAÇÃO TÉRREA OU SOBRADO UTILIZANDO AÇO CA-60 DE 5,0 MM - MONTAGEM. AF_12/2015</v>
          </cell>
          <cell r="E39" t="str">
            <v>KG</v>
          </cell>
          <cell r="F39">
            <v>3857</v>
          </cell>
          <cell r="H39">
            <v>20.04</v>
          </cell>
        </row>
        <row r="40">
          <cell r="A40" t="str">
            <v xml:space="preserve"> 5.4 </v>
          </cell>
          <cell r="D40" t="str">
            <v>ARMAÇÃO DE PILAR OU VIGA DE UMA ESTRUTURA CONVENCIONAL DE CONCRETO ARMADO EM UMA EDIFICAÇÃO TÉRREA OU SOBRADO UTILIZANDO AÇO CA-50 DE 6,3 MM - MONTAGEM. AF_12/2015</v>
          </cell>
          <cell r="E40" t="str">
            <v>KG</v>
          </cell>
          <cell r="F40">
            <v>1556</v>
          </cell>
          <cell r="H40">
            <v>18.89</v>
          </cell>
        </row>
        <row r="41">
          <cell r="A41" t="str">
            <v xml:space="preserve"> 5.5 </v>
          </cell>
          <cell r="D41" t="str">
            <v>ARMAÇÃO DE PILAR OU VIGA DE UMA ESTRUTURA CONVENCIONAL DE CONCRETO ARMADO EM UMA EDIFICAÇÃO TÉRREA OU SOBRADO UTILIZANDO AÇO CA-50 DE 8,0 MM - MONTAGEM. AF_12/2015</v>
          </cell>
          <cell r="E41" t="str">
            <v>KG</v>
          </cell>
          <cell r="F41">
            <v>7190.9</v>
          </cell>
          <cell r="H41">
            <v>17.63</v>
          </cell>
        </row>
        <row r="42">
          <cell r="A42" t="str">
            <v xml:space="preserve"> 5.6 </v>
          </cell>
          <cell r="D42" t="str">
            <v>ARMAÇÃO DE PILAR OU VIGA DE UMA ESTRUTURA CONVENCIONAL DE CONCRETO ARMADO EM UMA EDIFICAÇÃO TÉRREA OU SOBRADO UTILIZANDO AÇO CA-50 DE 10,0 MM - MONTAGEM. AF_12/2015</v>
          </cell>
          <cell r="E42" t="str">
            <v>KG</v>
          </cell>
          <cell r="F42">
            <v>8536</v>
          </cell>
          <cell r="H42">
            <v>15.75</v>
          </cell>
        </row>
        <row r="43">
          <cell r="A43" t="str">
            <v xml:space="preserve"> 5.7 </v>
          </cell>
          <cell r="D43" t="str">
            <v>ARMAÇÃO DE PILAR OU VIGA DE UMA ESTRUTURA CONVENCIONAL DE CONCRETO ARMADO EM UMA EDIFICAÇÃO TÉRREA OU SOBRADO UTILIZANDO AÇO CA-50 DE 12,5 MM - MONTAGEM. AF_12/2015</v>
          </cell>
          <cell r="E43" t="str">
            <v>KG</v>
          </cell>
          <cell r="F43">
            <v>10362.9</v>
          </cell>
          <cell r="H43">
            <v>13.27</v>
          </cell>
        </row>
        <row r="44">
          <cell r="A44" t="str">
            <v xml:space="preserve"> 5.8 </v>
          </cell>
          <cell r="D44" t="str">
            <v>ARMAÇÃO DE PILAR OU VIGA DE UMA ESTRUTURA CONVENCIONAL DE CONCRETO ARMADO EM UMA EDIFICAÇÃO TÉRREA OU SOBRADO UTILIZANDO AÇO CA-50 DE 16,0 MM - MONTAGEM. AF_12/2015</v>
          </cell>
          <cell r="E44" t="str">
            <v>KG</v>
          </cell>
          <cell r="F44">
            <v>3520.1</v>
          </cell>
          <cell r="H44">
            <v>12.54</v>
          </cell>
        </row>
        <row r="45">
          <cell r="A45" t="str">
            <v xml:space="preserve"> 5.9 </v>
          </cell>
          <cell r="D45" t="str">
            <v>ARMAÇÃO DE PILAR OU VIGA DE ESTRUTURA CONVENCIONAL DE CONCRETO ARMADO UTILIZANDO AÇO CA-50 DE 20,0 MM - MONTAGEM. AF_06/2022</v>
          </cell>
          <cell r="E45" t="str">
            <v>KG</v>
          </cell>
          <cell r="F45">
            <v>1155.7</v>
          </cell>
          <cell r="H45">
            <v>13.47</v>
          </cell>
        </row>
        <row r="46">
          <cell r="A46" t="str">
            <v xml:space="preserve"> 5.10 </v>
          </cell>
          <cell r="D46" t="str">
            <v>ARMAÇÃO DE PILAR OU VIGA DE ESTRUTURA CONVENCIONAL DE CONCRETO ARMADO UTILIZANDO AÇO CA-50 DE 25,0 MM - MONTAGEM. AF_06/2022</v>
          </cell>
          <cell r="E46" t="str">
            <v>KG</v>
          </cell>
          <cell r="F46">
            <v>820.3</v>
          </cell>
          <cell r="H46">
            <v>13.38</v>
          </cell>
        </row>
        <row r="47">
          <cell r="A47" t="str">
            <v xml:space="preserve"> 5.11 </v>
          </cell>
          <cell r="D47" t="str">
            <v>LAJE PRÉ-MOLDADA UNIDIRECIONAL, BIAPOIADA, PARA FORRO, ENCHIMENTO EM CERÂMICA, VIGOTA CONVENCIONAL, ALTURA TOTAL DA LAJE (ENCHIMENTO+CAPA) = (8+3). AF_11/2020</v>
          </cell>
          <cell r="E47" t="str">
            <v>m²</v>
          </cell>
          <cell r="F47">
            <v>258</v>
          </cell>
          <cell r="H47">
            <v>173.16</v>
          </cell>
        </row>
        <row r="48">
          <cell r="A48" t="str">
            <v xml:space="preserve"> 5.12 </v>
          </cell>
          <cell r="D48" t="str">
            <v>MONTAGEM E DESMONTAGEM DE FÔRMA DE LAJE MACIÇA, PÉ-DIREITO SIMPLES, EM CHAPA DE MADEIRA COMPENSADA RESINADA, 4 UTILIZAÇÕES. AF_09/2020</v>
          </cell>
          <cell r="E48" t="str">
            <v>m²</v>
          </cell>
          <cell r="F48">
            <v>1363.47</v>
          </cell>
          <cell r="H48">
            <v>42.96</v>
          </cell>
        </row>
        <row r="49">
          <cell r="A49" t="str">
            <v xml:space="preserve"> 5.13 </v>
          </cell>
          <cell r="D49" t="str">
            <v>MONTAGEM E DESMONTAGEM DE FÔRMA DE VIGA, ESCORAMENTO METÁLICO, PÉ-DIREITO SIMPLES, EM CHAPA DE MADEIRA RESINADA, 4 UTILIZAÇÕES. AF_09/2020</v>
          </cell>
          <cell r="E49" t="str">
            <v>m²</v>
          </cell>
          <cell r="F49">
            <v>931.33</v>
          </cell>
          <cell r="H49">
            <v>114.95</v>
          </cell>
        </row>
        <row r="50">
          <cell r="A50" t="str">
            <v xml:space="preserve"> 5.14 </v>
          </cell>
          <cell r="D50" t="str">
            <v>MONTAGEM E DESMONTAGEM DE FÔRMA DE PILARES RETANGULARES E ESTRUTURAS SIMILARES, PÉ-DIREITO SIMPLES, EM CHAPA DE MADEIRA COMPENSADA RESINADA, 4 UTILIZAÇÕES. AF_09/2020</v>
          </cell>
          <cell r="E50" t="str">
            <v>m²</v>
          </cell>
          <cell r="F50">
            <v>769.49</v>
          </cell>
          <cell r="H50">
            <v>77.819999999999993</v>
          </cell>
        </row>
        <row r="51">
          <cell r="A51" t="str">
            <v xml:space="preserve"> 5.15 </v>
          </cell>
          <cell r="D51" t="str">
            <v>ESTRUTURA TRELIÇADA DE COBERTURA, TIPO ARCO, COM LIGAÇÕES SOLDADAS, INCLUSOS PERFIS METÁLICOS, CHAPAS METÁLICAS, MÃO DE OBRA E TRANSPORTE COM GUINDASTE - FORNECIMENTO E INSTALAÇÃO. AF_01/2020_P</v>
          </cell>
          <cell r="E51" t="str">
            <v>KG</v>
          </cell>
          <cell r="F51">
            <v>39930</v>
          </cell>
          <cell r="H51">
            <v>22.9</v>
          </cell>
        </row>
        <row r="52">
          <cell r="A52" t="str">
            <v xml:space="preserve"> 6 </v>
          </cell>
          <cell r="D52" t="str">
            <v>VEDAÇÕES</v>
          </cell>
        </row>
        <row r="53">
          <cell r="A53" t="str">
            <v xml:space="preserve"> 6.1 </v>
          </cell>
          <cell r="D53" t="str">
            <v>ALVENARIA DE VEDAÇÃO DE BLOCOS CERÂMICOS FURADOS NA HORIZONTAL DE 9X19X19 CM (ESPESSURA 9 CM) E ARGAMASSA DE ASSENTAMENTO COM PREPARO EM BETONEIRA. AF_12/2021</v>
          </cell>
          <cell r="E53" t="str">
            <v>m²</v>
          </cell>
          <cell r="F53">
            <v>5010.03</v>
          </cell>
          <cell r="H53">
            <v>81.739999999999995</v>
          </cell>
        </row>
        <row r="54">
          <cell r="A54" t="str">
            <v xml:space="preserve"> 6.2 </v>
          </cell>
          <cell r="D54" t="str">
            <v>ALVENARIA DE VEDAÇÃO DE BLOCOS DE GESSO DE 7X50X66CM (ESPESSURA 7CM). AF_05/2020</v>
          </cell>
          <cell r="E54" t="str">
            <v>m²</v>
          </cell>
          <cell r="F54">
            <v>18.91</v>
          </cell>
          <cell r="H54">
            <v>66.09</v>
          </cell>
        </row>
        <row r="55">
          <cell r="A55" t="str">
            <v xml:space="preserve"> 6.3 </v>
          </cell>
          <cell r="D55" t="str">
            <v>DIVISORIA SANITÁRIA, TIPO CABINE, EM GRANITO CINZA POLIDO, ESP = 3CM, ASSENTADO COM ARGAMASSA COLANTE AC III-E, EXCLUSIVE FERRAGENS. AF_01/2021</v>
          </cell>
          <cell r="E55" t="str">
            <v>m²</v>
          </cell>
          <cell r="F55">
            <v>70.52</v>
          </cell>
          <cell r="H55">
            <v>653.51</v>
          </cell>
        </row>
        <row r="56">
          <cell r="A56" t="str">
            <v xml:space="preserve"> 6.4 </v>
          </cell>
          <cell r="D56" t="str">
            <v>CINTA DE AMARRAÇÃO DE ALVENARIA MOLDADA IN LOCO EM CONCRETO. AF_03/2016</v>
          </cell>
          <cell r="E56" t="str">
            <v>M</v>
          </cell>
          <cell r="F56">
            <v>1110.2</v>
          </cell>
          <cell r="H56">
            <v>64.180000000000007</v>
          </cell>
        </row>
        <row r="57">
          <cell r="A57" t="str">
            <v xml:space="preserve"> 6.5 </v>
          </cell>
          <cell r="D57" t="str">
            <v>VERGA PRÉ-MOLDADA PARA JANELAS COM ATÉ 1,5 M DE VÃO. AF_03/2016</v>
          </cell>
          <cell r="E57" t="str">
            <v>M</v>
          </cell>
          <cell r="F57">
            <v>37.6</v>
          </cell>
          <cell r="H57">
            <v>49.49</v>
          </cell>
        </row>
        <row r="58">
          <cell r="A58" t="str">
            <v xml:space="preserve"> 6.6 </v>
          </cell>
          <cell r="D58" t="str">
            <v>CONTRAVERGA PRÉ-MOLDADA PARA VÃOS DE ATÉ 1,5 M DE COMPRIMENTO. AF_03/2016</v>
          </cell>
          <cell r="E58" t="str">
            <v>M</v>
          </cell>
          <cell r="F58">
            <v>37.6</v>
          </cell>
          <cell r="H58">
            <v>48.51</v>
          </cell>
        </row>
        <row r="59">
          <cell r="A59" t="str">
            <v xml:space="preserve"> 6.7 </v>
          </cell>
          <cell r="D59" t="str">
            <v>VERGA PRÉ-MOLDADA PARA JANELAS COM MAIS DE 1,5 M DE VÃO. AF_03/2016</v>
          </cell>
          <cell r="E59" t="str">
            <v>M</v>
          </cell>
          <cell r="F59">
            <v>37.6</v>
          </cell>
          <cell r="H59">
            <v>63.57</v>
          </cell>
        </row>
        <row r="60">
          <cell r="A60" t="str">
            <v xml:space="preserve"> 6.8 </v>
          </cell>
          <cell r="D60" t="str">
            <v>CONTRAVERGA PRÉ-MOLDADA PARA VÃOS DE MAIS DE 1,5 M DE COMPRIMENTO. AF_03/2016</v>
          </cell>
          <cell r="E60" t="str">
            <v>M</v>
          </cell>
          <cell r="F60">
            <v>37.6</v>
          </cell>
          <cell r="H60">
            <v>58.97</v>
          </cell>
        </row>
        <row r="61">
          <cell r="A61" t="str">
            <v xml:space="preserve"> 6.9 </v>
          </cell>
          <cell r="D61" t="str">
            <v>VERGA PRÉ-MOLDADA PARA PORTAS COM ATÉ 1,5 M DE VÃO. AF_03/2016</v>
          </cell>
          <cell r="E61" t="str">
            <v>M</v>
          </cell>
          <cell r="F61">
            <v>76.540000000000006</v>
          </cell>
          <cell r="H61">
            <v>36.5</v>
          </cell>
        </row>
        <row r="62">
          <cell r="A62" t="str">
            <v xml:space="preserve"> 6.10 </v>
          </cell>
          <cell r="D62" t="str">
            <v>VERGA PRÉ-MOLDADA PARA PORTAS COM MAIS DE 1,5 M DE VÃO. AF_03/2016</v>
          </cell>
          <cell r="E62" t="str">
            <v>M</v>
          </cell>
          <cell r="F62">
            <v>50.86</v>
          </cell>
          <cell r="H62">
            <v>62.69</v>
          </cell>
        </row>
        <row r="63">
          <cell r="A63" t="str">
            <v xml:space="preserve"> 6.11 </v>
          </cell>
          <cell r="D63" t="str">
            <v>FIXAÇÃO (ENCUNHAMENTO) DE ALVENARIA DE VEDAÇÃO COM ESPUMA DE POLIURETANO EXPANSIVA. AF_03/2016</v>
          </cell>
          <cell r="E63" t="str">
            <v>M</v>
          </cell>
          <cell r="F63">
            <v>818.67</v>
          </cell>
          <cell r="H63">
            <v>16.25</v>
          </cell>
        </row>
        <row r="64">
          <cell r="A64" t="str">
            <v xml:space="preserve"> 6.12 </v>
          </cell>
          <cell r="D64" t="str">
            <v>Fornecimento e instalação de fachada em pele de vidro, linha Citta Due Alcoa, em vidro laminado 3+3 prata refletivo medindo 8,30x6,87m,c/06 modulos vertical e 11 modulos horizontal. e 05 janelas maxi mar (obra:Sup.Reg.Trabalho)</v>
          </cell>
          <cell r="E64" t="str">
            <v>m²</v>
          </cell>
          <cell r="F64">
            <v>448.8</v>
          </cell>
          <cell r="H64">
            <v>2117.0300000000002</v>
          </cell>
        </row>
        <row r="65">
          <cell r="A65" t="str">
            <v xml:space="preserve"> 7 </v>
          </cell>
          <cell r="D65" t="str">
            <v>PISOS INTERNOS E EXTERNOS</v>
          </cell>
        </row>
        <row r="66">
          <cell r="A66" t="str">
            <v xml:space="preserve"> 7.1 </v>
          </cell>
          <cell r="D66" t="str">
            <v>CAMADA SEPARADORA PARA EXECUÇÃO DE RADIER, PISO DE CONCRETO OU LAJE SOBRE SOLO, EM LONA PLÁSTICA. AF_09/2021</v>
          </cell>
          <cell r="E66" t="str">
            <v>m²</v>
          </cell>
          <cell r="F66">
            <v>1986.21</v>
          </cell>
          <cell r="H66">
            <v>2.65</v>
          </cell>
        </row>
        <row r="67">
          <cell r="A67" t="str">
            <v xml:space="preserve"> 7.2 </v>
          </cell>
          <cell r="D67" t="str">
            <v>CONCRETO MAGRO PARA LASTRO, TRAÇO 1:4,5:4,5 (EM MASSA SECA DE CIMENTO/ AREIA MÉDIA/ BRITA 1) - PREPARO MECÂNICO COM BETONEIRA 600 L. AF_05/2021</v>
          </cell>
          <cell r="E67" t="str">
            <v>m³</v>
          </cell>
          <cell r="F67">
            <v>158.9</v>
          </cell>
          <cell r="H67">
            <v>411.19</v>
          </cell>
        </row>
        <row r="68">
          <cell r="A68" t="str">
            <v xml:space="preserve"> 7.3 </v>
          </cell>
          <cell r="D68" t="str">
            <v>CONTRAPISO COM ARGAMASSA AUTONIVELANTE, APLICADO SOBRE LAJE, ADERIDO, ESPESSURA 3CM. AF_07/2021</v>
          </cell>
          <cell r="E68" t="str">
            <v>m²</v>
          </cell>
          <cell r="F68">
            <v>1853.76</v>
          </cell>
          <cell r="H68">
            <v>29.97</v>
          </cell>
        </row>
        <row r="69">
          <cell r="A69" t="str">
            <v xml:space="preserve"> 7.4 </v>
          </cell>
          <cell r="D69" t="str">
            <v>REVESTIMENTO CERÂMICO PARA PISO COM PLACAS TIPO PORCELANATO DE DIMENSÕES 60X60 CM APLICADA EM AMBIENTES DE ÁREA MAIOR QUE 10 M². AF_06/2014</v>
          </cell>
          <cell r="E69" t="str">
            <v>m²</v>
          </cell>
          <cell r="F69">
            <v>203.32</v>
          </cell>
          <cell r="H69">
            <v>185.01</v>
          </cell>
        </row>
        <row r="70">
          <cell r="A70" t="str">
            <v xml:space="preserve"> 7.5 </v>
          </cell>
          <cell r="D70" t="str">
            <v>REVESTIMENTO CERÂMICO PARA PISO COM PLACAS TIPO PORCELANATO DE DIMENSÕES 60X60 CM APLICADA EM AMBIENTES DE ÁREA ENTRE 5 M² E 10 M². AF_06/2014</v>
          </cell>
          <cell r="E70" t="str">
            <v>m²</v>
          </cell>
          <cell r="F70">
            <v>1673</v>
          </cell>
          <cell r="H70">
            <v>193.94</v>
          </cell>
        </row>
        <row r="71">
          <cell r="A71" t="str">
            <v xml:space="preserve"> 7.6 </v>
          </cell>
          <cell r="D71" t="str">
            <v>EXECUÇÃO DE PASSEIO (CALÇADA) OU PISO DE CONCRETO COM CONCRETO MOLDADO IN LOCO, USINADO, ACABAMENTO CONVENCIONAL, ESPESSURA 8 CM, ARMADO. AF_08/2022</v>
          </cell>
          <cell r="E71" t="str">
            <v>m²</v>
          </cell>
          <cell r="F71">
            <v>660.13</v>
          </cell>
          <cell r="H71">
            <v>90.17</v>
          </cell>
        </row>
        <row r="72">
          <cell r="A72" t="str">
            <v xml:space="preserve"> 7.7 </v>
          </cell>
          <cell r="D72" t="str">
            <v>CARPETE DE POLIPROPILENO EM MANTA PARA TRAFEGO COMERCIAL MEDIO, E = 5 A 6 MM (INSTALADO)</v>
          </cell>
          <cell r="E72" t="str">
            <v>m²</v>
          </cell>
          <cell r="F72">
            <v>400.81</v>
          </cell>
          <cell r="H72">
            <v>100.77</v>
          </cell>
        </row>
        <row r="73">
          <cell r="A73" t="str">
            <v xml:space="preserve"> 7.8 </v>
          </cell>
          <cell r="D73" t="str">
            <v>PISO EM TACO DE MADEIRA 7X21CM, FIXADO COM COLA BASE DE PVA. AF_09/2020</v>
          </cell>
          <cell r="E73" t="str">
            <v>m²</v>
          </cell>
          <cell r="F73">
            <v>259.32</v>
          </cell>
          <cell r="H73">
            <v>238.04</v>
          </cell>
        </row>
        <row r="74">
          <cell r="A74" t="str">
            <v xml:space="preserve"> 7.9 </v>
          </cell>
          <cell r="D74" t="str">
            <v>PISO PODOTÁTIL DE ALERTA OU DIRECIONAL, DE BORRACHA, ASSENTADO SOBRE ARGAMASSA. AF_05/2020</v>
          </cell>
          <cell r="E74" t="str">
            <v>M</v>
          </cell>
          <cell r="F74">
            <v>100</v>
          </cell>
          <cell r="H74">
            <v>200.36</v>
          </cell>
        </row>
        <row r="75">
          <cell r="A75" t="str">
            <v xml:space="preserve"> 7.10 </v>
          </cell>
          <cell r="D75" t="str">
            <v>(COMPOSIÇÃO REPRESENTATIVA) EXECUÇÃO DE ESCADA EM CONCRETO ARMADO, MOLDADA IN LOCO, FCK = 25 MPA. AF_02/2017</v>
          </cell>
          <cell r="E75" t="str">
            <v>m³</v>
          </cell>
          <cell r="F75">
            <v>8</v>
          </cell>
          <cell r="H75">
            <v>3363.38</v>
          </cell>
        </row>
        <row r="76">
          <cell r="A76" t="str">
            <v xml:space="preserve"> 7.11 </v>
          </cell>
          <cell r="D76" t="str">
            <v>EXECUÇÃO DE PÁTIO/ESTACIONAMENTO EM PISO INTERTRAVADO, COM BLOCO RETANGULAR DE 20 X 10 CM, ESPESSURA 10 CM. AF_12/2015</v>
          </cell>
          <cell r="E76" t="str">
            <v>m²</v>
          </cell>
          <cell r="F76">
            <v>2471.02</v>
          </cell>
          <cell r="H76">
            <v>79.760000000000005</v>
          </cell>
        </row>
        <row r="77">
          <cell r="A77" t="str">
            <v xml:space="preserve"> 7.12 </v>
          </cell>
          <cell r="D77" t="str">
            <v>ASSENTAMENTO DE GUIA (MEIO-FIO) EM TRECHO RETO, CONFECCIONADA EM CONCRETO PRÉ-FABRICADO, DIMENSÕES 100X15X13X20 CM (COMPRIMENTO X BASE INFERIOR X BASE SUPERIOR X ALTURA), PARA URBANIZAÇÃO INTERNA DE EMPREENDIMENTOS. AF_06/2016</v>
          </cell>
          <cell r="E77" t="str">
            <v>M</v>
          </cell>
          <cell r="F77">
            <v>932.17</v>
          </cell>
          <cell r="H77">
            <v>41.82</v>
          </cell>
        </row>
        <row r="78">
          <cell r="A78" t="str">
            <v xml:space="preserve"> 7.13 </v>
          </cell>
          <cell r="D78" t="str">
            <v>AREIA PARA ATERRO - POSTO JAZIDA/FORNECEDOR (RETIRADO NA JAZIDA, SEM TRANSPORTE)</v>
          </cell>
          <cell r="E78" t="str">
            <v>m³</v>
          </cell>
          <cell r="F78">
            <v>296.58</v>
          </cell>
          <cell r="H78">
            <v>62.29</v>
          </cell>
        </row>
        <row r="79">
          <cell r="A79" t="str">
            <v xml:space="preserve"> 8 </v>
          </cell>
          <cell r="D79" t="str">
            <v>C0BERTA</v>
          </cell>
        </row>
        <row r="80">
          <cell r="A80" t="str">
            <v xml:space="preserve"> 8.1 </v>
          </cell>
          <cell r="D80" t="str">
            <v>TELHAMENTO COM TELHA METÁLICA TERMOACÚSTICA E = 30 MM, COM ATÉ 2 ÁGUAS, INCLUSO IÇAMENTO. AF_07/2019</v>
          </cell>
          <cell r="E80" t="str">
            <v>m²</v>
          </cell>
          <cell r="F80">
            <v>709.15</v>
          </cell>
          <cell r="H80">
            <v>276.37</v>
          </cell>
        </row>
        <row r="81">
          <cell r="A81" t="str">
            <v xml:space="preserve"> 8.2 </v>
          </cell>
          <cell r="D81" t="str">
            <v>TELHAMENTO COM TELHA DE AÇO/ALUMÍNIO E = 0,5 MM, COM ATÉ 2 ÁGUAS, INCLUSO IÇAMENTO. AF_07/2019</v>
          </cell>
          <cell r="E81" t="str">
            <v>m²</v>
          </cell>
          <cell r="F81">
            <v>649.82000000000005</v>
          </cell>
          <cell r="H81">
            <v>94.36</v>
          </cell>
        </row>
        <row r="82">
          <cell r="A82" t="str">
            <v xml:space="preserve"> 8.3 </v>
          </cell>
          <cell r="D82" t="str">
            <v>CALHA EM CHAPA DE AÇO GALVANIZADO NÚMERO 24, DESENVOLVIMENTO DE 50 CM, INCLUSO TRANSPORTE VERTICAL. AF_07/2019</v>
          </cell>
          <cell r="E82" t="str">
            <v>M</v>
          </cell>
          <cell r="F82">
            <v>152.62</v>
          </cell>
          <cell r="H82">
            <v>90.99</v>
          </cell>
        </row>
        <row r="83">
          <cell r="A83" t="str">
            <v xml:space="preserve"> 8.4 </v>
          </cell>
          <cell r="D83" t="str">
            <v>RUFO EM CHAPA DE AÇO GALVANIZADO NÚMERO 24, CORTE DE 25 CM, INCLUSO TRANSPORTE VERTICAL. AF_07/2019</v>
          </cell>
          <cell r="E83" t="str">
            <v>M</v>
          </cell>
          <cell r="F83">
            <v>152.62</v>
          </cell>
          <cell r="H83">
            <v>56.29</v>
          </cell>
        </row>
        <row r="84">
          <cell r="A84" t="str">
            <v xml:space="preserve"> 9 </v>
          </cell>
          <cell r="D84" t="str">
            <v>IMPERMEABILIZAÇÕES</v>
          </cell>
        </row>
        <row r="85">
          <cell r="A85" t="str">
            <v xml:space="preserve"> 9.1 </v>
          </cell>
          <cell r="D85" t="str">
            <v>CONTRAPISO COM ARGAMASSA AUTONIVELANTE, APLICADO SOBRE LAJE, ADERIDO, ESPESSURA 2CM. AF_07/2021</v>
          </cell>
          <cell r="E85" t="str">
            <v>m²</v>
          </cell>
          <cell r="F85">
            <v>1011.78</v>
          </cell>
          <cell r="H85">
            <v>22.31</v>
          </cell>
        </row>
        <row r="86">
          <cell r="A86" t="str">
            <v xml:space="preserve"> 9.2 </v>
          </cell>
          <cell r="D86" t="str">
            <v>IMPERMEABILIZAÇÃO DE SUPERFÍCIE COM MANTA ASFÁLTICA, UMA CAMADA, INCLUSIVE APLICAÇÃO DE PRIMER ASFÁLTICO, E=3MM. AF_06/2018</v>
          </cell>
          <cell r="E86" t="str">
            <v>m²</v>
          </cell>
          <cell r="F86">
            <v>1164.56</v>
          </cell>
          <cell r="H86">
            <v>113.01</v>
          </cell>
        </row>
        <row r="87">
          <cell r="A87" t="str">
            <v xml:space="preserve"> 9.3 </v>
          </cell>
          <cell r="D87" t="str">
            <v>IMPERMEABILIZAÇÃO DE SUPERFÍCIE COM EMULSÃO ASFÁLTICA, 2 DEMÃOS AF_06/2018</v>
          </cell>
          <cell r="E87" t="str">
            <v>m²</v>
          </cell>
          <cell r="F87">
            <v>254.24</v>
          </cell>
          <cell r="H87">
            <v>54.7</v>
          </cell>
        </row>
        <row r="88">
          <cell r="A88" t="str">
            <v xml:space="preserve"> 9.4 </v>
          </cell>
          <cell r="D88" t="str">
            <v>PROTEÇÃO MECÂNICA DE SUPERFICIE HORIZONTAL COM ARGAMASSA DE CIMENTO E AREIA, TRAÇO 1:3, E=3CM. AF_06/2018</v>
          </cell>
          <cell r="E88" t="str">
            <v>m²</v>
          </cell>
          <cell r="F88">
            <v>1418.8</v>
          </cell>
          <cell r="H88">
            <v>49.56</v>
          </cell>
        </row>
        <row r="89">
          <cell r="A89" t="str">
            <v xml:space="preserve"> 10 </v>
          </cell>
          <cell r="D89" t="str">
            <v>REVESTIMENTOS INTERNOS</v>
          </cell>
        </row>
        <row r="90">
          <cell r="A90" t="str">
            <v xml:space="preserve"> 10.1 </v>
          </cell>
          <cell r="D90" t="str">
            <v>CHAPISCO APLICADO EM ALVENARIAS E ESTRUTURAS DE CONCRETO INTERNAS, COM COLHER DE PEDREIRO.  ARGAMASSA TRAÇO 1:3 COM PREPARO EM BETONEIRA 400L. AF_06/2014</v>
          </cell>
          <cell r="E90" t="str">
            <v>m²</v>
          </cell>
          <cell r="F90">
            <v>6437.02</v>
          </cell>
          <cell r="H90">
            <v>4.08</v>
          </cell>
        </row>
        <row r="91">
          <cell r="A91" t="str">
            <v xml:space="preserve"> 10.2 </v>
          </cell>
          <cell r="D91" t="str">
            <v>(COMPOSIÇÃO REPRESENTATIVA) DO SERVIÇO DE EMBOÇO/MASSA ÚNICA, APLICADO MANUALMENTE, TRAÇO 1:2:8, EM BETONEIRA DE 400L, PAREDES INTERNAS, COM EXECUÇÃO DE TALISCAS, EDIFICAÇÃO HABITACIONAL UNIFAMILIAR (CASAS) E EDIFICAÇÃO PÚBLICA PADRÃO. AF_12/2014</v>
          </cell>
          <cell r="E91" t="str">
            <v>m²</v>
          </cell>
          <cell r="F91">
            <v>6437.02</v>
          </cell>
          <cell r="H91">
            <v>35.229999999999997</v>
          </cell>
        </row>
        <row r="92">
          <cell r="A92" t="str">
            <v xml:space="preserve"> 10.3 </v>
          </cell>
          <cell r="D92" t="str">
            <v>REVESTIMENTO CERÂMICO PARA PISO COM PLACAS TIPO PORCELANATO DE DIMENSÕES 60X60 CM APLICADA EM AMBIENTES DE ÁREA MENOR QUE 5 M². AF_06/2014</v>
          </cell>
          <cell r="E92" t="str">
            <v>m²</v>
          </cell>
          <cell r="F92">
            <v>1466.24</v>
          </cell>
          <cell r="H92">
            <v>209.94</v>
          </cell>
        </row>
        <row r="93">
          <cell r="A93" t="str">
            <v xml:space="preserve"> 10.4 </v>
          </cell>
          <cell r="D93" t="str">
            <v>CARPETE DE NYLON EM MANTA PARA TRAFEGO COMERCIAL PESADO, E = 6 A 7 MM (INSTALADO)</v>
          </cell>
          <cell r="E93" t="str">
            <v>m²</v>
          </cell>
          <cell r="F93">
            <v>993.8</v>
          </cell>
          <cell r="H93">
            <v>152.91</v>
          </cell>
        </row>
        <row r="94">
          <cell r="A94" t="str">
            <v xml:space="preserve"> 11 </v>
          </cell>
          <cell r="D94" t="str">
            <v>FORROS</v>
          </cell>
        </row>
        <row r="95">
          <cell r="A95" t="str">
            <v xml:space="preserve"> 11.1 </v>
          </cell>
          <cell r="D95" t="str">
            <v>Forro acústico em placas de fibra mineral dim.1200x600x16mm,  absorção sonora NRC = 0,55, reflexão luz = 0,79, marca Armstrong, ref. Clean Room, ou similar, resist. fogo: classe A, instalado inclusive sobre perfís metálicos</v>
          </cell>
          <cell r="E95" t="str">
            <v>m²</v>
          </cell>
          <cell r="F95">
            <v>725.17</v>
          </cell>
          <cell r="H95">
            <v>107.61</v>
          </cell>
        </row>
        <row r="96">
          <cell r="A96" t="str">
            <v xml:space="preserve"> 11.2 </v>
          </cell>
          <cell r="D96" t="str">
            <v>ACABAMENTOS PARA FORRO (MOLDURA EM DRYWALL, COM LARGURA DE 15 CM). AF_05/2017_PS</v>
          </cell>
          <cell r="E96" t="str">
            <v>M</v>
          </cell>
          <cell r="F96">
            <v>257.57</v>
          </cell>
          <cell r="H96">
            <v>35.9</v>
          </cell>
        </row>
        <row r="97">
          <cell r="A97" t="str">
            <v xml:space="preserve"> 11.3 </v>
          </cell>
          <cell r="D97" t="str">
            <v>FORRO EM PLACAS DE GESSO, PARA AMBIENTES COMERCIAIS. AF_05/2017_PS</v>
          </cell>
          <cell r="E97" t="str">
            <v>m²</v>
          </cell>
          <cell r="F97">
            <v>1509.13</v>
          </cell>
          <cell r="H97">
            <v>38.14</v>
          </cell>
        </row>
        <row r="98">
          <cell r="A98" t="str">
            <v xml:space="preserve"> 11.4 </v>
          </cell>
          <cell r="D98" t="str">
            <v>ACABAMENTOS PARA FORRO (SANCA DE GESSO MONTADA NA OBRA). AF_05/2017_PS</v>
          </cell>
          <cell r="E98" t="str">
            <v>m²</v>
          </cell>
          <cell r="F98">
            <v>899.36</v>
          </cell>
          <cell r="H98">
            <v>53.04</v>
          </cell>
        </row>
        <row r="99">
          <cell r="A99" t="str">
            <v xml:space="preserve"> 11.5 </v>
          </cell>
          <cell r="D99" t="str">
            <v>Forro de madeira lambri pau d'arco, e = 6,4 mm,  inclusive madeiramento de suporte (sarrafo), instalado</v>
          </cell>
          <cell r="E99" t="str">
            <v>m²</v>
          </cell>
          <cell r="F99">
            <v>267.58999999999997</v>
          </cell>
          <cell r="H99">
            <v>156.26</v>
          </cell>
        </row>
        <row r="100">
          <cell r="A100" t="str">
            <v xml:space="preserve"> 12 </v>
          </cell>
          <cell r="D100" t="str">
            <v>REVESTIMENTOS EXTERNOS</v>
          </cell>
        </row>
        <row r="101">
          <cell r="A101" t="str">
            <v xml:space="preserve"> 12.1 </v>
          </cell>
          <cell r="D101" t="str">
            <v>CHAPISCO APLICADO EM ALVENARIA (SEM PRESENÇA DE VÃOS) E ESTRUTURAS DE CONCRETO DE FACHADA, COM ROLO PARA TEXTURA ACRÍLICA.  ARGAMASSA TRAÇO 1:4 E EMULSÃO POLIMÉRICA (ADESIVO) COM PREPARO EM BETONEIRA 400L. AF_06/2014</v>
          </cell>
          <cell r="E101" t="str">
            <v>m²</v>
          </cell>
          <cell r="F101">
            <v>3583.04</v>
          </cell>
          <cell r="H101">
            <v>9.6</v>
          </cell>
        </row>
        <row r="102">
          <cell r="A102" t="str">
            <v xml:space="preserve"> 12.2 </v>
          </cell>
          <cell r="D102" t="str">
            <v>MASSA ÚNICA, PARA RECEBIMENTO DE PINTURA, EM ARGAMASSA TRAÇO 1:2:8, PREPARO MECÂNICO COM BETONEIRA 400L, APLICADA MANUALMENTE EM FACES INTERNAS DE PAREDES, ESPESSURA DE 20MM, COM EXECUÇÃO DE TALISCAS. AF_06/2014</v>
          </cell>
          <cell r="E102" t="str">
            <v>m²</v>
          </cell>
          <cell r="F102">
            <v>3583.04</v>
          </cell>
          <cell r="H102">
            <v>35.04</v>
          </cell>
        </row>
        <row r="103">
          <cell r="A103" t="str">
            <v xml:space="preserve"> 12.3 </v>
          </cell>
          <cell r="D103" t="str">
            <v>Revestimento metálico em alumínio composto (Alucobond), e=0,3mm, pintura Kaynar 500 composta por seis camadas,  inclusive estrutura metálica auxiliar em perfil de viga "U" de 2" - fornecimento e montagem</v>
          </cell>
          <cell r="E103" t="str">
            <v>m²</v>
          </cell>
          <cell r="F103">
            <v>460.51</v>
          </cell>
          <cell r="H103">
            <v>572.33000000000004</v>
          </cell>
        </row>
        <row r="104">
          <cell r="A104" t="str">
            <v xml:space="preserve"> 12.4 </v>
          </cell>
          <cell r="D104" t="str">
            <v>Revestimento cerâmico para parede, 10 x 10 cm, Elizabeth, linha cristal piscina, aplicado com argamassa industrializada ac-ii, rejunte epoxi, exclusive regularização de base ou emboço - Rev 02</v>
          </cell>
          <cell r="E104" t="str">
            <v>m²</v>
          </cell>
          <cell r="F104">
            <v>114.72</v>
          </cell>
          <cell r="H104">
            <v>122.84</v>
          </cell>
        </row>
        <row r="105">
          <cell r="A105" t="str">
            <v xml:space="preserve"> 13 </v>
          </cell>
          <cell r="D105" t="str">
            <v>PINTURA_1</v>
          </cell>
        </row>
        <row r="106">
          <cell r="A106" t="str">
            <v xml:space="preserve"> 13.1 </v>
          </cell>
          <cell r="D106" t="str">
            <v>APLICAÇÃO DE FUNDO SELADOR ACRÍLICO EM PAREDES, UMA DEMÃO. AF_06/2014</v>
          </cell>
          <cell r="E106" t="str">
            <v>m²</v>
          </cell>
          <cell r="F106">
            <v>7407.16</v>
          </cell>
          <cell r="H106">
            <v>2.69</v>
          </cell>
        </row>
        <row r="107">
          <cell r="A107" t="str">
            <v xml:space="preserve"> 13.2 </v>
          </cell>
          <cell r="D107" t="str">
            <v>APLICAÇÃO E LIXAMENTO DE MASSA LÁTEX EM PAREDES, DUAS DEMÃOS. AF_06/2014</v>
          </cell>
          <cell r="E107" t="str">
            <v>m²</v>
          </cell>
          <cell r="F107">
            <v>7407.16</v>
          </cell>
          <cell r="H107">
            <v>15</v>
          </cell>
        </row>
        <row r="108">
          <cell r="A108" t="str">
            <v xml:space="preserve"> 13.3 </v>
          </cell>
          <cell r="D108" t="str">
            <v>APLICAÇÃO MANUAL DE PINTURA COM TINTA LÁTEX ACRÍLICA EM PAREDES, DUAS DEMÃOS. AF_06/2014</v>
          </cell>
          <cell r="E108" t="str">
            <v>m²</v>
          </cell>
          <cell r="F108">
            <v>7407.16</v>
          </cell>
          <cell r="H108">
            <v>15.08</v>
          </cell>
        </row>
        <row r="109">
          <cell r="A109" t="str">
            <v xml:space="preserve"> 13.4 </v>
          </cell>
          <cell r="D109" t="str">
            <v>APLICAÇÃO DE FUNDO SELADOR ACRÍLICO EM TETO, UMA DEMÃO. AF_06/2014</v>
          </cell>
          <cell r="E109" t="str">
            <v>m²</v>
          </cell>
          <cell r="F109">
            <v>1564.15</v>
          </cell>
          <cell r="H109">
            <v>3.08</v>
          </cell>
        </row>
        <row r="110">
          <cell r="A110" t="str">
            <v xml:space="preserve"> 13.5 </v>
          </cell>
          <cell r="D110" t="str">
            <v>APLICAÇÃO E LIXAMENTO DE MASSA LÁTEX EM TETO, DUAS DEMÃOS. AF_06/2014</v>
          </cell>
          <cell r="E110" t="str">
            <v>m²</v>
          </cell>
          <cell r="F110">
            <v>1564.15</v>
          </cell>
          <cell r="H110">
            <v>26.58</v>
          </cell>
        </row>
        <row r="111">
          <cell r="A111" t="str">
            <v xml:space="preserve"> 13.6 </v>
          </cell>
          <cell r="D111" t="str">
            <v>APLICAÇÃO MANUAL DE PINTURA COM TINTA LÁTEX ACRÍLICA EM TETO, DUAS DEMÃOS. AF_06/2014</v>
          </cell>
          <cell r="E111" t="str">
            <v>m²</v>
          </cell>
          <cell r="F111">
            <v>1564.15</v>
          </cell>
          <cell r="H111">
            <v>16.899999999999999</v>
          </cell>
        </row>
        <row r="112">
          <cell r="A112" t="str">
            <v xml:space="preserve"> 13.7 </v>
          </cell>
          <cell r="D112" t="str">
            <v>PINTURA TINTA DE ACABAMENTO (PIGMENTADA) ESMALTE SINTÉTICO BRILHANTE EM MADEIRA, 2 DEMÃOS. AF_01/2021</v>
          </cell>
          <cell r="E112" t="str">
            <v>m²</v>
          </cell>
          <cell r="F112">
            <v>118.46</v>
          </cell>
          <cell r="H112">
            <v>14.06</v>
          </cell>
        </row>
        <row r="113">
          <cell r="A113" t="str">
            <v xml:space="preserve"> 13.8 </v>
          </cell>
          <cell r="D113" t="str">
            <v>PINTURA DE DEMARCAÇÃO DE VAGA COM TINTA EPÓXI, E = 10 CM, APLICAÇÃO MANUAL. AF_05/2021</v>
          </cell>
          <cell r="E113" t="str">
            <v>M</v>
          </cell>
          <cell r="F113">
            <v>85</v>
          </cell>
          <cell r="H113">
            <v>5.55</v>
          </cell>
        </row>
        <row r="114">
          <cell r="A114" t="str">
            <v xml:space="preserve"> 14 </v>
          </cell>
          <cell r="D114" t="str">
            <v>ESQUADRIAS</v>
          </cell>
        </row>
        <row r="115">
          <cell r="A115" t="str">
            <v xml:space="preserve"> 14.1 </v>
          </cell>
          <cell r="D115" t="str">
            <v>PORTA DE MADEIRA PARA PINTURA, SEMI-OCA (LEVE OU MÉDIA), 70X210CM, ESPESSURA DE 3,5CM, INCLUSO DOBRADIÇAS - FORNECIMENTO E INSTALAÇÃO. AF_12/2019</v>
          </cell>
          <cell r="E115" t="str">
            <v>UN</v>
          </cell>
          <cell r="F115">
            <v>7</v>
          </cell>
          <cell r="H115">
            <v>397.84</v>
          </cell>
        </row>
        <row r="116">
          <cell r="A116" t="str">
            <v xml:space="preserve"> 14.2 </v>
          </cell>
          <cell r="D116" t="str">
            <v>PORTA DE MADEIRA PARA PINTURA, SEMI-OCA (LEVE OU MÉDIA), 80X210CM, ESPESSURA DE 3,5CM, INCLUSO DOBRADIÇAS - FORNECIMENTO E INSTALAÇÃO. AF_12/2019</v>
          </cell>
          <cell r="E116" t="str">
            <v>UN</v>
          </cell>
          <cell r="F116">
            <v>11</v>
          </cell>
          <cell r="H116">
            <v>423.95</v>
          </cell>
        </row>
        <row r="117">
          <cell r="A117" t="str">
            <v xml:space="preserve"> 14.3 </v>
          </cell>
          <cell r="D117" t="str">
            <v>PORTA DE MADEIRA PARA PINTURA, SEMI-OCA (LEVE OU MÉDIA), 90X210CM, ESPESSURA DE 3,5CM, INCLUSO DOBRADIÇAS - FORNECIMENTO E INSTALAÇÃO. AF_12/2019</v>
          </cell>
          <cell r="E117" t="str">
            <v>UN</v>
          </cell>
          <cell r="F117">
            <v>5</v>
          </cell>
          <cell r="H117">
            <v>514.95000000000005</v>
          </cell>
        </row>
        <row r="118">
          <cell r="A118" t="str">
            <v xml:space="preserve"> 14.4 </v>
          </cell>
          <cell r="D118" t="str">
            <v>PORTA EM MADEIRA DE LEI, DE CORRER, LISA, SEMI-OCA 0,80X2,40M,  COM BATENTES, ALIZARES E BANDEIRA SUPERIOR 30 CM, INCLUSIVE  FERRAGENS E FECHADURA TIPO PAPAGAIO</v>
          </cell>
          <cell r="E118" t="str">
            <v>und</v>
          </cell>
          <cell r="F118">
            <v>1</v>
          </cell>
          <cell r="H118">
            <v>1172.4000000000001</v>
          </cell>
        </row>
        <row r="119">
          <cell r="A119" t="str">
            <v xml:space="preserve"> 14.5 </v>
          </cell>
          <cell r="D119" t="str">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ell>
          <cell r="E119" t="str">
            <v>und</v>
          </cell>
          <cell r="F119">
            <v>5</v>
          </cell>
          <cell r="H119">
            <v>18588.939999999999</v>
          </cell>
        </row>
        <row r="120">
          <cell r="A120" t="str">
            <v xml:space="preserve"> 14.6 </v>
          </cell>
          <cell r="D120" t="str">
            <v>INSTALAÇÃO DE VIDRO LISO INCOLOR, E = 3 MM, EM ESQUADRIA DE MADEIRA, FIXADO COM BAGUETE. AF_01/2021</v>
          </cell>
          <cell r="E120" t="str">
            <v>m²</v>
          </cell>
          <cell r="F120">
            <v>7.57</v>
          </cell>
          <cell r="H120">
            <v>222.47</v>
          </cell>
        </row>
        <row r="121">
          <cell r="A121" t="str">
            <v xml:space="preserve"> 14.7 </v>
          </cell>
          <cell r="D121" t="str">
            <v>Porta ou janela em alumínio, cor N/P/B,tipo veneziana, de abrir ou correr, completa inclusive caixilhos, dobradiças ou roldanas e fechadura</v>
          </cell>
          <cell r="E121" t="str">
            <v>m²</v>
          </cell>
          <cell r="F121">
            <v>30.4</v>
          </cell>
          <cell r="H121">
            <v>359.84</v>
          </cell>
        </row>
        <row r="122">
          <cell r="A122" t="str">
            <v xml:space="preserve"> 14.8 </v>
          </cell>
          <cell r="D122" t="str">
            <v>PORTA DE CORRER DE ALUMÍNIO, COM DUAS FOLHAS PARA VIDRO, INCLUSO VIDRO LISO INCOLOR, FECHADURA E PUXADOR, SEM ALIZAR. AF_12/2019</v>
          </cell>
          <cell r="E122" t="str">
            <v>m²</v>
          </cell>
          <cell r="F122">
            <v>21.98</v>
          </cell>
          <cell r="H122">
            <v>587.39</v>
          </cell>
        </row>
        <row r="123">
          <cell r="A123" t="str">
            <v xml:space="preserve"> 14.9 </v>
          </cell>
          <cell r="D123" t="str">
            <v>Porta em alumínio, cor N/P/B, moldura-vidro,completa, inclusive caixilhos, dobradiças ou roldanas e fechadura, exclusive vidro</v>
          </cell>
          <cell r="E123" t="str">
            <v>m²</v>
          </cell>
          <cell r="F123">
            <v>26.58</v>
          </cell>
          <cell r="H123">
            <v>345.11</v>
          </cell>
        </row>
        <row r="124">
          <cell r="A124" t="str">
            <v xml:space="preserve"> 14.10 </v>
          </cell>
          <cell r="D124" t="str">
            <v>INSTALAÇÃO DE VIDRO TEMPERADO, E = 6 MM, ENCAIXADO EM PERFIL U. AF_01/2021_PS</v>
          </cell>
          <cell r="E124" t="str">
            <v>m²</v>
          </cell>
          <cell r="F124">
            <v>69.28</v>
          </cell>
          <cell r="H124">
            <v>425.05</v>
          </cell>
        </row>
        <row r="125">
          <cell r="A125" t="str">
            <v xml:space="preserve"> 14.11 </v>
          </cell>
          <cell r="D125" t="str">
            <v>JANELA DE ALUMÍNIO DE CORRER COM 6 FOLHAS (2 VENEZIANAS FIXAS, 2 VENEZIANAS DE CORRER E 2 PARA VIDRO), COM VIDROS, BATENTE, ACABAMENTO COM ACETATO OU BRILHANTE E FERRAGENS. EXCLUSIVE ALIZAR E CONTRAMARCO. FORNECIMENTO E INSTALAÇÃO. AF_12/2019</v>
          </cell>
          <cell r="E125" t="str">
            <v>m²</v>
          </cell>
          <cell r="F125">
            <v>32.24</v>
          </cell>
          <cell r="H125">
            <v>1406.82</v>
          </cell>
        </row>
        <row r="126">
          <cell r="A126" t="str">
            <v xml:space="preserve"> 14.12 </v>
          </cell>
          <cell r="D126" t="str">
            <v>Sistema de automação para porta de aluminio c/vidro, deslizante, 2 folhas, dimensão do trilho: de 3,30 até 4,40m</v>
          </cell>
          <cell r="E126" t="str">
            <v>cj</v>
          </cell>
          <cell r="F126">
            <v>8</v>
          </cell>
          <cell r="H126">
            <v>8739.4</v>
          </cell>
        </row>
        <row r="127">
          <cell r="A127" t="str">
            <v xml:space="preserve"> 14.13 </v>
          </cell>
          <cell r="D127" t="str">
            <v>Porta em vidro temperado 10mm, incolor, inclusive ferragens de fixação e instalação, exclusive puxador - Rev 01_10/2021</v>
          </cell>
          <cell r="E127" t="str">
            <v>m²</v>
          </cell>
          <cell r="F127">
            <v>12</v>
          </cell>
          <cell r="H127">
            <v>765.43</v>
          </cell>
        </row>
        <row r="128">
          <cell r="A128" t="str">
            <v xml:space="preserve"> 14.14 </v>
          </cell>
          <cell r="D128" t="str">
            <v>INSTALAÇÃO DE VIDRO TEMPERADO, E = 6 MM, ENCAIXADO EM PERFIL U. AF_01/2021_PS</v>
          </cell>
          <cell r="E128" t="str">
            <v>m²</v>
          </cell>
          <cell r="F128">
            <v>9.6999999999999993</v>
          </cell>
          <cell r="H128">
            <v>425.05</v>
          </cell>
        </row>
        <row r="129">
          <cell r="A129" t="str">
            <v xml:space="preserve"> 14.15 </v>
          </cell>
          <cell r="D129" t="str">
            <v>JANELA DE ALUMÍNIO DE CORRER COM 4 FOLHAS PARA VIDROS, COM VIDROS, BATENTE, ACABAMENTO COM ACETATO OU BRILHANTE E FERRAGENS. EXCLUSIVE ALIZAR E CONTRAMARCO. FORNECIMENTO E INSTALAÇÃO. AF_12/2019</v>
          </cell>
          <cell r="E129" t="str">
            <v>m²</v>
          </cell>
          <cell r="F129">
            <v>31.3</v>
          </cell>
          <cell r="H129">
            <v>1012.17</v>
          </cell>
        </row>
        <row r="130">
          <cell r="A130" t="str">
            <v xml:space="preserve"> 14.16 </v>
          </cell>
          <cell r="D130" t="str">
            <v>JANELA DE ALUMÍNIO DE CORRER COM 2 FOLHAS PARA VIDROS, COM VIDROS, BATENTE, ACABAMENTO COM ACETATO OU BRILHANTE E FERRAGENS. EXCLUSIVE ALIZAR E CONTRAMARCO. FORNECIMENTO E INSTALAÇÃO. AF_12/2019</v>
          </cell>
          <cell r="E130" t="str">
            <v>m²</v>
          </cell>
          <cell r="F130">
            <v>0.6</v>
          </cell>
          <cell r="H130">
            <v>889.11</v>
          </cell>
        </row>
        <row r="131">
          <cell r="A131" t="str">
            <v xml:space="preserve"> 14.17 </v>
          </cell>
          <cell r="D131" t="str">
            <v>JANELA DE ALUMÍNIO TIPO MAXIM-AR, COM VIDROS, BATENTE E FERRAGENS. EXCLUSIVE ALIZAR, ACABAMENTO E CONTRAMARCO. FORNECIMENTO E INSTALAÇÃO. AF_12/2019</v>
          </cell>
          <cell r="E131" t="str">
            <v>m²</v>
          </cell>
          <cell r="F131">
            <v>3.3</v>
          </cell>
          <cell r="H131">
            <v>1666.99</v>
          </cell>
        </row>
        <row r="132">
          <cell r="A132" t="str">
            <v xml:space="preserve"> 14.18 </v>
          </cell>
          <cell r="D132" t="str">
            <v>JANELA FIXA DE ALUMÍNIO PARA VIDRO, COM VIDRO, BATENTE E FERRAGENS. EXCLUSIVE ACABAMENTO, ALIZAR E CONTRAMARCO. FORNECIMENTO E INSTALAÇÃO. AF_12/2019</v>
          </cell>
          <cell r="E132" t="str">
            <v>m²</v>
          </cell>
          <cell r="F132">
            <v>3.25</v>
          </cell>
          <cell r="H132">
            <v>1901.03</v>
          </cell>
        </row>
        <row r="133">
          <cell r="A133" t="str">
            <v xml:space="preserve"> 14.19 </v>
          </cell>
          <cell r="D133" t="str">
            <v>CONTRAMARCO DE ALUMÍNIO, FIXAÇÃO COM ARGAMASSA - FORNECIMENTO E INSTALAÇÃO. AF_12/2019</v>
          </cell>
          <cell r="E133" t="str">
            <v>M</v>
          </cell>
          <cell r="F133">
            <v>156</v>
          </cell>
          <cell r="H133">
            <v>32.56</v>
          </cell>
        </row>
        <row r="134">
          <cell r="A134" t="str">
            <v xml:space="preserve"> 14.20 </v>
          </cell>
          <cell r="D134" t="str">
            <v>Portão/porta em alumínio cor N/B/P, de abrir, 02 fls, vazado, em tubo quadrado 3"x1.1/2" horizontais e engradado e 1.1/2"x1.1/2" verticais, com espaçamento de 12cm.</v>
          </cell>
          <cell r="E134" t="str">
            <v>m²</v>
          </cell>
          <cell r="F134">
            <v>10.78</v>
          </cell>
          <cell r="H134">
            <v>448.21</v>
          </cell>
        </row>
        <row r="135">
          <cell r="A135" t="str">
            <v xml:space="preserve"> 14.21 </v>
          </cell>
          <cell r="D135" t="str">
            <v>Gradil Nylofor 3D, malha 20x5cm, Ø 5mm 250x103 cm, pintura branca, Belgo ou similar, inclusive postes e acessórios</v>
          </cell>
          <cell r="E135" t="str">
            <v>m²</v>
          </cell>
          <cell r="F135">
            <v>242.41</v>
          </cell>
          <cell r="H135">
            <v>593.61</v>
          </cell>
        </row>
        <row r="136">
          <cell r="A136" t="str">
            <v xml:space="preserve"> 14.22 </v>
          </cell>
          <cell r="D136" t="str">
            <v>FECHADURA DE EMBUTIR COM CILINDRO, EXTERNA, COMPLETA, ACABAMENTO PADRÃO MÉDIO, INCLUSO EXECUÇÃO DE FURO - FORNECIMENTO E INSTALAÇÃO. AF_12/2019</v>
          </cell>
          <cell r="E136" t="str">
            <v>UN</v>
          </cell>
          <cell r="F136">
            <v>23</v>
          </cell>
          <cell r="H136">
            <v>169.94</v>
          </cell>
        </row>
        <row r="137">
          <cell r="A137" t="str">
            <v xml:space="preserve"> 14.23 </v>
          </cell>
          <cell r="D137" t="str">
            <v>Batente em madeira de lei l = 0,14 m (caixão), incluindo 02 jogos de alizar</v>
          </cell>
          <cell r="E137" t="str">
            <v>m</v>
          </cell>
          <cell r="F137">
            <v>129.97999999999999</v>
          </cell>
          <cell r="H137">
            <v>75.819999999999993</v>
          </cell>
        </row>
        <row r="138">
          <cell r="A138" t="str">
            <v xml:space="preserve"> 15 </v>
          </cell>
          <cell r="D138" t="str">
            <v>LOUÇAS, METAIS BANCADAS_1</v>
          </cell>
        </row>
        <row r="139">
          <cell r="A139" t="str">
            <v xml:space="preserve"> 15.1 </v>
          </cell>
          <cell r="D139" t="str">
            <v>VASO SANITÁRIO SIFONADO COM CAIXA ACOPLADA LOUÇA BRANCA, INCLUSO ENGATE FLEXÍVEL EM PLÁSTICO BRANCO, 1/2  X 40CM - FORNECIMENTO E INSTALAÇÃO. AF_01/2020</v>
          </cell>
          <cell r="E139" t="str">
            <v>UN</v>
          </cell>
          <cell r="F139">
            <v>26</v>
          </cell>
          <cell r="H139">
            <v>526.63</v>
          </cell>
        </row>
        <row r="140">
          <cell r="A140" t="str">
            <v xml:space="preserve"> 15.2 </v>
          </cell>
          <cell r="D140" t="str">
            <v>VASO SANITARIO SIFONADO CONVENCIONAL PARA PCD SEM FURO FRONTAL COM LOUÇA BRANCA SEM ASSENTO, INCLUSO CONJUNTO DE LIGAÇÃO PARA BACIA SANITÁRIA AJUSTÁVEL - FORNECIMENTO E INSTALAÇÃO. AF_01/2020</v>
          </cell>
          <cell r="E140" t="str">
            <v>UN</v>
          </cell>
          <cell r="F140">
            <v>3</v>
          </cell>
          <cell r="H140">
            <v>815.62</v>
          </cell>
        </row>
        <row r="141">
          <cell r="A141" t="str">
            <v xml:space="preserve"> 15.3 </v>
          </cell>
          <cell r="D141" t="str">
            <v>ASSENTO SANITÁRIO CONVENCIONAL - FORNECIMENTO E INSTALACAO. AF_01/2020</v>
          </cell>
          <cell r="E141" t="str">
            <v>UN</v>
          </cell>
          <cell r="F141">
            <v>29</v>
          </cell>
          <cell r="H141">
            <v>47.53</v>
          </cell>
        </row>
        <row r="142">
          <cell r="A142" t="str">
            <v xml:space="preserve"> 15.4 </v>
          </cell>
          <cell r="D142" t="str">
            <v>BARRA DE APOIO RETA, EM ACO INOX POLIDO, COMPRIMENTO 80 CM,  FIXADA NA PAREDE - FORNECIMENTO E INSTALAÇÃO. AF_01/2020</v>
          </cell>
          <cell r="E142" t="str">
            <v>UN</v>
          </cell>
          <cell r="F142">
            <v>9</v>
          </cell>
          <cell r="H142">
            <v>381.77</v>
          </cell>
        </row>
        <row r="143">
          <cell r="A143" t="str">
            <v xml:space="preserve"> 15.5 </v>
          </cell>
          <cell r="D143" t="str">
            <v>Ducha cromada, DECA, linha duna 1984 C 61 ou similar</v>
          </cell>
          <cell r="E143" t="str">
            <v>un</v>
          </cell>
          <cell r="F143">
            <v>29</v>
          </cell>
          <cell r="H143">
            <v>431.64</v>
          </cell>
        </row>
        <row r="144">
          <cell r="A144" t="str">
            <v xml:space="preserve"> 15.6 </v>
          </cell>
          <cell r="D144" t="str">
            <v>CHUVEIRO ELÉTRICO COMUM CORPO PLÁSTICO, TIPO DUCHA  FORNECIMENTO E INSTALAÇÃO. AF_01/2020</v>
          </cell>
          <cell r="E144" t="str">
            <v>UN</v>
          </cell>
          <cell r="F144">
            <v>4</v>
          </cell>
          <cell r="H144">
            <v>118.53</v>
          </cell>
        </row>
        <row r="145">
          <cell r="A145" t="str">
            <v xml:space="preserve"> 15.7 </v>
          </cell>
          <cell r="D145" t="str">
            <v>Barra de apoio, para lavatório,fixa, constituida de duas barras laterais em "U", em aço inox,  d=1 1/4", Jackwal ou similar</v>
          </cell>
          <cell r="E145" t="str">
            <v>cj</v>
          </cell>
          <cell r="F145">
            <v>3</v>
          </cell>
          <cell r="H145">
            <v>422.1</v>
          </cell>
        </row>
        <row r="146">
          <cell r="A146" t="str">
            <v xml:space="preserve"> 15.8 </v>
          </cell>
          <cell r="D146" t="str">
            <v>Lavatório louça de canto (Deca-Izy, ref L-10117 ou similar) sem coluna, c/ sifão cromado, válvula cromada, engate cromado, exclusive torneira</v>
          </cell>
          <cell r="E146" t="str">
            <v>un</v>
          </cell>
          <cell r="F146">
            <v>3</v>
          </cell>
          <cell r="H146">
            <v>497.59</v>
          </cell>
        </row>
        <row r="147">
          <cell r="A147" t="str">
            <v xml:space="preserve"> 15.9 </v>
          </cell>
          <cell r="D147" t="str">
            <v>Cuba de sobrepor oval (deca ref.L65), acabamento GE-17, com sifão cromado (astra ref SC5), engate cromado (deca), válvula cromada (deca ref1602)  ou similares, exclusive torneira</v>
          </cell>
          <cell r="E147" t="str">
            <v>un</v>
          </cell>
          <cell r="F147">
            <v>18</v>
          </cell>
          <cell r="H147">
            <v>458.14</v>
          </cell>
        </row>
        <row r="148">
          <cell r="A148" t="str">
            <v xml:space="preserve"> 15.10 </v>
          </cell>
          <cell r="D148" t="str">
            <v>CUBA DE EMBUTIR DE AÇO INOXIDÁVEL MÉDIA, INCLUSO VÁLVULA TIPO AMERICANA E SIFÃO TIPO GARRAFA EM METAL CROMADO - FORNECIMENTO E INSTALAÇÃO. AF_01/2020</v>
          </cell>
          <cell r="E148" t="str">
            <v>UN</v>
          </cell>
          <cell r="F148">
            <v>5</v>
          </cell>
          <cell r="H148">
            <v>459.19</v>
          </cell>
        </row>
        <row r="149">
          <cell r="A149" t="str">
            <v xml:space="preserve"> 15.11 </v>
          </cell>
          <cell r="D149" t="str">
            <v>ENGATE FLEXÍVEL EM INOX, 1/2  X 40CM - FORNECIMENTO E INSTALAÇÃO. AF_01/2020</v>
          </cell>
          <cell r="E149" t="str">
            <v>UN</v>
          </cell>
          <cell r="F149">
            <v>5</v>
          </cell>
          <cell r="H149">
            <v>44.69</v>
          </cell>
        </row>
        <row r="150">
          <cell r="A150" t="str">
            <v xml:space="preserve"> 15.12 </v>
          </cell>
          <cell r="D150" t="str">
            <v>TORNEIRA CROMADA DE MESA, 1/2 OU 3/4, PARA LAVATÓRIO, PADRÃO MÉDIO - FORNECIMENTO E INSTALAÇÃO. AF_01/2020</v>
          </cell>
          <cell r="E150" t="str">
            <v>UN</v>
          </cell>
          <cell r="F150">
            <v>21</v>
          </cell>
          <cell r="H150">
            <v>137.91</v>
          </cell>
        </row>
        <row r="151">
          <cell r="A151" t="str">
            <v xml:space="preserve"> 15.13 </v>
          </cell>
          <cell r="D151" t="str">
            <v>Torneira cromada para pia de cozinha, de mesa, com articulador, 1/2", ref. 1167, da Deca ou similar</v>
          </cell>
          <cell r="E151" t="str">
            <v>un</v>
          </cell>
          <cell r="F151">
            <v>5</v>
          </cell>
          <cell r="H151">
            <v>140.68</v>
          </cell>
        </row>
        <row r="152">
          <cell r="A152" t="str">
            <v xml:space="preserve"> 15.14 </v>
          </cell>
          <cell r="D152" t="str">
            <v>PAPELEIRA PLASTICA TIPO DISPENSER PARA PAPEL HIGIENICO ROLAO</v>
          </cell>
          <cell r="E152" t="str">
            <v>UN</v>
          </cell>
          <cell r="F152">
            <v>29</v>
          </cell>
          <cell r="H152">
            <v>139.15</v>
          </cell>
        </row>
        <row r="153">
          <cell r="A153" t="str">
            <v xml:space="preserve"> 15.15 </v>
          </cell>
          <cell r="D153" t="str">
            <v>SABONETEIRA PLASTICA TIPO DISPENSER PARA SABONETE LIQUIDO COM RESERVATORIO 800 A 1500 ML</v>
          </cell>
          <cell r="E153" t="str">
            <v>UN</v>
          </cell>
          <cell r="F153">
            <v>13</v>
          </cell>
          <cell r="H153">
            <v>133.65</v>
          </cell>
        </row>
        <row r="154">
          <cell r="A154" t="str">
            <v xml:space="preserve"> 15.16 </v>
          </cell>
          <cell r="D154" t="str">
            <v>Bancada em granito verde ubatuba, e = 2cm</v>
          </cell>
          <cell r="E154" t="str">
            <v>m²</v>
          </cell>
          <cell r="F154">
            <v>62.69</v>
          </cell>
          <cell r="H154">
            <v>738.62</v>
          </cell>
        </row>
        <row r="155">
          <cell r="A155" t="str">
            <v xml:space="preserve"> 15.17 </v>
          </cell>
          <cell r="D155" t="str">
            <v>TOALHEIRO PLASTICO TIPO DISPENSER PARA PAPEL TOALHA INTERFOLHADO</v>
          </cell>
          <cell r="E155" t="str">
            <v>UN</v>
          </cell>
          <cell r="F155">
            <v>13</v>
          </cell>
          <cell r="H155">
            <v>139.15</v>
          </cell>
        </row>
        <row r="156">
          <cell r="A156" t="str">
            <v xml:space="preserve"> 16 </v>
          </cell>
          <cell r="D156" t="str">
            <v>INSTALAÇÕES HIDRAULICAS</v>
          </cell>
        </row>
        <row r="157">
          <cell r="A157" t="str">
            <v xml:space="preserve"> 16.1 </v>
          </cell>
          <cell r="D157" t="str">
            <v>Filtro TP Jacuzzi: 12 TP - 25A - M2 220V - MONO (1/4 CV - ATÉ 2,5 M³/h)</v>
          </cell>
          <cell r="E157" t="str">
            <v>UND</v>
          </cell>
          <cell r="F157">
            <v>2</v>
          </cell>
          <cell r="H157">
            <v>2282.33</v>
          </cell>
        </row>
        <row r="158">
          <cell r="A158" t="str">
            <v xml:space="preserve"> 16.2 </v>
          </cell>
          <cell r="D158" t="str">
            <v>BOMBA SUBMERSIVA BCS-255 0.5 M 60 220V 4P</v>
          </cell>
          <cell r="E158" t="str">
            <v>UND</v>
          </cell>
          <cell r="F158">
            <v>2</v>
          </cell>
          <cell r="H158">
            <v>5119.25</v>
          </cell>
        </row>
        <row r="159">
          <cell r="A159" t="str">
            <v xml:space="preserve"> 16.3 </v>
          </cell>
          <cell r="D159" t="str">
            <v>BOMBA DE RECALQUE BC-92S 1B 3 M 60 1/2,RT143</v>
          </cell>
          <cell r="E159" t="str">
            <v>UND</v>
          </cell>
          <cell r="F159">
            <v>2</v>
          </cell>
          <cell r="H159">
            <v>2493.98</v>
          </cell>
        </row>
        <row r="160">
          <cell r="A160" t="str">
            <v xml:space="preserve"> 16.4 </v>
          </cell>
          <cell r="D160" t="str">
            <v>REGISTRO DE GAVETA BRUTO, LATÃO, ROSCÁVEL, 3/4", COM ACABAMENTO E CANOPLA CROMADOS - FORNECIMENTO E INSTALAÇÃO. AF_08/2021</v>
          </cell>
          <cell r="E160" t="str">
            <v>UN</v>
          </cell>
          <cell r="F160">
            <v>23</v>
          </cell>
          <cell r="H160">
            <v>110.11</v>
          </cell>
        </row>
        <row r="161">
          <cell r="A161" t="str">
            <v xml:space="preserve"> 16.5 </v>
          </cell>
          <cell r="D161" t="str">
            <v>REGISTRO DE PRESSÃO, PVC, ROSCÁVEL, VOLANTE SIMPLES, 3/4" - FORNECIMENTO E INSTALAÇÃO. AF_08/2021</v>
          </cell>
          <cell r="E161" t="str">
            <v>UN</v>
          </cell>
          <cell r="F161">
            <v>4</v>
          </cell>
          <cell r="H161">
            <v>16.45</v>
          </cell>
        </row>
        <row r="162">
          <cell r="A162" t="str">
            <v xml:space="preserve"> 16.6 </v>
          </cell>
          <cell r="D162" t="str">
            <v>REGISTRO DE ESFERA, PVC, ROSCÁVEL, COM VOLANTE, 1 1/2" - FORNECIMENTO E INSTALAÇÃO. AF_08/2021</v>
          </cell>
          <cell r="E162" t="str">
            <v>UN</v>
          </cell>
          <cell r="F162">
            <v>2</v>
          </cell>
          <cell r="H162">
            <v>47.73</v>
          </cell>
        </row>
        <row r="163">
          <cell r="A163" t="str">
            <v xml:space="preserve"> 16.7 </v>
          </cell>
          <cell r="D163" t="str">
            <v>VÁLVULA DE RETENÇÃO HORIZONTAL, DE BRONZE, ROSCÁVEL, 1 1/2"  - FORNECIMENTO E INSTALAÇÃO. AF_08/2021</v>
          </cell>
          <cell r="E163" t="str">
            <v>UN</v>
          </cell>
          <cell r="F163">
            <v>2</v>
          </cell>
          <cell r="H163">
            <v>302</v>
          </cell>
        </row>
        <row r="164">
          <cell r="A164" t="str">
            <v xml:space="preserve"> 16.8 </v>
          </cell>
          <cell r="D164" t="str">
            <v>VÁLVULA DE RETENÇÃO VERTICAL Ø 40MM (1.1/2") - FORNECIMENTO E INSTALAÇÃO</v>
          </cell>
          <cell r="E164" t="str">
            <v>UN</v>
          </cell>
          <cell r="F164">
            <v>2</v>
          </cell>
          <cell r="H164">
            <v>184.81</v>
          </cell>
        </row>
        <row r="165">
          <cell r="A165" t="str">
            <v xml:space="preserve"> 16.9 </v>
          </cell>
          <cell r="D165" t="str">
            <v>VÁLVULA DE RETENÇÃO VERTICAL, DE BRONZE, ROSCÁVEL, 1 1/4" - FORNECIMENTO E INSTALAÇÃO. AF_08/2021</v>
          </cell>
          <cell r="E165" t="str">
            <v>UN</v>
          </cell>
          <cell r="F165">
            <v>2</v>
          </cell>
          <cell r="H165">
            <v>142.96</v>
          </cell>
        </row>
        <row r="166">
          <cell r="A166" t="str">
            <v xml:space="preserve"> 16.10 </v>
          </cell>
          <cell r="D166" t="str">
            <v>REGISTRO DE ESFERA, PVC, SOLDÁVEL, COM VOLANTE, DN  40 MM - FORNECIMENTO E INSTALAÇÃO. AF_08/2021</v>
          </cell>
          <cell r="E166" t="str">
            <v>UN</v>
          </cell>
          <cell r="F166">
            <v>8</v>
          </cell>
          <cell r="H166">
            <v>41.72</v>
          </cell>
        </row>
        <row r="167">
          <cell r="A167" t="str">
            <v xml:space="preserve"> 16.11 </v>
          </cell>
          <cell r="D167" t="str">
            <v>REGISTRO DE ESFERA, PVC, SOLDÁVEL, COM VOLANTE, DN  50 MM - FORNECIMENTO E INSTALAÇÃO. AF_08/2021</v>
          </cell>
          <cell r="E167" t="str">
            <v>UN</v>
          </cell>
          <cell r="F167">
            <v>4</v>
          </cell>
          <cell r="H167">
            <v>42.83</v>
          </cell>
        </row>
        <row r="168">
          <cell r="A168" t="str">
            <v xml:space="preserve"> 16.12 </v>
          </cell>
          <cell r="D168" t="str">
            <v>REGISTRO DE ESFERA, PVC, SOLDÁVEL, COM VOLANTE, DN  60 MM - FORNECIMENTO E INSTALAÇÃO. AF_08/2021</v>
          </cell>
          <cell r="E168" t="str">
            <v>UN</v>
          </cell>
          <cell r="F168">
            <v>2</v>
          </cell>
          <cell r="H168">
            <v>78.48</v>
          </cell>
        </row>
        <row r="169">
          <cell r="A169" t="str">
            <v xml:space="preserve"> 16.13 </v>
          </cell>
          <cell r="D169" t="str">
            <v>(COMPOSIÇÃO REPRESENTATIVA) DO SERVIÇO DE INSTALAÇÃO DE TUBOS DE PVC, SOLDÁVEL, ÁGUA FRIA, DN 25 MM (INSTALADO EM RAMAL, SUB-RAMAL, RAMAL DE DISTRIBUIÇÃO OU PRUMADA), INCLUSIVE CONEXÕES, CORTES E FIXAÇÕES, PARA PRÉDIOS. AF_10/2015</v>
          </cell>
          <cell r="E169" t="str">
            <v>M</v>
          </cell>
          <cell r="F169">
            <v>223.7</v>
          </cell>
          <cell r="H169">
            <v>43.1</v>
          </cell>
        </row>
        <row r="170">
          <cell r="A170" t="str">
            <v xml:space="preserve"> 16.14 </v>
          </cell>
          <cell r="D170" t="str">
            <v>(COMPOSIÇÃO REPRESENTATIVA) DO SERVIÇO DE INSTALAÇÃO TUBOS DE PVC, SOLDÁVEL, ÁGUA FRIA, DN 32 MM (INSTALADO EM RAMAL, SUB-RAMAL, RAMAL DE DISTRIBUIÇÃO OU PRUMADA), INCLUSIVE CONEXÕES, CORTES E FIXAÇÕES, PARA PRÉDIOS. AF_10/2015</v>
          </cell>
          <cell r="E170" t="str">
            <v>M</v>
          </cell>
          <cell r="F170">
            <v>95.31</v>
          </cell>
          <cell r="H170">
            <v>35.06</v>
          </cell>
        </row>
        <row r="171">
          <cell r="A171" t="str">
            <v xml:space="preserve"> 16.15 </v>
          </cell>
          <cell r="D171" t="str">
            <v>(COMPOSIÇÃO REPRESENTATIVA) DO SERVIÇO DE INSTALAÇÃO DE TUBOS DE PVC, SOLDÁVEL, ÁGUA FRIA, DN 40 MM (INSTALADO EM PRUMADA), INCLUSIVE CONEXÕES, CORTES E FIXAÇÕES, PARA PRÉDIOS. AF_10/2015</v>
          </cell>
          <cell r="E171" t="str">
            <v>M</v>
          </cell>
          <cell r="F171">
            <v>75.8</v>
          </cell>
          <cell r="H171">
            <v>42.34</v>
          </cell>
        </row>
        <row r="172">
          <cell r="A172" t="str">
            <v xml:space="preserve"> 16.16 </v>
          </cell>
          <cell r="D172" t="str">
            <v>(COMPOSIÇÃO REPRESENTATIVA) DO SERVIÇO DE INSTALAÇÃO DE TUBOS DE PVC, SOLDÁVEL, ÁGUA FRIA, DN 50 MM (INSTALADO EM PRUMADA), INCLUSIVE CONEXÕES, CORTES E FIXAÇÕES, PARA PRÉDIOS. AF_10/2015</v>
          </cell>
          <cell r="E172" t="str">
            <v>M</v>
          </cell>
          <cell r="F172">
            <v>219.33</v>
          </cell>
          <cell r="H172">
            <v>52.68</v>
          </cell>
        </row>
        <row r="173">
          <cell r="A173" t="str">
            <v xml:space="preserve"> 16.17 </v>
          </cell>
          <cell r="D173" t="str">
            <v>(COMPOSIÇÃO REPRESENTATIVA) DO SERVIÇO DE INSTALAÇÃO DE TUBOS DE PVC, SÉRIE R, ÁGUA PLUVIAL, DN 75 MM (INSTALADO EM RAMAL DE ENCAMINHAMENTO, OU CONDUTORES VERTICAIS), INCLUSIVE CONEXÕES, CORTE E FIXAÇÕES, PARA PRÉDIOS. AF_10/2015</v>
          </cell>
          <cell r="E173" t="str">
            <v>M</v>
          </cell>
          <cell r="F173">
            <v>107.24</v>
          </cell>
          <cell r="H173">
            <v>57.45</v>
          </cell>
        </row>
        <row r="174">
          <cell r="A174" t="str">
            <v xml:space="preserve"> 16.18 </v>
          </cell>
          <cell r="D174" t="str">
            <v>CAIXA D´ÁGUA EM POLIÉSTER REFORÇADO COM FIBRA DE VIDRO, 10000 LITROS - FORNECIMENTO E INSTALAÇÃO. AF_06/2021</v>
          </cell>
          <cell r="E174" t="str">
            <v>UN</v>
          </cell>
          <cell r="F174">
            <v>5</v>
          </cell>
          <cell r="H174">
            <v>7491.47</v>
          </cell>
        </row>
        <row r="175">
          <cell r="A175" t="str">
            <v xml:space="preserve"> 17 </v>
          </cell>
          <cell r="D175" t="str">
            <v>INSTALAÇÕES SANITÁRIAS</v>
          </cell>
        </row>
        <row r="176">
          <cell r="A176" t="str">
            <v xml:space="preserve"> 17.1 </v>
          </cell>
          <cell r="D176" t="str">
            <v>(COMPOSIÇÃO REPRESENTATIVA) DO SERVIÇO DE INST. TUBO PVC, SÉRIE N, ESGOTO PREDIAL, 100 MM (INST. RAMAL DESCARGA, RAMAL DE ESG. SANIT., PRUMADA ESG. SANIT., VENTILAÇÃO OU SUB-COLETOR AÉREO), INCL. CONEXÕES E CORTES, FIXAÇÕES, P/ PRÉDIOS. AF_10/2015</v>
          </cell>
          <cell r="E176" t="str">
            <v>M</v>
          </cell>
          <cell r="F176">
            <v>191</v>
          </cell>
          <cell r="H176">
            <v>73.61</v>
          </cell>
        </row>
        <row r="177">
          <cell r="A177" t="str">
            <v xml:space="preserve"> 17.2 </v>
          </cell>
          <cell r="D177" t="str">
            <v>(COMPOSIÇÃO REPRESENTATIVA) DO SERVIÇO DE INST. TUBO PVC, SÉRIE N, ESGOTO PREDIAL, DN 75 MM, (INST. EM RAMAL DE DESCARGA, RAMAL DE ESG. SANITÁRIO, PRUMADA DE ESG. SANITÁRIO OU VENTILAÇÃO), INCL. CONEXÕES, CORTES E FIXAÇÕES, P/ PRÉDIOS. AF_10/2015</v>
          </cell>
          <cell r="E177" t="str">
            <v>M</v>
          </cell>
          <cell r="F177">
            <v>77</v>
          </cell>
          <cell r="H177">
            <v>46.1</v>
          </cell>
        </row>
        <row r="178">
          <cell r="A178" t="str">
            <v xml:space="preserve"> 17.3 </v>
          </cell>
          <cell r="D178" t="str">
            <v>(COMPOSIÇÃO REPRESENTATIVA) DO SERVIÇO DE INSTALAÇÃO DE TUBO DE PVC, SÉRIE NORMAL, ESGOTO PREDIAL, DN 50 MM (INSTALADO EM RAMAL DE DESCARGA OU RAMAL DE ESGOTO SANITÁRIO), INCLUSIVE CONEXÕES, CORTES E FIXAÇÕES PARA, PRÉDIOS. AF_10/2015</v>
          </cell>
          <cell r="E178" t="str">
            <v>M</v>
          </cell>
          <cell r="F178">
            <v>96</v>
          </cell>
          <cell r="H178">
            <v>92.81</v>
          </cell>
        </row>
        <row r="179">
          <cell r="A179" t="str">
            <v xml:space="preserve"> 17.4 </v>
          </cell>
          <cell r="D179" t="str">
            <v>(COMPOSIÇÃO REPRESENTATIVA) DO SERVIÇO DE INSTALAÇÃO DE TUBO DE PVC, SÉRIE NORMAL, ESGOTO PREDIAL, DN 40 MM (INSTALADO EM RAMAL DE DESCARGA OU RAMAL DE ESGOTO SANITÁRIO), INCLUSIVE CONEXÕES, CORTES E FIXAÇÕES, PARA PRÉDIOS. AF_10/2015</v>
          </cell>
          <cell r="E179" t="str">
            <v>M</v>
          </cell>
          <cell r="F179">
            <v>25</v>
          </cell>
          <cell r="H179">
            <v>58.84</v>
          </cell>
        </row>
        <row r="180">
          <cell r="A180" t="str">
            <v xml:space="preserve"> 17.5 </v>
          </cell>
          <cell r="D180" t="str">
            <v>CAIXA ENTERRADA HIDRÁULICA RETANGULAR, EM ALVENARIA COM BLOCOS DE CONCRETO, DIMENSÕES INTERNAS: 0,6X0,6X0,6 M PARA REDE DE ESGOTO. AF_12/2020</v>
          </cell>
          <cell r="E180" t="str">
            <v>UN</v>
          </cell>
          <cell r="F180">
            <v>30</v>
          </cell>
          <cell r="H180">
            <v>424.97</v>
          </cell>
        </row>
        <row r="181">
          <cell r="A181" t="str">
            <v xml:space="preserve"> 17.6 </v>
          </cell>
          <cell r="D181" t="str">
            <v>PROLONGAMENTO / PROLONGADOR PARA CAIXA SIFONADA, PVC, 150 MM X 150 MM (NBR 5688)</v>
          </cell>
          <cell r="E181" t="str">
            <v>UN</v>
          </cell>
          <cell r="F181">
            <v>20</v>
          </cell>
          <cell r="H181">
            <v>13.66</v>
          </cell>
        </row>
        <row r="182">
          <cell r="A182" t="str">
            <v xml:space="preserve"> 17.7 </v>
          </cell>
          <cell r="D182" t="str">
            <v>CAIXA DE GORDURA PEQUENA (CAPACIDADE: 19 L), CIRCULAR, EM PVC, DIÂMETRO INTERNO= 0,3 M. AF_12/2020</v>
          </cell>
          <cell r="E182" t="str">
            <v>UN</v>
          </cell>
          <cell r="F182">
            <v>20</v>
          </cell>
          <cell r="H182">
            <v>401.33</v>
          </cell>
        </row>
        <row r="183">
          <cell r="A183" t="str">
            <v xml:space="preserve"> 17.8 </v>
          </cell>
          <cell r="D183" t="str">
            <v>GRELHA FIXA, EM PVC BRANCA, QUADRADA, 150 X 150 MM, PARA RALOS E CAIXAS</v>
          </cell>
          <cell r="E183" t="str">
            <v>UN</v>
          </cell>
          <cell r="F183">
            <v>17</v>
          </cell>
          <cell r="H183">
            <v>10.46</v>
          </cell>
        </row>
        <row r="184">
          <cell r="A184" t="str">
            <v xml:space="preserve"> 17.9 </v>
          </cell>
          <cell r="D184" t="str">
            <v>TUBO DE PVC CORRUGADO DE DUPLA PAREDE PARA REDE COLETORA DE ESGOTO, DN 200 MM, JUNTA ELÁSTICA - FORNECIMENTO E ASSENTAMENTO. AF_01/2021</v>
          </cell>
          <cell r="E184" t="str">
            <v>M</v>
          </cell>
          <cell r="F184">
            <v>103</v>
          </cell>
          <cell r="H184">
            <v>141.57</v>
          </cell>
        </row>
        <row r="185">
          <cell r="A185" t="str">
            <v xml:space="preserve"> 18 </v>
          </cell>
          <cell r="D185" t="str">
            <v>INSTALAÇÕES PLUVIAIS</v>
          </cell>
        </row>
        <row r="186">
          <cell r="A186" t="str">
            <v xml:space="preserve"> 18.1 </v>
          </cell>
          <cell r="D186" t="str">
            <v>(COMPOSIÇÃO REPRESENTATIVA) DO SERVIÇO DE INST. TUBO PVC, SÉRIE N, ESGOTO PREDIAL, 100 MM (INST. RAMAL DESCARGA, RAMAL DE ESG. SANIT., PRUMADA ESG. SANIT., VENTILAÇÃO OU SUB-COLETOR AÉREO), INCL. CONEXÕES E CORTES, FIXAÇÕES, P/ PRÉDIOS. AF_10/2015</v>
          </cell>
          <cell r="E186" t="str">
            <v>M</v>
          </cell>
          <cell r="F186">
            <v>575</v>
          </cell>
          <cell r="H186">
            <v>73.61</v>
          </cell>
        </row>
        <row r="187">
          <cell r="A187" t="str">
            <v xml:space="preserve"> 18.2 </v>
          </cell>
          <cell r="D187" t="str">
            <v>CAIXA SIFONADA, PVC, DN 100 X 100 X 50 MM, FORNECIDA E INSTALADA EM RAMAIS DE ENCAMINHAMENTO DE ÁGUA PLUVIAL. AF_06/2022</v>
          </cell>
          <cell r="E187" t="str">
            <v>UN</v>
          </cell>
          <cell r="F187">
            <v>17</v>
          </cell>
          <cell r="H187">
            <v>41.61</v>
          </cell>
        </row>
        <row r="188">
          <cell r="A188" t="str">
            <v xml:space="preserve"> 18.3 </v>
          </cell>
          <cell r="D188" t="str">
            <v>CAIXA ENTERRADA HIDRÁULICA RETANGULAR, EM ALVENARIA COM BLOCOS DE CONCRETO, DIMENSÕES INTERNAS: 0,6X0,6X0,6 M PARA REDE DE ESGOTO. AF_12/2020</v>
          </cell>
          <cell r="E188" t="str">
            <v>UN</v>
          </cell>
          <cell r="F188">
            <v>14</v>
          </cell>
          <cell r="H188">
            <v>424.97</v>
          </cell>
        </row>
        <row r="189">
          <cell r="A189" t="str">
            <v xml:space="preserve"> 18.4 </v>
          </cell>
          <cell r="D189" t="str">
            <v>CAIXA DE GORDURA DUPLA (CAPACIDADE: 126 L), RETANGULAR, EM ALVENARIA COM BLOCOS DE CONCRETO, DIMENSÕES INTERNAS = 0,4X0,7 M, ALTURA INTERNA = 0,8 M. AF_12/2020</v>
          </cell>
          <cell r="E189" t="str">
            <v>UN</v>
          </cell>
          <cell r="F189">
            <v>30</v>
          </cell>
          <cell r="H189">
            <v>460.68</v>
          </cell>
        </row>
        <row r="190">
          <cell r="A190" t="str">
            <v xml:space="preserve"> 18.5 </v>
          </cell>
          <cell r="D190" t="str">
            <v>RALO FOFO SEMIESFERICO, 100 MM, PARA LAJES/ CALHAS</v>
          </cell>
          <cell r="E190" t="str">
            <v>UN</v>
          </cell>
          <cell r="F190">
            <v>35</v>
          </cell>
          <cell r="H190">
            <v>28.72</v>
          </cell>
        </row>
        <row r="191">
          <cell r="A191" t="str">
            <v xml:space="preserve"> 19 </v>
          </cell>
          <cell r="D191" t="str">
            <v>INSTALAÇÕES ELÉTRICAS</v>
          </cell>
        </row>
        <row r="192">
          <cell r="A192" t="str">
            <v xml:space="preserve"> 19.1 </v>
          </cell>
          <cell r="D192" t="str">
            <v>CABO DE COBRE FLEXÍVEL ISOLADO, 1,5 MM², ANTI-CHAMA 450/750 V, PARA CIRCUITOS TERMINAIS - FORNECIMENTO E INSTALAÇÃO. AF_12/2015</v>
          </cell>
          <cell r="E192" t="str">
            <v>M</v>
          </cell>
          <cell r="F192">
            <v>3386.01</v>
          </cell>
          <cell r="H192">
            <v>3.04</v>
          </cell>
        </row>
        <row r="193">
          <cell r="A193" t="str">
            <v xml:space="preserve"> 19.2 </v>
          </cell>
          <cell r="D193" t="str">
            <v>CABO DE COBRE FLEXÍVEL ISOLADO, 2,5 MM², ANTI-CHAMA 450/750 V, PARA CIRCUITOS TERMINAIS - FORNECIMENTO E INSTALAÇÃO. AF_12/2015</v>
          </cell>
          <cell r="E193" t="str">
            <v>M</v>
          </cell>
          <cell r="F193">
            <v>7458.78</v>
          </cell>
          <cell r="H193">
            <v>4.49</v>
          </cell>
        </row>
        <row r="194">
          <cell r="A194" t="str">
            <v xml:space="preserve"> 19.3 </v>
          </cell>
          <cell r="D194" t="str">
            <v>CABO DE COBRE FLEXÍVEL ISOLADO, 4 MM², ANTI-CHAMA 450/750 V, PARA CIRCUITOS TERMINAIS - FORNECIMENTO E INSTALAÇÃO. AF_12/2015</v>
          </cell>
          <cell r="E194" t="str">
            <v>M</v>
          </cell>
          <cell r="F194">
            <v>4181.41</v>
          </cell>
          <cell r="H194">
            <v>7.01</v>
          </cell>
        </row>
        <row r="195">
          <cell r="A195" t="str">
            <v xml:space="preserve"> 19.4 </v>
          </cell>
          <cell r="D195" t="str">
            <v>CABO DE COBRE FLEXÍVEL ISOLADO, 6 MM², ANTI-CHAMA 450/750 V, PARA CIRCUITOS TERMINAIS - FORNECIMENTO E INSTALAÇÃO. AF_12/2015</v>
          </cell>
          <cell r="E195" t="str">
            <v>M</v>
          </cell>
          <cell r="F195">
            <v>1006.03</v>
          </cell>
          <cell r="H195">
            <v>9.81</v>
          </cell>
        </row>
        <row r="196">
          <cell r="A196" t="str">
            <v xml:space="preserve"> 19.5 </v>
          </cell>
          <cell r="D196" t="str">
            <v>CABO DE COBRE FLEXÍVEL ISOLADO, 16 MM², ANTI-CHAMA 0,6/1,0 KV, PARA DISTRIBUIÇÃO - FORNECIMENTO E INSTALAÇÃO. AF_12/2015</v>
          </cell>
          <cell r="E196" t="str">
            <v>M</v>
          </cell>
          <cell r="F196">
            <v>1179.54</v>
          </cell>
          <cell r="H196">
            <v>19.5</v>
          </cell>
        </row>
        <row r="197">
          <cell r="A197" t="str">
            <v xml:space="preserve"> 19.6 </v>
          </cell>
          <cell r="D197" t="str">
            <v>CURVA 135 GRAUS, PARA ELETRODUTO, EM ACO GALVANIZADO ELETROLITICO, DIAMETRO DE 15 MM (1/2")</v>
          </cell>
          <cell r="E197" t="str">
            <v>UN</v>
          </cell>
          <cell r="F197">
            <v>48</v>
          </cell>
          <cell r="H197">
            <v>7.21</v>
          </cell>
        </row>
        <row r="198">
          <cell r="A198" t="str">
            <v xml:space="preserve"> 19.7 </v>
          </cell>
          <cell r="D198" t="str">
            <v>CURVA 135 GRAUS, DE PVC RIGIDO ROSCAVEL, DE 3/4", PARA ELETRODUTO</v>
          </cell>
          <cell r="E198" t="str">
            <v>UN</v>
          </cell>
          <cell r="F198">
            <v>99</v>
          </cell>
          <cell r="H198">
            <v>1.87</v>
          </cell>
        </row>
        <row r="199">
          <cell r="A199" t="str">
            <v xml:space="preserve"> 19.8 </v>
          </cell>
          <cell r="D199" t="str">
            <v>CURVA 90 GRAUS, CURTA, DE PVC RIGIDO ROSCAVEL, DE 1/2", PARA ELETRODUTO</v>
          </cell>
          <cell r="E199" t="str">
            <v>UN</v>
          </cell>
          <cell r="F199">
            <v>92</v>
          </cell>
          <cell r="H199">
            <v>1.55</v>
          </cell>
        </row>
        <row r="200">
          <cell r="A200" t="str">
            <v xml:space="preserve"> 19.9 </v>
          </cell>
          <cell r="D200" t="str">
            <v>CURVA 90 GRAUS, CURTA, DE PVC RIGIDO ROSCAVEL, DE 3/4", PARA ELETRODUTO</v>
          </cell>
          <cell r="E200" t="str">
            <v>UN</v>
          </cell>
          <cell r="F200">
            <v>237</v>
          </cell>
          <cell r="H200">
            <v>1.91</v>
          </cell>
        </row>
        <row r="201">
          <cell r="A201" t="str">
            <v xml:space="preserve"> 19.10 </v>
          </cell>
          <cell r="D201" t="str">
            <v>CURVA 90 GRAUS, CURTA, DE PVC RIGIDO ROSCAVEL, DE 1", PARA ELETRODUTO</v>
          </cell>
          <cell r="E201" t="str">
            <v>UN</v>
          </cell>
          <cell r="F201">
            <v>14</v>
          </cell>
          <cell r="H201">
            <v>2.64</v>
          </cell>
        </row>
        <row r="202">
          <cell r="A202" t="str">
            <v xml:space="preserve"> 19.11 </v>
          </cell>
          <cell r="D202" t="str">
            <v>CURVA 90 GRAUS, LONGA, DE PVC RIGIDO ROSCAVEL, DE 1 1/4", PARA ELETRODUTO</v>
          </cell>
          <cell r="E202" t="str">
            <v>UN</v>
          </cell>
          <cell r="F202">
            <v>19</v>
          </cell>
          <cell r="H202">
            <v>3.49</v>
          </cell>
        </row>
        <row r="203">
          <cell r="A203" t="str">
            <v xml:space="preserve"> 19.12 </v>
          </cell>
          <cell r="D203" t="str">
            <v>CURVA 90 GRAUS, LONGA, DE PVC RIGIDO ROSCAVEL, DE 1 1/2", PARA ELETRODUTO</v>
          </cell>
          <cell r="E203" t="str">
            <v>UN</v>
          </cell>
          <cell r="F203">
            <v>27</v>
          </cell>
          <cell r="H203">
            <v>4.21</v>
          </cell>
        </row>
        <row r="204">
          <cell r="A204" t="str">
            <v xml:space="preserve"> 19.13 </v>
          </cell>
          <cell r="D204" t="str">
            <v>INTERRUPTOR PARALELO (1 MÓDULO), 10A/250V, INCLUINDO SUPORTE E PLACA - FORNECIMENTO E INSTALAÇÃO. AF_12/2015</v>
          </cell>
          <cell r="E204" t="str">
            <v>UN</v>
          </cell>
          <cell r="F204">
            <v>2</v>
          </cell>
          <cell r="H204">
            <v>28.72</v>
          </cell>
        </row>
        <row r="205">
          <cell r="A205" t="str">
            <v xml:space="preserve"> 19.14 </v>
          </cell>
          <cell r="D205" t="str">
            <v>INTERRUPTOR SIMPLES (1 MÓDULO), 10A/250V, INCLUINDO SUPORTE E PLACA - FORNECIMENTO E INSTALAÇÃO. AF_12/2015</v>
          </cell>
          <cell r="E205" t="str">
            <v>UN</v>
          </cell>
          <cell r="F205">
            <v>33</v>
          </cell>
          <cell r="H205">
            <v>23.21</v>
          </cell>
        </row>
        <row r="206">
          <cell r="A206" t="str">
            <v xml:space="preserve"> 19.15 </v>
          </cell>
          <cell r="D206" t="str">
            <v>INTERRUPTOR SIMPLES (2 MÓDULOS), 10A/250V, INCLUINDO SUPORTE E PLACA - FORNECIMENTO E INSTALAÇÃO. AF_12/2015</v>
          </cell>
          <cell r="E206" t="str">
            <v>UN</v>
          </cell>
          <cell r="F206">
            <v>10</v>
          </cell>
          <cell r="H206">
            <v>36.72</v>
          </cell>
        </row>
        <row r="207">
          <cell r="A207" t="str">
            <v xml:space="preserve"> 19.16 </v>
          </cell>
          <cell r="D207" t="str">
            <v>INTERRUPTOR SIMPLES (1 MÓDULO) COM 1 TOMADA DE EMBUTIR 2P+T 10 A,  INCLUINDO SUPORTE E PLACA - FORNECIMENTO E INSTALAÇÃO. AF_12/2015</v>
          </cell>
          <cell r="E207" t="str">
            <v>UN</v>
          </cell>
          <cell r="F207">
            <v>11</v>
          </cell>
          <cell r="H207">
            <v>41.17</v>
          </cell>
        </row>
        <row r="208">
          <cell r="A208" t="str">
            <v xml:space="preserve"> 19.17 </v>
          </cell>
          <cell r="D208" t="str">
            <v>CAIXA RETANGULAR 4" X 2" MÉDIA (1,30 M DO PISO), PVC, INSTALADA EM PAREDE - FORNECIMENTO E INSTALAÇÃO. AF_12/2015</v>
          </cell>
          <cell r="E208" t="str">
            <v>UN</v>
          </cell>
          <cell r="F208">
            <v>66</v>
          </cell>
          <cell r="H208">
            <v>13.08</v>
          </cell>
        </row>
        <row r="209">
          <cell r="A209" t="str">
            <v xml:space="preserve"> 19.18 </v>
          </cell>
          <cell r="D209" t="str">
            <v>LUMINÁRIA TIPO SPOT, DE SOBREPOR, COM 1 LÂMPADA FLUORESCENTE DE 15 W, SEM REATOR - FORNECIMENTO E INSTALAÇÃO. AF_02/2020</v>
          </cell>
          <cell r="E209" t="str">
            <v>UN</v>
          </cell>
          <cell r="F209">
            <v>161</v>
          </cell>
          <cell r="H209">
            <v>167.43</v>
          </cell>
        </row>
        <row r="210">
          <cell r="A210" t="str">
            <v xml:space="preserve"> 19.19 </v>
          </cell>
          <cell r="D210" t="str">
            <v>LUMINÁRIA TIPO PLAFON CIRCULAR, DE SOBREPOR, COM LED DE 12/13 W - FORNECIMENTO E INSTALAÇÃO. AF_03/2022</v>
          </cell>
          <cell r="E210" t="str">
            <v>UN</v>
          </cell>
          <cell r="F210">
            <v>39</v>
          </cell>
          <cell r="H210">
            <v>36.130000000000003</v>
          </cell>
        </row>
        <row r="211">
          <cell r="A211" t="str">
            <v xml:space="preserve"> 19.20 </v>
          </cell>
          <cell r="D211" t="str">
            <v>QUADRO DE DISTRIBUIÇÃO DE ENERGIA EM PVC, DE EMBUTIR, SEM BARRAMENTO, PARA 6 DISJUNTORES - FORNECIMENTO E INSTALAÇÃO. AF_10/2020</v>
          </cell>
          <cell r="E211" t="str">
            <v>UN</v>
          </cell>
          <cell r="F211">
            <v>4</v>
          </cell>
          <cell r="H211">
            <v>86.77</v>
          </cell>
        </row>
        <row r="212">
          <cell r="A212" t="str">
            <v xml:space="preserve"> 19.21 </v>
          </cell>
          <cell r="D212" t="str">
            <v>QUADRO DE DISTRIBUIÇÃO DE ENERGIA EM CHAPA DE AÇO GALVANIZADO, DE EMBUTIR, COM BARRAMENTO TRIFÁSICO, PARA 12 DISJUNTORES DIN 100A - FORNECIMENTO E INSTALAÇÃO. AF_10/2020</v>
          </cell>
          <cell r="E212" t="str">
            <v>UN</v>
          </cell>
          <cell r="F212">
            <v>6</v>
          </cell>
          <cell r="H212">
            <v>418.05</v>
          </cell>
        </row>
        <row r="213">
          <cell r="A213" t="str">
            <v xml:space="preserve"> 19.22 </v>
          </cell>
          <cell r="D213" t="str">
            <v>QUADRO DE DISTRIBUIÇÃO DE ENERGIA EM CHAPA DE AÇO GALVANIZADO, DE EMBUTIR, COM BARRAMENTO TRIFÁSICO, PARA 18 DISJUNTORES DIN 100A - FORNECIMENTO E INSTALAÇÃO. AF_10/2020</v>
          </cell>
          <cell r="E213" t="str">
            <v>UN</v>
          </cell>
          <cell r="F213">
            <v>2</v>
          </cell>
          <cell r="H213">
            <v>577.74</v>
          </cell>
        </row>
        <row r="214">
          <cell r="A214" t="str">
            <v xml:space="preserve"> 19.23 </v>
          </cell>
          <cell r="D214" t="str">
            <v>QUADRO DE DISTRIBUIÇÃO DE ENERGIA EM CHAPA DE AÇO GALVANIZADO, DE EMBUTIR, COM BARRAMENTO TRIFÁSICO, PARA 40 DISJUNTORES DIN 100A - FORNECIMENTO E INSTALAÇÃO. AF_10/2020</v>
          </cell>
          <cell r="E214" t="str">
            <v>UN</v>
          </cell>
          <cell r="F214">
            <v>5</v>
          </cell>
          <cell r="H214">
            <v>1005.24</v>
          </cell>
        </row>
        <row r="215">
          <cell r="A215" t="str">
            <v xml:space="preserve"> 19.24 </v>
          </cell>
          <cell r="D215" t="str">
            <v>SENSOR DE PRESENÇA COM FOTOCÉLULA, FIXAÇÃO EM PAREDE - FORNECIMENTO E INSTALAÇÃO. AF_02/2020</v>
          </cell>
          <cell r="E215" t="str">
            <v>UN</v>
          </cell>
          <cell r="F215">
            <v>8</v>
          </cell>
          <cell r="H215">
            <v>116.71</v>
          </cell>
        </row>
        <row r="216">
          <cell r="A216" t="str">
            <v xml:space="preserve"> 19.25 </v>
          </cell>
          <cell r="D216" t="str">
            <v>TOMADA MÉDIA DE EMBUTIR (2 MÓDULOS), 2P+T 10 A, INCLUINDO SUPORTE E PLACA - FORNECIMENTO E INSTALAÇÃO. AF_12/2015</v>
          </cell>
          <cell r="E216" t="str">
            <v>UN</v>
          </cell>
          <cell r="F216">
            <v>35</v>
          </cell>
          <cell r="H216">
            <v>45.66</v>
          </cell>
        </row>
        <row r="217">
          <cell r="A217" t="str">
            <v xml:space="preserve"> 19.26 </v>
          </cell>
          <cell r="D217" t="str">
            <v>TOMADA MÉDIA DE EMBUTIR (1 MÓDULO), 2P+T 20 A, INCLUINDO SUPORTE E PLACA - FORNECIMENTO E INSTALAÇÃO. AF_12/2015</v>
          </cell>
          <cell r="E217" t="str">
            <v>UN</v>
          </cell>
          <cell r="F217">
            <v>26</v>
          </cell>
          <cell r="H217">
            <v>29.7</v>
          </cell>
        </row>
        <row r="218">
          <cell r="A218" t="str">
            <v xml:space="preserve"> 19.27 </v>
          </cell>
          <cell r="D218" t="str">
            <v>TOMADA MÉDIA DE EMBUTIR (2 MÓDULOS), 2P+T 10 A, INCLUINDO SUPORTE E PLACA - FORNECIMENTO E INSTALAÇÃO. AF_12/2015</v>
          </cell>
          <cell r="E218" t="str">
            <v>UN</v>
          </cell>
          <cell r="F218">
            <v>142</v>
          </cell>
          <cell r="H218">
            <v>45.66</v>
          </cell>
        </row>
        <row r="219">
          <cell r="A219" t="str">
            <v xml:space="preserve"> 19.28 </v>
          </cell>
          <cell r="D219" t="str">
            <v>TOMADA MÉDIA DE EMBUTIR (3 MÓDULOS), 2P+T 10 A, INCLUINDO SUPORTE E PLACA - FORNECIMENTO E INSTALAÇÃO. AF_12/2015</v>
          </cell>
          <cell r="E219" t="str">
            <v>UN</v>
          </cell>
          <cell r="F219">
            <v>15</v>
          </cell>
          <cell r="H219">
            <v>63.64</v>
          </cell>
        </row>
        <row r="220">
          <cell r="A220" t="str">
            <v xml:space="preserve"> 19.29 </v>
          </cell>
          <cell r="D220" t="str">
            <v>TOMADA DE REDE RJ45 - FORNECIMENTO E INSTALAÇÃO. AF_11/2019</v>
          </cell>
          <cell r="E220" t="str">
            <v>UN</v>
          </cell>
          <cell r="F220">
            <v>2</v>
          </cell>
          <cell r="H220">
            <v>42.01</v>
          </cell>
        </row>
        <row r="221">
          <cell r="A221" t="str">
            <v xml:space="preserve"> 19.30 </v>
          </cell>
          <cell r="D221" t="str">
            <v>ELETRODUTO RÍGIDO ROSCÁVEL, PVC, DN 20 MM (1/2"), PARA CIRCUITOS TERMINAIS, INSTALADO EM FORRO - FORNECIMENTO E INSTALAÇÃO. AF_12/2015</v>
          </cell>
          <cell r="E221" t="str">
            <v>M</v>
          </cell>
          <cell r="F221">
            <v>603.05999999999995</v>
          </cell>
          <cell r="H221">
            <v>10.79</v>
          </cell>
        </row>
        <row r="222">
          <cell r="A222" t="str">
            <v xml:space="preserve"> 19.31 </v>
          </cell>
          <cell r="D222" t="str">
            <v>ELETRODUTO RÍGIDO ROSCÁVEL, PVC, DN 25 MM (3/4"), PARA CIRCUITOS TERMINAIS, INSTALADO EM FORRO - FORNECIMENTO E INSTALAÇÃO. AF_12/2015</v>
          </cell>
          <cell r="E222" t="str">
            <v>M</v>
          </cell>
          <cell r="F222">
            <v>1121.4000000000001</v>
          </cell>
          <cell r="H222">
            <v>12.7</v>
          </cell>
        </row>
        <row r="223">
          <cell r="A223" t="str">
            <v xml:space="preserve"> 19.32 </v>
          </cell>
          <cell r="D223" t="str">
            <v>ELETRODUTO RÍGIDO ROSCÁVEL, PVC, DN 32 MM (1"), PARA CIRCUITOS TERMINAIS, INSTALADO EM PAREDE - FORNECIMENTO E INSTALAÇÃO. AF_12/2015</v>
          </cell>
          <cell r="E223" t="str">
            <v>M</v>
          </cell>
          <cell r="F223">
            <v>115.68</v>
          </cell>
          <cell r="H223">
            <v>17.71</v>
          </cell>
        </row>
        <row r="224">
          <cell r="A224" t="str">
            <v xml:space="preserve"> 19.33 </v>
          </cell>
          <cell r="D224" t="str">
            <v>ELETRODUTO RÍGIDO ROSCÁVEL, PVC, DN 40 MM (1 1/4"), PARA CIRCUITOS TERMINAIS, INSTALADO EM LAJE - FORNECIMENTO E INSTALAÇÃO. AF_12/2015</v>
          </cell>
          <cell r="E224" t="str">
            <v>M</v>
          </cell>
          <cell r="F224">
            <v>93.39</v>
          </cell>
          <cell r="H224">
            <v>19.13</v>
          </cell>
        </row>
        <row r="225">
          <cell r="A225" t="str">
            <v xml:space="preserve"> 19.34 </v>
          </cell>
          <cell r="D225" t="str">
            <v>ELETRODUTO RÍGIDO ROSCÁVEL, PVC, DN 50 MM (1 1/2"), PARA REDE ENTERRADA DE DISTRIBUIÇÃO DE ENERGIA ELÉTRICA - FORNECIMENTO E INSTALAÇÃO. AF_12/2021</v>
          </cell>
          <cell r="E225" t="str">
            <v>M</v>
          </cell>
          <cell r="F225">
            <v>247.11</v>
          </cell>
          <cell r="H225">
            <v>19.579999999999998</v>
          </cell>
        </row>
        <row r="226">
          <cell r="A226" t="str">
            <v xml:space="preserve"> 19.35 </v>
          </cell>
          <cell r="D226" t="str">
            <v>Fornecimento e instalação de eletrocalha perfurada 100 x   50 x 3000 mm (ref. mopa ou similar)</v>
          </cell>
          <cell r="E226" t="str">
            <v>m</v>
          </cell>
          <cell r="F226">
            <v>40</v>
          </cell>
          <cell r="H226">
            <v>41.86</v>
          </cell>
        </row>
        <row r="227">
          <cell r="A227" t="str">
            <v xml:space="preserve"> 19.36 </v>
          </cell>
          <cell r="D227" t="str">
            <v>Fornecimento e instalação de eletrocalha metálica  75 x  75 x 3000 mm (ref. vl 3.01 ge 75/50 valemam ou similar)</v>
          </cell>
          <cell r="E227" t="str">
            <v>un</v>
          </cell>
          <cell r="F227">
            <v>35</v>
          </cell>
          <cell r="H227">
            <v>32.5</v>
          </cell>
        </row>
        <row r="228">
          <cell r="A228" t="str">
            <v xml:space="preserve"> 19.37 </v>
          </cell>
          <cell r="D228" t="str">
            <v>DISJUNTOR MONOPOLAR TIPO DIN, CORRENTE NOMINAL DE 10A - FORNECIMENTO E INSTALAÇÃO. AF_10/2020</v>
          </cell>
          <cell r="E228" t="str">
            <v>UN</v>
          </cell>
          <cell r="F228">
            <v>35</v>
          </cell>
          <cell r="H228">
            <v>12.13</v>
          </cell>
        </row>
        <row r="229">
          <cell r="A229" t="str">
            <v xml:space="preserve"> 19.38 </v>
          </cell>
          <cell r="D229" t="str">
            <v>DISJUNTOR MONOPOLAR TIPO DIN, CORRENTE NOMINAL DE 16A - FORNECIMENTO E INSTALAÇÃO. AF_10/2020</v>
          </cell>
          <cell r="E229" t="str">
            <v>UN</v>
          </cell>
          <cell r="F229">
            <v>72</v>
          </cell>
          <cell r="H229">
            <v>12.67</v>
          </cell>
        </row>
        <row r="230">
          <cell r="A230" t="str">
            <v xml:space="preserve"> 19.39 </v>
          </cell>
          <cell r="D230" t="str">
            <v>DISJUNTOR MONOPOLAR TIPO DIN, CORRENTE NOMINAL DE 20A - FORNECIMENTO E INSTALAÇÃO. AF_10/2020</v>
          </cell>
          <cell r="E230" t="str">
            <v>UN</v>
          </cell>
          <cell r="F230">
            <v>59</v>
          </cell>
          <cell r="H230">
            <v>13.72</v>
          </cell>
        </row>
        <row r="231">
          <cell r="A231" t="str">
            <v xml:space="preserve"> 19.40 </v>
          </cell>
          <cell r="D231" t="str">
            <v>DISJUNTOR MONOPOLAR TIPO DIN, CORRENTE NOMINAL DE 32A - FORNECIMENTO E INSTALAÇÃO. AF_10/2020</v>
          </cell>
          <cell r="E231" t="str">
            <v>UN</v>
          </cell>
          <cell r="F231">
            <v>3</v>
          </cell>
          <cell r="H231">
            <v>15.05</v>
          </cell>
        </row>
        <row r="232">
          <cell r="A232" t="str">
            <v xml:space="preserve"> 19.41 </v>
          </cell>
          <cell r="D232" t="str">
            <v>DISJUNTOR TRIPOLAR TIPO DIN, CORRENTE NOMINAL DE 16A - FORNECIMENTO E INSTALAÇÃO. AF_10/2020</v>
          </cell>
          <cell r="E232" t="str">
            <v>UN</v>
          </cell>
          <cell r="F232">
            <v>2</v>
          </cell>
          <cell r="H232">
            <v>77.180000000000007</v>
          </cell>
        </row>
        <row r="233">
          <cell r="A233" t="str">
            <v xml:space="preserve"> 19.42 </v>
          </cell>
          <cell r="D233" t="str">
            <v>DISJUNTOR TRIPOLAR TIPO DIN, CORRENTE NOMINAL DE 20A - FORNECIMENTO E INSTALAÇÃO. AF_10/2020</v>
          </cell>
          <cell r="E233" t="str">
            <v>UN</v>
          </cell>
          <cell r="F233">
            <v>9</v>
          </cell>
          <cell r="H233">
            <v>80.37</v>
          </cell>
        </row>
        <row r="234">
          <cell r="A234" t="str">
            <v xml:space="preserve"> 19.43 </v>
          </cell>
          <cell r="D234" t="str">
            <v>DISJUNTOR TRIPOLAR TIPO DIN, CORRENTE NOMINAL DE 40A - FORNECIMENTO E INSTALAÇÃO. AF_10/2020</v>
          </cell>
          <cell r="E234" t="str">
            <v>UN</v>
          </cell>
          <cell r="F234">
            <v>9</v>
          </cell>
          <cell r="H234">
            <v>90.39</v>
          </cell>
        </row>
        <row r="235">
          <cell r="A235" t="str">
            <v xml:space="preserve"> 19.44 </v>
          </cell>
          <cell r="D235" t="str">
            <v>DISJUNTOR TRIPOLAR TIPO NEMA, CORRENTE NOMINAL DE 60 ATÉ 100A - FORNECIMENTO E INSTALAÇÃO. AF_10/2020</v>
          </cell>
          <cell r="E235" t="str">
            <v>UN</v>
          </cell>
          <cell r="F235">
            <v>11</v>
          </cell>
          <cell r="H235">
            <v>160.55000000000001</v>
          </cell>
        </row>
        <row r="236">
          <cell r="A236" t="str">
            <v xml:space="preserve"> 19.45 </v>
          </cell>
          <cell r="D236" t="str">
            <v>POSTE DE AÇO CONICO CONTÍNUO CURVO DUPLO, ENGASTADO, H=9M, INCLUSIVE LUMINÁRIAS, SEM LÂMPADAS - FORNECIMENTO E INSTALACAO. AF_11/2019</v>
          </cell>
          <cell r="E236" t="str">
            <v>UN</v>
          </cell>
          <cell r="F236">
            <v>13</v>
          </cell>
          <cell r="H236">
            <v>3449.23</v>
          </cell>
        </row>
        <row r="237">
          <cell r="A237" t="str">
            <v xml:space="preserve"> 19.46 </v>
          </cell>
          <cell r="D237" t="str">
            <v>LUMINÁRIA DE LED PARA ILUMINAÇÃO PÚBLICA, DE 98 W ATÉ 137 W - FORNECIMENTO E INSTALAÇÃO. AF_08/2020</v>
          </cell>
          <cell r="E237" t="str">
            <v>UN</v>
          </cell>
          <cell r="F237">
            <v>26</v>
          </cell>
          <cell r="H237">
            <v>636.86</v>
          </cell>
        </row>
        <row r="238">
          <cell r="A238" t="str">
            <v xml:space="preserve"> 19.47 </v>
          </cell>
          <cell r="D238" t="str">
            <v>GRUPO GERADOR DIESEL, COM CARENAGEM, POTENCIA STANDART ENTRE 140 E 150 KVA, VELOCIDADE DE 1800 RPM, FREQUENCIA DE 60 HZ</v>
          </cell>
          <cell r="E238" t="str">
            <v>UN</v>
          </cell>
          <cell r="F238">
            <v>1</v>
          </cell>
          <cell r="H238">
            <v>189016.09</v>
          </cell>
        </row>
        <row r="239">
          <cell r="A239" t="str">
            <v xml:space="preserve"> 19.48 </v>
          </cell>
          <cell r="D239" t="str">
            <v>CAIXA ENTERRADA ELÉTRICA RETANGULAR, EM CONCRETO PRÉ-MOLDADO, FUNDO COM BRITA, DIMENSÕES INTERNAS: 0,3X0,3X0,3 M. AF_12/2020</v>
          </cell>
          <cell r="E239" t="str">
            <v>UN</v>
          </cell>
          <cell r="F239">
            <v>13</v>
          </cell>
          <cell r="H239">
            <v>135.71</v>
          </cell>
        </row>
        <row r="240">
          <cell r="A240" t="str">
            <v xml:space="preserve"> 19.49 </v>
          </cell>
          <cell r="D240" t="str">
            <v>RELÉ FOTOELÉTRICO PARA COMANDO DE ILUMINAÇÃO EXTERNA 1000 W - FORNECIMENTO E INSTALAÇÃO. AF_08/2020</v>
          </cell>
          <cell r="E240" t="str">
            <v>UN</v>
          </cell>
          <cell r="F240">
            <v>13</v>
          </cell>
          <cell r="H240">
            <v>45.37</v>
          </cell>
        </row>
        <row r="241">
          <cell r="A241" t="str">
            <v xml:space="preserve"> 19.50 </v>
          </cell>
          <cell r="D241" t="str">
            <v>ENTRADA DE ENERGIA ELÉTRICA, AÉREA, TRIFÁSICA, COM CAIXA DE EMBUTIR, CABO DE 16 MM2 E DISJUNTOR DIN 50A (NÃO INCLUSO O POSTE DE CONCRETO). AF_07/2020</v>
          </cell>
          <cell r="E241" t="str">
            <v>UN</v>
          </cell>
          <cell r="F241">
            <v>1</v>
          </cell>
          <cell r="H241">
            <v>2152.9299999999998</v>
          </cell>
        </row>
        <row r="242">
          <cell r="A242" t="str">
            <v xml:space="preserve"> 19.51 </v>
          </cell>
          <cell r="D242" t="str">
            <v>HASTE DE ATERRAMENTO 5/8  PARA SPDA - FORNECIMENTO E INSTALAÇÃO. AF_12/2017</v>
          </cell>
          <cell r="E242" t="str">
            <v>UN</v>
          </cell>
          <cell r="F242">
            <v>3</v>
          </cell>
          <cell r="H242">
            <v>60.71</v>
          </cell>
        </row>
        <row r="243">
          <cell r="A243" t="str">
            <v xml:space="preserve"> 20 </v>
          </cell>
          <cell r="D243" t="str">
            <v>INSTALAÇÕES DE SPDA</v>
          </cell>
        </row>
        <row r="244">
          <cell r="A244" t="str">
            <v xml:space="preserve"> 20.1 </v>
          </cell>
          <cell r="D244" t="str">
            <v>CAIXA ENTERRADA ELÉTRICA RETANGULAR, EM CONCRETO PRÉ-MOLDADO, FUNDO COM BRITA, DIMENSÕES INTERNAS: 0,3X0,3X0,3 M. AF_12/2020</v>
          </cell>
          <cell r="E244" t="str">
            <v>UN</v>
          </cell>
          <cell r="F244">
            <v>3</v>
          </cell>
          <cell r="H244">
            <v>135.71</v>
          </cell>
        </row>
        <row r="245">
          <cell r="A245" t="str">
            <v xml:space="preserve"> 20.2 </v>
          </cell>
          <cell r="D245" t="str">
            <v>HASTE DE ATERRAMENTO EM ACO COM 3,00 M DE COMPRIMENTO E DN = 5/8", REVESTIDA COM BAIXA CAMADA DE COBRE, COM CONECTOR TIPO GRAMPO</v>
          </cell>
          <cell r="E245" t="str">
            <v>UN</v>
          </cell>
          <cell r="F245">
            <v>14</v>
          </cell>
          <cell r="H245">
            <v>51.49</v>
          </cell>
        </row>
        <row r="246">
          <cell r="A246" t="str">
            <v xml:space="preserve"> 20.3 </v>
          </cell>
          <cell r="D246" t="str">
            <v>CAIXA DE INSPEÇÃO PARA ATERRAMENTO, CIRCULAR, EM POLIETILENO, DIÂMETRO INTERNO = 0,3 M. AF_12/2020</v>
          </cell>
          <cell r="E246" t="str">
            <v>UN</v>
          </cell>
          <cell r="F246">
            <v>14</v>
          </cell>
          <cell r="H246">
            <v>53.39</v>
          </cell>
        </row>
        <row r="247">
          <cell r="A247" t="str">
            <v xml:space="preserve"> 20.4 </v>
          </cell>
          <cell r="D247" t="str">
            <v>ABRACADEIRA EM ACO PARA AMARRACAO DE ELETRODUTOS, TIPO D, COM 1" E PARAFUSO DE FIXACAO</v>
          </cell>
          <cell r="E247" t="str">
            <v>UN</v>
          </cell>
          <cell r="F247">
            <v>14</v>
          </cell>
          <cell r="H247">
            <v>2.66</v>
          </cell>
        </row>
        <row r="248">
          <cell r="A248" t="str">
            <v xml:space="preserve"> 20.5 </v>
          </cell>
          <cell r="D248" t="str">
            <v>Caixa de equipotencialização em aço 200x200x90mm, para embutir com tampa, com 9 terminais, ref:TEL-901 ou similar (SPDA)</v>
          </cell>
          <cell r="E248" t="str">
            <v>un</v>
          </cell>
          <cell r="F248">
            <v>1</v>
          </cell>
          <cell r="H248">
            <v>588.87</v>
          </cell>
        </row>
        <row r="249">
          <cell r="A249" t="str">
            <v xml:space="preserve"> 20.6 </v>
          </cell>
          <cell r="D249" t="str">
            <v>CONDULETE DE PVC, TIPO B, PARA ELETRODUTO DE PVC SOLDÁVEL DN 32 MM (1''), APARENTE - FORNECIMENTO E INSTALAÇÃO. AF_11/2016</v>
          </cell>
          <cell r="E249" t="str">
            <v>UN</v>
          </cell>
          <cell r="F249">
            <v>14</v>
          </cell>
          <cell r="H249">
            <v>21.04</v>
          </cell>
        </row>
        <row r="250">
          <cell r="A250" t="str">
            <v xml:space="preserve"> 20.7 </v>
          </cell>
          <cell r="D250" t="str">
            <v>Conector em latão tipo minigar para cabos 16 - 50 mm² (SPDA)</v>
          </cell>
          <cell r="E250" t="str">
            <v>un</v>
          </cell>
          <cell r="F250">
            <v>15</v>
          </cell>
          <cell r="H250">
            <v>29.51</v>
          </cell>
        </row>
        <row r="251">
          <cell r="A251" t="str">
            <v xml:space="preserve"> 20.8 </v>
          </cell>
          <cell r="D251" t="str">
            <v>CONECTOR METALICO TIPO PARAFUSO FENDIDO (SPLIT BOLT), COM SEPARADOR DE CABOS BIMETALICOS, PARA CABOS ATE 70 MM2</v>
          </cell>
          <cell r="E251" t="str">
            <v>UN</v>
          </cell>
          <cell r="F251">
            <v>96</v>
          </cell>
          <cell r="H251">
            <v>19.29</v>
          </cell>
        </row>
        <row r="252">
          <cell r="A252" t="str">
            <v xml:space="preserve"> 20.9 </v>
          </cell>
          <cell r="D252" t="str">
            <v>CONECTOR METALICO TIPO PARAFUSO FENDIDO (SPLIT BOLT), PARA CABOS ATE 50 MM2</v>
          </cell>
          <cell r="E252" t="str">
            <v>UN</v>
          </cell>
          <cell r="F252">
            <v>14</v>
          </cell>
          <cell r="H252">
            <v>12.5</v>
          </cell>
        </row>
        <row r="253">
          <cell r="A253" t="str">
            <v xml:space="preserve"> 20.10 </v>
          </cell>
          <cell r="D253" t="str">
            <v>Conector em latão tipo minigar para cabos 16 - 50 mm² (SPDA)</v>
          </cell>
          <cell r="E253" t="str">
            <v>un</v>
          </cell>
          <cell r="F253">
            <v>40</v>
          </cell>
          <cell r="H253">
            <v>29.51</v>
          </cell>
        </row>
        <row r="254">
          <cell r="A254" t="str">
            <v xml:space="preserve"> 20.11 </v>
          </cell>
          <cell r="D254" t="str">
            <v>MINICAPTOR, EM ACO GALVANIZADO A FOGO, FIXACAO HORIZONTAL DE 1 FUROS, SEM BANDEIRA, H=300 MM X DN=10 MM</v>
          </cell>
          <cell r="E254" t="str">
            <v>UN</v>
          </cell>
          <cell r="F254">
            <v>20</v>
          </cell>
          <cell r="H254">
            <v>5.04</v>
          </cell>
        </row>
        <row r="255">
          <cell r="A255" t="str">
            <v xml:space="preserve"> 20.12 </v>
          </cell>
          <cell r="D255" t="str">
            <v>PARA-RAIOS DE DISTRIBUICAO, TENSAO NOMINAL 15 KV, CORRENTE NOMINAL DE DESCARGA 5 KA</v>
          </cell>
          <cell r="E255" t="str">
            <v>UN</v>
          </cell>
          <cell r="F255">
            <v>1</v>
          </cell>
          <cell r="H255">
            <v>134.72</v>
          </cell>
        </row>
        <row r="256">
          <cell r="A256" t="str">
            <v xml:space="preserve"> 20.13 </v>
          </cell>
          <cell r="D256" t="str">
            <v>PARAFUSO, AUTO ATARRACHANTE, CABECA CHATA, FENDA SIMPLES, 1/4 (6,35 MM) X 25 MM</v>
          </cell>
          <cell r="E256" t="str">
            <v>CENTO</v>
          </cell>
          <cell r="F256">
            <v>55</v>
          </cell>
          <cell r="H256">
            <v>57.61</v>
          </cell>
        </row>
        <row r="257">
          <cell r="A257" t="str">
            <v xml:space="preserve"> 20.14 </v>
          </cell>
          <cell r="D257" t="str">
            <v>PARAFUSO ZINCADO ROSCA SOBERBA, CABECA SEXTAVADA, 5/16 " X 50 MM, PARA FIXACAO DE TELHA EM MADEIRA</v>
          </cell>
          <cell r="E257" t="str">
            <v>UN</v>
          </cell>
          <cell r="F257">
            <v>280</v>
          </cell>
          <cell r="H257">
            <v>1.17</v>
          </cell>
        </row>
        <row r="258">
          <cell r="A258" t="str">
            <v xml:space="preserve"> 20.15 </v>
          </cell>
          <cell r="D258" t="str">
            <v>Presilha de latão, L=20mm, para fixação de cabos de cobre, furo d=5mm, para cabos 16mm² a 25mm², ref:TEL-743 ou similar (SPDA)</v>
          </cell>
          <cell r="E258" t="str">
            <v>un</v>
          </cell>
          <cell r="F258">
            <v>480</v>
          </cell>
          <cell r="H258">
            <v>2.0099999999999998</v>
          </cell>
        </row>
        <row r="259">
          <cell r="A259" t="str">
            <v xml:space="preserve"> 20.16 </v>
          </cell>
          <cell r="D259" t="str">
            <v>Suporte guia reforçado 90º em chapa galvanizada c/ 2 roldanas ref:TEL-290 - SPDA</v>
          </cell>
          <cell r="E259" t="str">
            <v>un</v>
          </cell>
          <cell r="F259">
            <v>140</v>
          </cell>
          <cell r="H259">
            <v>49.86</v>
          </cell>
        </row>
        <row r="260">
          <cell r="A260" t="str">
            <v xml:space="preserve"> 20.17 </v>
          </cell>
          <cell r="D260" t="str">
            <v>Terminal aéreo em aço galvanizado 3/8" x 50cm, com fixação horizontal</v>
          </cell>
          <cell r="E260" t="str">
            <v>un</v>
          </cell>
          <cell r="F260">
            <v>6</v>
          </cell>
          <cell r="H260">
            <v>29.55</v>
          </cell>
        </row>
        <row r="261">
          <cell r="A261" t="str">
            <v xml:space="preserve"> 20.18 </v>
          </cell>
          <cell r="D261" t="str">
            <v>CORDOALHA DE COBRE NU 35 MM², NÃO ENTERRADA, COM ISOLADOR - FORNECIMENTO E INSTALAÇÃO. AF_12/2017</v>
          </cell>
          <cell r="E261" t="str">
            <v>M</v>
          </cell>
          <cell r="F261">
            <v>698.33</v>
          </cell>
          <cell r="H261">
            <v>67.05</v>
          </cell>
        </row>
        <row r="262">
          <cell r="A262" t="str">
            <v xml:space="preserve"> 20.19 </v>
          </cell>
          <cell r="D262" t="str">
            <v>CORDOALHA DE COBRE NU 50 MM², ENTERRADA, SEM ISOLADOR - FORNECIMENTO E INSTALAÇÃO. AF_12/2017</v>
          </cell>
          <cell r="E262" t="str">
            <v>M</v>
          </cell>
          <cell r="F262">
            <v>411.2</v>
          </cell>
          <cell r="H262">
            <v>70.489999999999995</v>
          </cell>
        </row>
        <row r="263">
          <cell r="A263" t="str">
            <v xml:space="preserve"> 20.20 </v>
          </cell>
          <cell r="D263" t="str">
            <v>ELETRODUTO RÍGIDO ROSCÁVEL, PVC, DN 32 MM (1"), PARA CIRCUITOS TERMINAIS, INSTALADO EM PAREDE - FORNECIMENTO E INSTALAÇÃO. AF_12/2015</v>
          </cell>
          <cell r="E263" t="str">
            <v>M</v>
          </cell>
          <cell r="F263">
            <v>48.11</v>
          </cell>
          <cell r="H263">
            <v>17.71</v>
          </cell>
        </row>
        <row r="264">
          <cell r="A264" t="str">
            <v xml:space="preserve"> 21 </v>
          </cell>
          <cell r="D264" t="str">
            <v>SISTEMA DE CABEAMENTO E COMUNICAÇÃO</v>
          </cell>
        </row>
        <row r="265">
          <cell r="A265" t="str">
            <v xml:space="preserve"> 21.1 </v>
          </cell>
          <cell r="D265" t="str">
            <v>PATCH PANEL 48 PORTAS, CATEGORIA 5E - FORNECIMENTO E INSTALAÇÃO. AF_11/2019</v>
          </cell>
          <cell r="E265" t="str">
            <v>UN</v>
          </cell>
          <cell r="F265">
            <v>2</v>
          </cell>
          <cell r="H265">
            <v>3023.44</v>
          </cell>
        </row>
        <row r="266">
          <cell r="A266" t="str">
            <v xml:space="preserve"> 21.2 </v>
          </cell>
          <cell r="D266" t="str">
            <v>CABO DE REDE, PAR TRANCADO U/UTP, 4 PARES, CATEGORIA 5E (CAT 5E), ISOLAMENTO PVC (LSZH)</v>
          </cell>
          <cell r="E266" t="str">
            <v>M</v>
          </cell>
          <cell r="F266">
            <v>558</v>
          </cell>
          <cell r="H266">
            <v>3.48</v>
          </cell>
        </row>
        <row r="267">
          <cell r="A267" t="str">
            <v xml:space="preserve"> 21.3 </v>
          </cell>
          <cell r="D267" t="str">
            <v>TOMADA PARA TELEFONE RJ11 - FORNECIMENTO E INSTALAÇÃO. AF_11/2019</v>
          </cell>
          <cell r="E267" t="str">
            <v>UN</v>
          </cell>
          <cell r="F267">
            <v>10</v>
          </cell>
          <cell r="H267">
            <v>27.68</v>
          </cell>
        </row>
        <row r="268">
          <cell r="A268" t="str">
            <v xml:space="preserve"> 21.4 </v>
          </cell>
          <cell r="D268" t="str">
            <v>TOMADA DE REDE RJ45 - FORNECIMENTO E INSTALAÇÃO. AF_11/2019</v>
          </cell>
          <cell r="E268" t="str">
            <v>UN</v>
          </cell>
          <cell r="F268">
            <v>39</v>
          </cell>
          <cell r="H268">
            <v>42.01</v>
          </cell>
        </row>
        <row r="269">
          <cell r="A269" t="str">
            <v xml:space="preserve"> 21.5 </v>
          </cell>
          <cell r="D269" t="str">
            <v>CABO TELEFÔNICO CCI-50 4 PARES, SEM BLINDAGEM, INSTALADO EM DISTRIBUIÇÃO DE EDIFICAÇÃO RESIDENCIAL - FORNECIMENTO E INSTALAÇÃO. AF_11/2019</v>
          </cell>
          <cell r="E269" t="str">
            <v>M</v>
          </cell>
          <cell r="F269">
            <v>1980</v>
          </cell>
          <cell r="H269">
            <v>7.78</v>
          </cell>
        </row>
        <row r="270">
          <cell r="A270" t="str">
            <v xml:space="preserve"> 21.6 </v>
          </cell>
          <cell r="D270" t="str">
            <v>QUADRO DE DISTRIBUIÇÃO PARA TELEFONE N.2, 20X20X12CM EM CHAPA METALICA, DE EMBUTIR, SEM ACESSORIOS, PADRÃO TELEBRAS, FORNECIMENTO E INSTALAÇÃO. AF_11/2019</v>
          </cell>
          <cell r="E270" t="str">
            <v>UN</v>
          </cell>
          <cell r="F270">
            <v>2</v>
          </cell>
          <cell r="H270">
            <v>107.71</v>
          </cell>
        </row>
        <row r="271">
          <cell r="A271" t="str">
            <v xml:space="preserve"> 21.7 </v>
          </cell>
          <cell r="D271" t="str">
            <v>QUADRO DE DISTRIBUICAO PARA TELEFONE N.3, 40X40X12CM EM CHAPA METALICA, DE EMBUTIR, SEM ACESSORIOS, PADRAO TELEBRAS, FORNECIMENTO E INSTALAÇÃO. AF_11/2019</v>
          </cell>
          <cell r="E271" t="str">
            <v>UN</v>
          </cell>
          <cell r="F271">
            <v>1</v>
          </cell>
          <cell r="H271">
            <v>198.76</v>
          </cell>
        </row>
        <row r="272">
          <cell r="A272" t="str">
            <v xml:space="preserve"> 21.8 </v>
          </cell>
          <cell r="D272" t="str">
            <v>CAIXA RETANGULAR 4" X 2" MÉDIA (1,30 M DO PISO), METÁLICA, INSTALADA EM PAREDE - FORNECIMENTO E INSTALAÇÃO. AF_12/2015</v>
          </cell>
          <cell r="E272" t="str">
            <v>UN</v>
          </cell>
          <cell r="F272">
            <v>49</v>
          </cell>
          <cell r="H272">
            <v>13.06</v>
          </cell>
        </row>
        <row r="273">
          <cell r="A273" t="str">
            <v xml:space="preserve"> 21.9 </v>
          </cell>
          <cell r="D273" t="str">
            <v>CONECTOR / TOMADA FEMEA RJ 45, CATEGORIA 5 E (CAT 5E) PARA CABOS</v>
          </cell>
          <cell r="E273" t="str">
            <v>UN</v>
          </cell>
          <cell r="F273">
            <v>98</v>
          </cell>
          <cell r="H273">
            <v>9.85</v>
          </cell>
        </row>
        <row r="274">
          <cell r="A274" t="str">
            <v xml:space="preserve"> 21.10 </v>
          </cell>
          <cell r="D274" t="str">
            <v>Switch 24 portas 10/100 Mbps - fornecimento</v>
          </cell>
          <cell r="E274" t="str">
            <v>un</v>
          </cell>
          <cell r="F274">
            <v>2</v>
          </cell>
          <cell r="H274">
            <v>589.03</v>
          </cell>
        </row>
        <row r="275">
          <cell r="A275" t="str">
            <v xml:space="preserve"> 21.11 </v>
          </cell>
          <cell r="D275" t="str">
            <v>Fornecimento e montagem de rack fechado tipo armário 19" x 36u x 670mm</v>
          </cell>
          <cell r="E275" t="str">
            <v>un</v>
          </cell>
          <cell r="F275">
            <v>2</v>
          </cell>
          <cell r="H275">
            <v>3044.03</v>
          </cell>
        </row>
        <row r="276">
          <cell r="A276" t="str">
            <v xml:space="preserve"> 21.12 </v>
          </cell>
          <cell r="D276" t="str">
            <v>ELETRODUTO RÍGIDO ROSCÁVEL, PVC, DN 32 MM (1"), PARA CIRCUITOS TERMINAIS, INSTALADO EM LAJE - FORNECIMENTO E INSTALAÇÃO. AF_12/2015</v>
          </cell>
          <cell r="E276" t="str">
            <v>M</v>
          </cell>
          <cell r="F276">
            <v>255</v>
          </cell>
          <cell r="H276">
            <v>14.82</v>
          </cell>
        </row>
        <row r="277">
          <cell r="A277" t="str">
            <v xml:space="preserve"> 22 </v>
          </cell>
          <cell r="D277" t="str">
            <v>SISTEMA DE CLIMATIZAÇÃO</v>
          </cell>
        </row>
        <row r="278">
          <cell r="A278" t="str">
            <v xml:space="preserve"> 22.1 </v>
          </cell>
          <cell r="D278" t="str">
            <v>TUBO EM COBRE FLEXÍVEL, DN 1/4", COM ISOLAMENTO, INSTALADO EM RAMAL DE ALIMENTAÇÃO DE AR CONDICIONADO COM CONDENSADORA CENTRAL  FORNECIMENTO E INSTALAÇÃO. AF_12/2015</v>
          </cell>
          <cell r="E278" t="str">
            <v>M</v>
          </cell>
          <cell r="F278">
            <v>210</v>
          </cell>
          <cell r="H278">
            <v>31.86</v>
          </cell>
        </row>
        <row r="279">
          <cell r="A279" t="str">
            <v xml:space="preserve"> 22.2 </v>
          </cell>
          <cell r="D279" t="str">
            <v>TUBO EM COBRE FLEXÍVEL, DN 1/2", COM ISOLAMENTO, INSTALADO EM RAMAL DE ALIMENTAÇÃO DE AR CONDICIONADO COM CONDENSADORA CENTRAL  FORNECIMENTO E INSTALAÇÃO. AF_12/2015</v>
          </cell>
          <cell r="E279" t="str">
            <v>M</v>
          </cell>
          <cell r="F279">
            <v>210</v>
          </cell>
          <cell r="H279">
            <v>69.790000000000006</v>
          </cell>
        </row>
        <row r="280">
          <cell r="A280" t="str">
            <v xml:space="preserve"> 22.3 </v>
          </cell>
          <cell r="D280" t="str">
            <v>TUBO EM COBRE FLEXÍVEL, DN 3/8", COM ISOLAMENTO, INSTALADO EM RAMAL DE ALIMENTAÇÃO DE AR CONDICIONADO COM CONDENSADORA CENTRAL  FORNECIMENTO E INSTALAÇÃO. AF_12/2015</v>
          </cell>
          <cell r="E280" t="str">
            <v>M</v>
          </cell>
          <cell r="F280">
            <v>389</v>
          </cell>
          <cell r="H280">
            <v>55.81</v>
          </cell>
        </row>
        <row r="281">
          <cell r="A281" t="str">
            <v xml:space="preserve"> 22.4 </v>
          </cell>
          <cell r="D281" t="str">
            <v>TUBO EM COBRE FLEXÍVEL, DN 5/8", COM ISOLAMENTO, INSTALADO EM RAMAL DE ALIMENTAÇÃO DE AR CONDICIONADO COM CONDENSADORA INDIVIDUAL  FORNECIMENTO E INSTALAÇÃO. AF_12/2015</v>
          </cell>
          <cell r="E281" t="str">
            <v>M</v>
          </cell>
          <cell r="F281">
            <v>389</v>
          </cell>
          <cell r="H281">
            <v>84.71</v>
          </cell>
        </row>
        <row r="282">
          <cell r="A282" t="str">
            <v xml:space="preserve"> 22.5 </v>
          </cell>
          <cell r="D282" t="str">
            <v>(COMPOSIÇÃO REPRESENTATIVA) DO SERVIÇO DE INSTALAÇÃO DE TUBOS DE PVC, SOLDÁVEL, ÁGUA FRIA, DN 25 MM (INSTALADO EM RAMAL, SUB-RAMAL, RAMAL DE DISTRIBUIÇÃO OU PRUMADA), INCLUSIVE CONEXÕES, CORTES E FIXAÇÕES, PARA PRÉDIOS. AF_10/2015</v>
          </cell>
          <cell r="E282" t="str">
            <v>M</v>
          </cell>
          <cell r="F282">
            <v>285.3</v>
          </cell>
          <cell r="H282">
            <v>43.1</v>
          </cell>
        </row>
        <row r="283">
          <cell r="A283" t="str">
            <v xml:space="preserve"> 22.6 </v>
          </cell>
          <cell r="D283" t="str">
            <v>Cabo de cobre PP Cordplast 3 x 1,5 mm2, 450/750v m</v>
          </cell>
          <cell r="E283" t="str">
            <v>m</v>
          </cell>
          <cell r="F283">
            <v>554</v>
          </cell>
          <cell r="H283">
            <v>7.47</v>
          </cell>
        </row>
        <row r="284">
          <cell r="A284" t="str">
            <v xml:space="preserve"> 23 </v>
          </cell>
          <cell r="D284" t="str">
            <v>SUBESTAÇÃO</v>
          </cell>
        </row>
        <row r="285">
          <cell r="A285" t="str">
            <v xml:space="preserve"> 23.1 </v>
          </cell>
          <cell r="D285" t="str">
            <v>Fornecimento de cruzeta de concreto tipo "t"  1900mm</v>
          </cell>
          <cell r="E285" t="str">
            <v>un</v>
          </cell>
          <cell r="F285">
            <v>2</v>
          </cell>
          <cell r="H285">
            <v>321.7</v>
          </cell>
        </row>
        <row r="286">
          <cell r="A286" t="str">
            <v xml:space="preserve"> 23.2 </v>
          </cell>
          <cell r="D286" t="str">
            <v>TRANSFORMADOR TRIFASICO DE DISTRIBUICAO, POTENCIA DE 500 KVA, TENSAO NOMINAL DE 15 KV, TENSAO SECUNDARIA DE 220/127V, EM OLEO ISOLANTE TIPO MINERAL</v>
          </cell>
          <cell r="E286" t="str">
            <v>UN</v>
          </cell>
          <cell r="F286">
            <v>1</v>
          </cell>
          <cell r="H286">
            <v>63957.68</v>
          </cell>
        </row>
        <row r="287">
          <cell r="A287" t="str">
            <v xml:space="preserve"> 23.3 </v>
          </cell>
          <cell r="D287" t="str">
            <v>ISOLADOR, TIPO DISCO, PARA TENSÃO 15 KV - FORNECIMENTO E INSTALAÇÃO. AF_07/2020</v>
          </cell>
          <cell r="E287" t="str">
            <v>UN</v>
          </cell>
          <cell r="F287">
            <v>3</v>
          </cell>
          <cell r="H287">
            <v>89.06</v>
          </cell>
        </row>
        <row r="288">
          <cell r="A288" t="str">
            <v xml:space="preserve"> 23.4 </v>
          </cell>
          <cell r="D288" t="str">
            <v>ISOLADOR, TIPO PINO, PARA TENSÃO 15 KV - FORNECIMENTO E INSTALAÇÃO. AF_07/2020</v>
          </cell>
          <cell r="E288" t="str">
            <v>UN</v>
          </cell>
          <cell r="F288">
            <v>3</v>
          </cell>
          <cell r="H288">
            <v>28.38</v>
          </cell>
        </row>
        <row r="289">
          <cell r="A289" t="str">
            <v xml:space="preserve"> 23.5 </v>
          </cell>
          <cell r="D289" t="str">
            <v>Fornecimento de alça preformada de alumínio p/ ca 2 awg</v>
          </cell>
          <cell r="E289" t="str">
            <v>un</v>
          </cell>
          <cell r="F289">
            <v>3</v>
          </cell>
          <cell r="H289">
            <v>18.52</v>
          </cell>
        </row>
        <row r="290">
          <cell r="A290" t="str">
            <v xml:space="preserve"> 23.6 </v>
          </cell>
          <cell r="D290" t="str">
            <v>Conector cunha 4 x 4 AWG CAA, fornecimento</v>
          </cell>
          <cell r="E290" t="str">
            <v>un</v>
          </cell>
          <cell r="F290">
            <v>6</v>
          </cell>
          <cell r="H290">
            <v>40.19</v>
          </cell>
        </row>
        <row r="291">
          <cell r="A291" t="str">
            <v xml:space="preserve"> 23.7 </v>
          </cell>
          <cell r="D291" t="str">
            <v>PARA-RAIOS DE DISTRIBUICAO, TENSAO NOMINAL 15 KV, CORRENTE NOMINAL DE DESCARGA 5 KA</v>
          </cell>
          <cell r="E291" t="str">
            <v>UN</v>
          </cell>
          <cell r="F291">
            <v>3</v>
          </cell>
          <cell r="H291">
            <v>134.72</v>
          </cell>
        </row>
        <row r="292">
          <cell r="A292" t="str">
            <v xml:space="preserve"> 23.8 </v>
          </cell>
          <cell r="D292" t="str">
            <v>CORDOALHA DE COBRE NU 50 MM², ENTERRADA, SEM ISOLADOR - FORNECIMENTO E INSTALAÇÃO. AF_12/2017</v>
          </cell>
          <cell r="E292" t="str">
            <v>M</v>
          </cell>
          <cell r="F292">
            <v>30</v>
          </cell>
          <cell r="H292">
            <v>70.489999999999995</v>
          </cell>
        </row>
        <row r="293">
          <cell r="A293" t="str">
            <v xml:space="preserve"> 23.9 </v>
          </cell>
          <cell r="D293" t="str">
            <v>CABO DE ALUMINIO NU COM ALMA DE ACO, BITOLA 2/0 AWG</v>
          </cell>
          <cell r="E293" t="str">
            <v>KG</v>
          </cell>
          <cell r="F293">
            <v>75</v>
          </cell>
          <cell r="H293">
            <v>58.01</v>
          </cell>
        </row>
        <row r="294">
          <cell r="A294" t="str">
            <v xml:space="preserve"> 23.10 </v>
          </cell>
          <cell r="D294" t="str">
            <v>CABO DE COBRE FLEXÍVEL ISOLADO, 70 MM², 0,6/1,0 KV, PARA REDE AÉREA DE DISTRIBUIÇÃO DE ENERGIA ELÉTRICA DE BAIXA TENSÃO - FORNECIMENTO E INSTALAÇÃO. AF_07/2020</v>
          </cell>
          <cell r="E294" t="str">
            <v>M</v>
          </cell>
          <cell r="F294">
            <v>240</v>
          </cell>
          <cell r="H294">
            <v>86.95</v>
          </cell>
        </row>
        <row r="295">
          <cell r="A295" t="str">
            <v xml:space="preserve"> 23.11 </v>
          </cell>
          <cell r="D295" t="str">
            <v>CABO DE COBRE FLEXÍVEL ISOLADO, 35 MM², ANTI-CHAMA 0,6/1,0 KV, PARA REDE ENTERRADA DE DISTRIBUIÇÃO DE ENERGIA ELÉTRICA - FORNECIMENTO E INSTALAÇÃO. AF_12/2021</v>
          </cell>
          <cell r="E295" t="str">
            <v>M</v>
          </cell>
          <cell r="F295">
            <v>120</v>
          </cell>
          <cell r="H295">
            <v>44.03</v>
          </cell>
        </row>
        <row r="296">
          <cell r="A296" t="str">
            <v xml:space="preserve"> 23.12 </v>
          </cell>
          <cell r="D296" t="str">
            <v>CABECOTE PARA ENTRADA DE LINHA DE ALIMENTACAO PARA ELETRODUTO, EM LIGA DE ALUMINIO COM ACABAMENTO ANTI CORROSIVO, COM FIXACAO POR ENCAIXE LISO DE 360 GRAUS, DE 3"</v>
          </cell>
          <cell r="E296" t="str">
            <v>UN</v>
          </cell>
          <cell r="F296">
            <v>3</v>
          </cell>
          <cell r="H296">
            <v>45.17</v>
          </cell>
        </row>
        <row r="297">
          <cell r="A297" t="str">
            <v xml:space="preserve"> 23.13 </v>
          </cell>
          <cell r="D297" t="str">
            <v>ELETRODUTO FLEXIVEL, EM ACO, TIPO CONDUITE, DIAMETRO DE 3"</v>
          </cell>
          <cell r="E297" t="str">
            <v>M</v>
          </cell>
          <cell r="F297">
            <v>28</v>
          </cell>
          <cell r="H297">
            <v>82.85</v>
          </cell>
        </row>
        <row r="298">
          <cell r="A298" t="str">
            <v xml:space="preserve"> 23.14 </v>
          </cell>
          <cell r="D298" t="str">
            <v>FITA ACO INOX PARA CINTAR POSTE, L = 19 MM, E = 0,5 MM (ROLO DE 30M)</v>
          </cell>
          <cell r="E298" t="str">
            <v>UN</v>
          </cell>
          <cell r="F298">
            <v>0.5</v>
          </cell>
          <cell r="H298">
            <v>96.83</v>
          </cell>
        </row>
        <row r="299">
          <cell r="A299" t="str">
            <v xml:space="preserve"> 23.15 </v>
          </cell>
          <cell r="D299" t="str">
            <v>HASTE DE ATERRAMENTO 5/8  PARA SPDA - FORNECIMENTO E INSTALAÇÃO. AF_12/2017</v>
          </cell>
          <cell r="E299" t="str">
            <v>UN</v>
          </cell>
          <cell r="F299">
            <v>3</v>
          </cell>
          <cell r="H299">
            <v>60.71</v>
          </cell>
        </row>
        <row r="300">
          <cell r="A300" t="str">
            <v xml:space="preserve"> 23.16 </v>
          </cell>
          <cell r="D300" t="str">
            <v>GRAMPO U DE 5/8 " N8 EM FERRO GALVANIZADO</v>
          </cell>
          <cell r="E300" t="str">
            <v>UN</v>
          </cell>
          <cell r="F300">
            <v>3</v>
          </cell>
          <cell r="H300">
            <v>15.95</v>
          </cell>
        </row>
        <row r="301">
          <cell r="A301" t="str">
            <v xml:space="preserve"> 23.17 </v>
          </cell>
          <cell r="D301" t="str">
            <v>CAIXA DE INSPEÇÃO PARA ATERRAMENTO, CIRCULAR, EM POLIETILENO, DIÂMETRO INTERNO = 0,3 M. AF_12/2020</v>
          </cell>
          <cell r="E301" t="str">
            <v>UN</v>
          </cell>
          <cell r="F301">
            <v>3</v>
          </cell>
          <cell r="H301">
            <v>53.39</v>
          </cell>
        </row>
        <row r="302">
          <cell r="A302" t="str">
            <v xml:space="preserve"> 23.18 </v>
          </cell>
          <cell r="D302" t="str">
            <v>Estrado (tapete) de borracha isolante 15 kv - dimensões 1.000 x 1.000 x 25 mm</v>
          </cell>
          <cell r="E302" t="str">
            <v>pç</v>
          </cell>
          <cell r="F302">
            <v>1</v>
          </cell>
          <cell r="H302">
            <v>732.66</v>
          </cell>
        </row>
        <row r="303">
          <cell r="A303" t="str">
            <v xml:space="preserve"> 23.19 </v>
          </cell>
          <cell r="D303" t="str">
            <v>DISJUNTOR TERMOMAGNÉTICO TRIPOLAR , CORRENTE NOMINAL DE 250A - FORNECIMENTO E INSTALAÇÃO. AF_10/2020</v>
          </cell>
          <cell r="E303" t="str">
            <v>UN</v>
          </cell>
          <cell r="F303">
            <v>1</v>
          </cell>
          <cell r="H303">
            <v>1082.3599999999999</v>
          </cell>
        </row>
        <row r="304">
          <cell r="A304" t="str">
            <v xml:space="preserve"> 24 </v>
          </cell>
          <cell r="D304" t="str">
            <v>INSTALAÇÕES DE COMBATE A INCÊNDIO</v>
          </cell>
        </row>
        <row r="305">
          <cell r="A305" t="str">
            <v xml:space="preserve"> 24.1 </v>
          </cell>
          <cell r="D305" t="str">
            <v>PLACA DE SINALIZACAO DE SEGURANCA CONTRA INCENDIO, FOTOLUMINESCENTE, QUADRADA, *20 X 20* CM, EM PVC *2* MM ANTI-CHAMAS (SIMBOLOS, CORES E PICTOGRAMAS CONFORME NBR 16820)</v>
          </cell>
          <cell r="E305" t="str">
            <v>UN</v>
          </cell>
          <cell r="F305">
            <v>155</v>
          </cell>
          <cell r="H305">
            <v>22.92</v>
          </cell>
        </row>
        <row r="306">
          <cell r="A306" t="str">
            <v xml:space="preserve"> 24.2 </v>
          </cell>
          <cell r="D306" t="str">
            <v>Luminária de emergência, de sobrepor, tipo bloco autônomo, com autonomia de 1h, modelo LLE-LLEDDF, da KBR ou si</v>
          </cell>
          <cell r="E306" t="str">
            <v>un</v>
          </cell>
          <cell r="F306">
            <v>35</v>
          </cell>
          <cell r="H306">
            <v>174.9</v>
          </cell>
        </row>
        <row r="307">
          <cell r="A307" t="str">
            <v xml:space="preserve"> 24.3 </v>
          </cell>
          <cell r="D307" t="str">
            <v>LUMINÁRIA DE EMERGÊNCIA, COM 30 LÂMPADAS LED DE 2 W, SEM REATOR - FORNECIMENTO E INSTALAÇÃO. AF_02/2020</v>
          </cell>
          <cell r="E307" t="str">
            <v>UN</v>
          </cell>
          <cell r="F307">
            <v>28</v>
          </cell>
          <cell r="H307">
            <v>27.69</v>
          </cell>
        </row>
        <row r="308">
          <cell r="A308" t="str">
            <v xml:space="preserve"> 24.4 </v>
          </cell>
          <cell r="D308" t="str">
            <v>EXTINTOR DE INCÊNDIO PORTÁTIL COM CARGA DE CO2 DE 6 KG, CLASSE BC - FORNECIMENTO E INSTALAÇÃO. AF_10/2020_P</v>
          </cell>
          <cell r="E308" t="str">
            <v>UN</v>
          </cell>
          <cell r="F308">
            <v>16</v>
          </cell>
          <cell r="H308">
            <v>1057.06</v>
          </cell>
        </row>
        <row r="309">
          <cell r="A309" t="str">
            <v xml:space="preserve"> 24.5 </v>
          </cell>
          <cell r="D309" t="str">
            <v>EXTINTOR DE INCÊNDIO PORTÁTIL COM CARGA DE ÁGUA PRESSURIZADA DE 10 L, CLASSE A - FORNECIMENTO E INSTALAÇÃO. AF_10/2020_P</v>
          </cell>
          <cell r="E309" t="str">
            <v>UN</v>
          </cell>
          <cell r="F309">
            <v>10</v>
          </cell>
          <cell r="H309">
            <v>322.89</v>
          </cell>
        </row>
        <row r="310">
          <cell r="A310" t="str">
            <v xml:space="preserve"> 24.6 </v>
          </cell>
          <cell r="D310" t="str">
            <v>Motobomba marca schneider ou similar, modelo SH55 BPI-21, 2 1/2", motor a combustão - gasolina , 5,5cv</v>
          </cell>
          <cell r="E310" t="str">
            <v>Un</v>
          </cell>
          <cell r="F310">
            <v>1</v>
          </cell>
          <cell r="H310">
            <v>11081.89</v>
          </cell>
        </row>
        <row r="311">
          <cell r="A311" t="str">
            <v xml:space="preserve"> 24.7 </v>
          </cell>
          <cell r="D311" t="str">
            <v>ABRIGO PARA HIDRANTE, 90X60X17CM, COM REGISTRO GLOBO ANGULAR 45 GRAUS 2 1/2", ADAPTADOR STORZ 2 1/2", MANGUEIRA DE INCÊNDIO 20M, REDUÇÃO 2 1/2" X 1 1/2" E ESGUICHO EM LATÃO 1 1/2" - FORNECIMENTO E INSTALAÇÃO. AF_10/2020</v>
          </cell>
          <cell r="E311" t="str">
            <v>UN</v>
          </cell>
          <cell r="F311">
            <v>7</v>
          </cell>
          <cell r="H311">
            <v>1888.95</v>
          </cell>
        </row>
        <row r="312">
          <cell r="A312" t="str">
            <v xml:space="preserve"> 24.8 </v>
          </cell>
          <cell r="D312" t="str">
            <v>TUBO DE AÇO GALVANIZADO COM COSTURA, CLASSE MÉDIA, CONEXÃO RANHURADA, DN 80 (3"), INSTALADO EM PRUMADAS - FORNECIMENTO E INSTALAÇÃO. AF_10/2020</v>
          </cell>
          <cell r="E312" t="str">
            <v>M</v>
          </cell>
          <cell r="F312">
            <v>189.33</v>
          </cell>
          <cell r="H312">
            <v>183.87</v>
          </cell>
        </row>
        <row r="313">
          <cell r="A313" t="str">
            <v xml:space="preserve"> 24.9 </v>
          </cell>
          <cell r="D313" t="str">
            <v>REGISTRO DE GAVETA BRUTO, LATÃO, ROSCÁVEL, 3" - FORNECIMENTO E INSTALAÇÃO. AF_08/2021</v>
          </cell>
          <cell r="E313" t="str">
            <v>UN</v>
          </cell>
          <cell r="F313">
            <v>5</v>
          </cell>
          <cell r="H313">
            <v>416.59</v>
          </cell>
        </row>
        <row r="314">
          <cell r="A314" t="str">
            <v xml:space="preserve"> 24.10 </v>
          </cell>
          <cell r="D314" t="str">
            <v>TÊ, EM FERRO GALVANIZADO, CONEXÃO ROSQUEADA, DN 80 (3"), INSTALADO EM REDE DE ALIMENTAÇÃO PARA HIDRANTE - FORNECIMENTO E INSTALAÇÃO. AF_10/2020</v>
          </cell>
          <cell r="E314" t="str">
            <v>UN</v>
          </cell>
          <cell r="F314">
            <v>6</v>
          </cell>
          <cell r="H314">
            <v>270.33999999999997</v>
          </cell>
        </row>
        <row r="315">
          <cell r="A315" t="str">
            <v xml:space="preserve"> 24.11 </v>
          </cell>
          <cell r="D315" t="str">
            <v>REGISTRO OU VÁLVULA GLOBO ANGULAR EM LATÃO, PARA HIDRANTES EM INSTALAÇÃO PREDIAL DE INCÊNDIO, 45 GRAUS, 2 1/2" - FORNECIMENTO E INSTALAÇÃO. AF_08/2021</v>
          </cell>
          <cell r="E315" t="str">
            <v>UN</v>
          </cell>
          <cell r="F315">
            <v>5</v>
          </cell>
          <cell r="H315">
            <v>245.78</v>
          </cell>
        </row>
        <row r="316">
          <cell r="A316" t="str">
            <v xml:space="preserve"> 24.12 </v>
          </cell>
          <cell r="D316" t="str">
            <v>VÁLVULA DE RETENÇÃO HORIZONTAL, DE BRONZE, ROSCÁVEL, 2 1/2" - FORNECIMENTO E INSTALAÇÃO. AF_08/2021</v>
          </cell>
          <cell r="E316" t="str">
            <v>UN</v>
          </cell>
          <cell r="F316">
            <v>4</v>
          </cell>
          <cell r="H316">
            <v>601.97</v>
          </cell>
        </row>
        <row r="317">
          <cell r="A317" t="str">
            <v xml:space="preserve"> 24.13 </v>
          </cell>
          <cell r="D317" t="str">
            <v>MANÔMETRO 0 A 200 PSI (0 A 14 KGF/CM2), D = 50MM - FORNECIMENTO E INSTALAÇÃO. AF_10/2020</v>
          </cell>
          <cell r="E317" t="str">
            <v>UN</v>
          </cell>
          <cell r="F317">
            <v>1</v>
          </cell>
          <cell r="H317">
            <v>157.72999999999999</v>
          </cell>
        </row>
        <row r="318">
          <cell r="A318" t="str">
            <v xml:space="preserve"> 24.14 </v>
          </cell>
          <cell r="D318" t="str">
            <v>MANÔMETRO 0 A 200 PSI (0 A 14 KGF/CM2), D = 50MM - FORNECIMENTO E INSTALAÇÃO. AF_10/2020</v>
          </cell>
          <cell r="E318" t="str">
            <v>UN</v>
          </cell>
          <cell r="F318">
            <v>1</v>
          </cell>
          <cell r="H318">
            <v>157.72999999999999</v>
          </cell>
        </row>
        <row r="319">
          <cell r="A319" t="str">
            <v xml:space="preserve"> 24.15 </v>
          </cell>
          <cell r="D319" t="str">
            <v>TAMPA PARA CAIXA TIPO R1, EM FERRO FUNDIDO, DIMENSÕES INTERNAS: 0,40 X 0,60 M - FORNECIMENTO E INSTALAÇÃO. AF_12/2020</v>
          </cell>
          <cell r="E319" t="str">
            <v>UN</v>
          </cell>
          <cell r="F319">
            <v>1</v>
          </cell>
          <cell r="H319">
            <v>421.1</v>
          </cell>
        </row>
        <row r="320">
          <cell r="A320" t="str">
            <v xml:space="preserve"> 24.16 </v>
          </cell>
          <cell r="D320" t="str">
            <v>CAIXA ENTERRADA ELÉTRICA RETANGULAR, EM ALVENARIA COM TIJOLOS CERÂMICOS MACIÇOS, FUNDO COM BRITA, DIMENSÕES INTERNAS: 0,8X0,8X0,6 M. AF_12/2020</v>
          </cell>
          <cell r="E320" t="str">
            <v>UN</v>
          </cell>
          <cell r="F320">
            <v>1</v>
          </cell>
          <cell r="H320">
            <v>653.03</v>
          </cell>
        </row>
        <row r="321">
          <cell r="A321" t="str">
            <v xml:space="preserve"> 24.17 </v>
          </cell>
          <cell r="D321" t="str">
            <v>Acionador manual (botoeira) "aperte aqui", p/instal. incendio - endereçável</v>
          </cell>
          <cell r="E321" t="str">
            <v>un</v>
          </cell>
          <cell r="F321">
            <v>7</v>
          </cell>
          <cell r="H321">
            <v>173.5</v>
          </cell>
        </row>
        <row r="322">
          <cell r="A322" t="str">
            <v xml:space="preserve"> 24.18 </v>
          </cell>
          <cell r="D322" t="str">
            <v>Central de alarme e detecção de incendio, capacidade: 8 laços, com 2 linhas, mod.VR-8L, Verin ou similar</v>
          </cell>
          <cell r="E322" t="str">
            <v>un</v>
          </cell>
          <cell r="F322">
            <v>1</v>
          </cell>
          <cell r="H322">
            <v>468.71</v>
          </cell>
        </row>
        <row r="323">
          <cell r="A323" t="str">
            <v xml:space="preserve"> 24.19 </v>
          </cell>
          <cell r="D323" t="str">
            <v>Sirene aúdiovisual endereçavel, 120db, para alarme de incêndio</v>
          </cell>
          <cell r="E323" t="str">
            <v>un</v>
          </cell>
          <cell r="F323">
            <v>7</v>
          </cell>
          <cell r="H323">
            <v>225.94</v>
          </cell>
        </row>
        <row r="324">
          <cell r="A324" t="str">
            <v xml:space="preserve"> 25 </v>
          </cell>
          <cell r="D324" t="str">
            <v>SERVIÇOS COMPLEMENTARES</v>
          </cell>
        </row>
        <row r="325">
          <cell r="A325" t="str">
            <v xml:space="preserve"> 25.1 </v>
          </cell>
          <cell r="D325" t="str">
            <v>ELEVADOR AÇO INOX CAPACIDADE P/ (8 PASSAGEIROS OU 1  CADEIRANTE + 1 ACOMPANHANTES), COM O1 PARADA, E DESNIVEL DE  4,30MM,PORTAS DE ACESSO OPOSTO , CAPACIDADE 250 KG,  VELOCIDADE 6,00 M/MIN, /MIN - FORNECIMENTO E INSTALACAO</v>
          </cell>
          <cell r="E325" t="str">
            <v>und</v>
          </cell>
          <cell r="F325">
            <v>1</v>
          </cell>
          <cell r="H325">
            <v>130267.14</v>
          </cell>
        </row>
        <row r="326">
          <cell r="A326" t="str">
            <v xml:space="preserve"> 25.2 </v>
          </cell>
          <cell r="D326" t="str">
            <v>Banco de madeira de lei sem encosto, tipo sueco, medindo 45x45x300cm</v>
          </cell>
          <cell r="E326" t="str">
            <v>un</v>
          </cell>
          <cell r="F326">
            <v>10</v>
          </cell>
          <cell r="H326">
            <v>887.35</v>
          </cell>
        </row>
        <row r="327">
          <cell r="A327" t="str">
            <v xml:space="preserve"> 25.3 </v>
          </cell>
          <cell r="D327" t="str">
            <v>PLANTIO DE ÁRVORE ORNAMENTAL COM ALTURA DE MUDA MAIOR QUE 2,00 M E MENOR OU IGUAL A 4,00 M. AF_05/2018</v>
          </cell>
          <cell r="E327" t="str">
            <v>UN</v>
          </cell>
          <cell r="F327">
            <v>6</v>
          </cell>
          <cell r="H327">
            <v>271.86</v>
          </cell>
        </row>
        <row r="328">
          <cell r="A328" t="str">
            <v xml:space="preserve"> 25.4 </v>
          </cell>
          <cell r="D328" t="str">
            <v>PLANTIO DE PALMEIRA COM ALTURA DE MUDA MENOR OU IGUAL A 2,00 M. AF_05/2018</v>
          </cell>
          <cell r="E328" t="str">
            <v>UN</v>
          </cell>
          <cell r="F328">
            <v>6</v>
          </cell>
          <cell r="H328">
            <v>487.51</v>
          </cell>
        </row>
        <row r="329">
          <cell r="A329" t="str">
            <v xml:space="preserve"> 25.5 </v>
          </cell>
          <cell r="D329" t="str">
            <v>PLANTIO DE ARBUSTO OU  CERCA VIVA. AF_05/2018</v>
          </cell>
          <cell r="E329" t="str">
            <v>UN</v>
          </cell>
          <cell r="F329">
            <v>20</v>
          </cell>
          <cell r="H329">
            <v>103.29</v>
          </cell>
        </row>
        <row r="330">
          <cell r="A330" t="str">
            <v xml:space="preserve"> 25.6 </v>
          </cell>
          <cell r="D330" t="str">
            <v>PLANTIO DE GRAMA ESMERALDA OU SÃO CARLOS OU CURITIBANA, EM PLACAS. AF_05/2022</v>
          </cell>
          <cell r="E330" t="str">
            <v>m²</v>
          </cell>
          <cell r="F330">
            <v>107.57</v>
          </cell>
          <cell r="H330">
            <v>21.51</v>
          </cell>
        </row>
        <row r="331">
          <cell r="A331" t="str">
            <v xml:space="preserve"> 25.7 </v>
          </cell>
          <cell r="D331" t="str">
            <v>PLANTIO DE FORRAÇÃO. AF_05/2018</v>
          </cell>
          <cell r="E331" t="str">
            <v>m²</v>
          </cell>
          <cell r="F331">
            <v>11.84</v>
          </cell>
          <cell r="H331">
            <v>146.44999999999999</v>
          </cell>
        </row>
        <row r="332">
          <cell r="A332" t="str">
            <v xml:space="preserve"> 25.8 </v>
          </cell>
          <cell r="D332" t="str">
            <v>Guarda-corpo em tubo de aço inox ø=1 1/2", duplo, com montantes e fechamento em tubo inox ø=1 1/2", h=96cm, c/acabamento polido, p/fixação em piso</v>
          </cell>
          <cell r="E332" t="str">
            <v>m</v>
          </cell>
          <cell r="F332">
            <v>53.3</v>
          </cell>
          <cell r="H332">
            <v>833.94</v>
          </cell>
        </row>
        <row r="333">
          <cell r="A333" t="str">
            <v xml:space="preserve"> 25.9 </v>
          </cell>
          <cell r="D333" t="str">
            <v>GUARDA-CORPO PANORÂMICO COM PERFIS DE ALUMÍNIO E VIDRO LAMINADO 8 MM, FIXADO COM CHUMBADOR MECÂNICO. AF_04/2019_P</v>
          </cell>
          <cell r="E333" t="str">
            <v>M</v>
          </cell>
          <cell r="F333">
            <v>26.81</v>
          </cell>
          <cell r="H333">
            <v>1530.37</v>
          </cell>
        </row>
        <row r="334">
          <cell r="A334" t="str">
            <v xml:space="preserve"> 25.10 </v>
          </cell>
          <cell r="D334" t="str">
            <v>Limpeza geral</v>
          </cell>
          <cell r="E334" t="str">
            <v>m²</v>
          </cell>
          <cell r="F334">
            <v>3700</v>
          </cell>
          <cell r="H334">
            <v>2.5099999999999998</v>
          </cell>
        </row>
        <row r="335">
          <cell r="A335" t="str">
            <v xml:space="preserve"> 25.11 </v>
          </cell>
          <cell r="D335" t="str">
            <v>Escada marinheiro em barra chata de ferro 2" x 5/16"</v>
          </cell>
          <cell r="E335" t="str">
            <v>m</v>
          </cell>
          <cell r="F335">
            <v>38</v>
          </cell>
          <cell r="H335">
            <v>435.32</v>
          </cell>
        </row>
        <row r="336">
          <cell r="A336" t="str">
            <v xml:space="preserve"> 25.12 </v>
          </cell>
          <cell r="D336" t="str">
            <v>CLARABOIA PARA PBTUR EM ESTRUTURA DE PERFIL DE ALUMINIO,  METALON DE 100X100 CHAPA 14 E METALON 100X50 CHAPA 16, SENDO 01  TUBO METALON FIXADO A CADA 2,12M, COM PLACAS EM VIDRO  LAMINADO DE 7 MM COM PELICULA DE PROTECAO UV INCOLOR -  ORNECIMENTO E INSTALACAO</v>
          </cell>
          <cell r="E336" t="str">
            <v>m²</v>
          </cell>
          <cell r="F336">
            <v>54.2</v>
          </cell>
          <cell r="H336">
            <v>723.04</v>
          </cell>
        </row>
      </sheetData>
      <sheetData sheetId="1"/>
      <sheetData sheetId="2"/>
      <sheetData sheetId="3"/>
      <sheetData sheetId="4">
        <row r="18">
          <cell r="B18" t="str">
            <v>SERVIÇOS PRELIMINARES</v>
          </cell>
        </row>
        <row r="19">
          <cell r="H19">
            <v>6</v>
          </cell>
        </row>
        <row r="20">
          <cell r="H20">
            <v>10</v>
          </cell>
        </row>
        <row r="21">
          <cell r="H21">
            <v>7</v>
          </cell>
        </row>
        <row r="22">
          <cell r="B22" t="str">
            <v>LOCACAO CONVENCIONAL DE OBRA, UTILIZANDO GABARITO DE TÁBUAS CORRIDAS PONTALETADAS A CADA 2,00M -  2 UTILIZAÇÕES. AF_10/2018</v>
          </cell>
          <cell r="H22">
            <v>188.76</v>
          </cell>
        </row>
        <row r="23">
          <cell r="H23">
            <v>3729.02</v>
          </cell>
        </row>
        <row r="25">
          <cell r="H25">
            <v>0.6</v>
          </cell>
        </row>
        <row r="26">
          <cell r="H26">
            <v>0</v>
          </cell>
        </row>
        <row r="27">
          <cell r="H27">
            <v>0.6</v>
          </cell>
        </row>
        <row r="28">
          <cell r="A28" t="str">
            <v xml:space="preserve"> 3 </v>
          </cell>
          <cell r="B28" t="str">
            <v>MOVIMENTO DE TERRA</v>
          </cell>
        </row>
        <row r="29">
          <cell r="H29">
            <v>0</v>
          </cell>
        </row>
        <row r="30">
          <cell r="H30">
            <v>0</v>
          </cell>
        </row>
        <row r="31">
          <cell r="H31">
            <v>0</v>
          </cell>
        </row>
        <row r="32">
          <cell r="H32">
            <v>0</v>
          </cell>
        </row>
        <row r="33">
          <cell r="H33">
            <v>0</v>
          </cell>
        </row>
        <row r="34">
          <cell r="B34" t="str">
            <v>ESCAVAÇÃO VERTICAL A CÉU ABERTO, EM OBRAS DE EDIFICAÇÃO, INCLUINDO CARGA, DESCARGA E TRANSPORTE, EM SOLO DE 1ª CATEGORIA COM ESCAVADEIRA HIDRÁULICA (CAÇAMBA: 0,8 M³ / 111 HP), FROTA DE 4 CAMINHÕES BASCULANTES D
E 14 M³, DMT DE 2 KM E VELOCIDADE MÉDIA 19KM/H. AF_05/2020</v>
          </cell>
          <cell r="H34">
            <v>473.35</v>
          </cell>
        </row>
        <row r="35">
          <cell r="B35" t="str">
            <v>ATERRO C/COMPACTAÇÃO MECÂNICA E CONTROLE, MAT. DE AQUISIÇÃO</v>
          </cell>
          <cell r="H35">
            <v>1568.3000000000002</v>
          </cell>
        </row>
        <row r="36">
          <cell r="H36">
            <v>1481.16</v>
          </cell>
        </row>
        <row r="38">
          <cell r="B38" t="str">
            <v>INFRAESTRUTURA</v>
          </cell>
        </row>
        <row r="39">
          <cell r="B39" t="str">
            <v>LASTRO DE CONCRETO MAGRO, APLICADO EM BLOCOS DE COROAMENTO OU SAPATAS, ESPESSURA DE 5 CM. AF_08/2017</v>
          </cell>
          <cell r="H39">
            <v>103.36999999999998</v>
          </cell>
        </row>
        <row r="40">
          <cell r="B40" t="str">
            <v>CONCRETO USINADO BOMBEAVEL, CLASSE DE RESISTENCIA C40, COM BRITA 0 E 1, SLUMP = 100 +/- 20 MM, INCLUI SERVICO DE BOMBEAMENTO (NBR 8953)</v>
          </cell>
          <cell r="H40">
            <v>46.779999999999987</v>
          </cell>
        </row>
        <row r="41">
          <cell r="B41" t="str">
            <v>LANÇAMENTO COM USO DE BOMBA, ADENSAMENTO E ACABAMENTO DE CONCRETO EM ESTRUTURAS. AF_02/2022</v>
          </cell>
          <cell r="H41">
            <v>41.829999999999984</v>
          </cell>
        </row>
        <row r="42">
          <cell r="B42" t="str">
            <v>ARMAÇÃO DE BLOCO, VIGA BALDRAME E SAPATA UTILIZANDO AÇO CA-60 DE 5 MM - MONTAGEM. AF_06/2017</v>
          </cell>
          <cell r="H42">
            <v>89.811003333333346</v>
          </cell>
        </row>
        <row r="43">
          <cell r="H43">
            <v>0</v>
          </cell>
        </row>
        <row r="44">
          <cell r="H44">
            <v>0</v>
          </cell>
        </row>
        <row r="45">
          <cell r="A45" t="str">
            <v xml:space="preserve"> 4.7 </v>
          </cell>
          <cell r="B45" t="str">
            <v>ARMAÇÃO DE BLOCO, VIGA BALDRAME OU SAPATA UTILIZANDO AÇO CA-50 DE 10 MM - MONTAGEM. AF_06/2017</v>
          </cell>
          <cell r="H45">
            <v>1205.0873800000002</v>
          </cell>
        </row>
        <row r="46">
          <cell r="B46" t="str">
            <v>ARMAÇÃO DE BLOCO, VIGA BALDRAME OU SAPATA UTILIZANDO AÇO CA-50 DE 12,5 MM - MONTAGEM. AF_06/2017</v>
          </cell>
          <cell r="H46">
            <v>381.13000000000005</v>
          </cell>
        </row>
        <row r="47">
          <cell r="B47" t="str">
            <v>ARMAÇÃO DE BLOCO, VIGA BALDRAME OU SAPATA UTILIZANDO AÇO CA-50 DE 16 MM - MONTAGEM. AF_06/2017</v>
          </cell>
          <cell r="H47">
            <v>92.470799999999997</v>
          </cell>
        </row>
        <row r="48">
          <cell r="B48" t="str">
            <v>ARMAÇÃO DE BLOCO, VIGA BALDRAME OU SAPATA UTILIZANDO AÇO CA-50 DE 20 MM - MONTAGEM. AF_06/2017</v>
          </cell>
          <cell r="H48">
            <v>0</v>
          </cell>
        </row>
        <row r="49">
          <cell r="B49" t="str">
            <v>FABRICAÇÃO, MONTAGEM E DESMONTAGEM DE FÔRMA PARA SAPATA, EM CHAPA DE MADEIRA COMPENSADA RESINADA, E=17 MM, 2 UTILIZAÇÕES. AF_06/2017</v>
          </cell>
          <cell r="H49">
            <v>82.200000000000017</v>
          </cell>
        </row>
        <row r="50">
          <cell r="H50">
            <v>0</v>
          </cell>
        </row>
        <row r="51">
          <cell r="H51">
            <v>0</v>
          </cell>
        </row>
        <row r="52">
          <cell r="H52">
            <v>0</v>
          </cell>
        </row>
        <row r="53">
          <cell r="B53" t="str">
            <v>SUPERESTRUTURA</v>
          </cell>
        </row>
        <row r="54">
          <cell r="B54" t="str">
            <v>CONCRETO USINADO BOMBEAVEL, CLASSE DE RESISTENCIA C40, COM BRITA 0 E 1, SLUMP = 100 +/- 20 MM, INCLUI SERVICO DE BOMBEAMENTO (NBR 8953)</v>
          </cell>
          <cell r="H54">
            <v>5.4799999999999995</v>
          </cell>
        </row>
        <row r="55">
          <cell r="B55" t="str">
            <v>LANÇAMENTO COM USO DE BOMBA, ADENSAMENTO E ACABAMENTO DE CONCRETO EM ESTRUTURAS. AF_02/2022</v>
          </cell>
          <cell r="H55">
            <v>5.4799999999999995</v>
          </cell>
        </row>
        <row r="67">
          <cell r="B67" t="str">
            <v>MONTAGEM E DESMONTAGEM DE FÔRMA DE PILARES RETANGULARES E ESTRUTURAS SIMILARES, PÉ-DIREITO SIMPLES, EM CHAPA DE MADEIRA COMPENSADA RESINADA, 4 UTILIZAÇÕES. AF_09/2020</v>
          </cell>
          <cell r="H67">
            <v>77.464999999999975</v>
          </cell>
        </row>
        <row r="355">
          <cell r="B355" t="str">
            <v>PEDRA ARGAMASSADA COM CIMENTO E AREIA 1:3, 40% DE ARGAMASSA EM VOLUME - AREIA E PEDRA DE MÃO COMERCIAIS - FORNECIMENTO E ASSENTAMENTO. AF_08/2022</v>
          </cell>
          <cell r="H355">
            <v>58.121700000000004</v>
          </cell>
        </row>
        <row r="356">
          <cell r="H356">
            <v>58.73</v>
          </cell>
        </row>
        <row r="357">
          <cell r="B357" t="str">
            <v>REATERRO MANUAL DE VALAS COM COMPACTAÇÃO MECANIZADA. AF_04/2016</v>
          </cell>
          <cell r="H357">
            <v>20.239999999999998</v>
          </cell>
        </row>
        <row r="358">
          <cell r="H358">
            <v>84.24</v>
          </cell>
        </row>
        <row r="359">
          <cell r="H359">
            <v>37.44</v>
          </cell>
        </row>
        <row r="360">
          <cell r="B360" t="str">
            <v>ALVENARIA DE TIJOLO CERÂMICO FURADO (9x19x19)cm C/ARGAMASSA MISTA DE CAL HIDRATADA ESP=20 cm</v>
          </cell>
          <cell r="H360">
            <v>69.23</v>
          </cell>
        </row>
        <row r="361">
          <cell r="B361" t="str">
            <v>ALVENARIA DE VEDAÇÃO DE BLOCOS CERÂMICOS FURADOS NA HORIZONTAL DE 9X19X19 CM (ESPESSURA 9 CM) E ARGAMASSA DE ASSENTAMENTO COM PREPARO EM BETONEIRA. AF_12/2021</v>
          </cell>
          <cell r="H361">
            <v>384.81</v>
          </cell>
        </row>
        <row r="362">
          <cell r="H362">
            <v>62.4</v>
          </cell>
        </row>
        <row r="363">
          <cell r="B363" t="str">
            <v>FABRICAÇÃO, MONTAGEM E DESMONTAGEM DE FÔRMA PARA VIGA BALDRAME, EM CHAPA DE MADEIRA COMPENSADA RESINADA, E=17 MM, 4 UTILIZAÇÕES. AF_06/2017</v>
          </cell>
          <cell r="H363">
            <v>52.5</v>
          </cell>
        </row>
        <row r="364">
          <cell r="B364" t="str">
            <v>MONTAGEM E DESMONTAGEM DE FÔRMA DE PILARES RETANGULARES E ESTRUTURAS SIMILARES, PÉ-DIREITO SIMPLES, EM CHAPA DE MADEIRA COMPENSADA RESINADA, 6 UTILIZAÇÕES. AF_09/2020</v>
          </cell>
          <cell r="H364">
            <v>136.56</v>
          </cell>
        </row>
        <row r="365">
          <cell r="B365" t="str">
            <v>MONTAGEM E DESMONTAGEM DE FÔRMA DE VIGA, ESCORAMENTO METÁLICO, PÉ-DIREITO SIMPLES, EM CHAPA DE MADEIRA RESINADA, 6 UTILIZAÇÕES. AF_09/2020</v>
          </cell>
          <cell r="H365">
            <v>0</v>
          </cell>
        </row>
        <row r="366">
          <cell r="B366" t="str">
            <v>ARMAÇÃO DE PILAR OU VIGA DE ESTRUTURA CONVENCIONAL DE CONCRETO ARMADO UTILIZANDO AÇO CA-60 DE 5,0 MM - MONTAGEM. AF_06/2022</v>
          </cell>
          <cell r="H366">
            <v>352.14</v>
          </cell>
        </row>
        <row r="367">
          <cell r="H367">
            <v>611.6</v>
          </cell>
        </row>
        <row r="368">
          <cell r="B368" t="str">
            <v>ARMAÇÃO DE PILAR OU VIGA DE ESTRUTURA CONVENCIONAL DE CONCRETO ARMADO UTILIZANDO AÇO CA-50 DE 10,0 MM - MONTAGEM. AF_06/2022</v>
          </cell>
          <cell r="H368">
            <v>813.95</v>
          </cell>
        </row>
        <row r="369">
          <cell r="B369" t="str">
            <v>CONCRETO FCK = 20MPA, TRAÇO 1:2,7:3 (EM MASSA SECA DE CIMENTO/ AREIA MÉDIA/ BRITA 1) - PREPARO MECÂNICO COM BETONEIRA 400 L. AF_05/2021</v>
          </cell>
          <cell r="H369">
            <v>19.61</v>
          </cell>
        </row>
        <row r="370">
          <cell r="B370" t="str">
            <v>LANÇAMENTO COM USO DE BALDES, ADENSAMENTO E ACABAMENTO DE CONCRETO EM ESTRUTURAS. AF_02/2022</v>
          </cell>
          <cell r="H370">
            <v>19.61</v>
          </cell>
        </row>
        <row r="371">
          <cell r="B371" t="str">
            <v>Grade em metalon</v>
          </cell>
          <cell r="H371">
            <v>0</v>
          </cell>
        </row>
      </sheetData>
      <sheetData sheetId="5">
        <row r="7">
          <cell r="H7">
            <v>188.76</v>
          </cell>
        </row>
        <row r="14">
          <cell r="H14">
            <v>133.91999999999999</v>
          </cell>
        </row>
        <row r="80">
          <cell r="H80">
            <v>87.14</v>
          </cell>
        </row>
        <row r="148">
          <cell r="H148">
            <v>103.36999999999998</v>
          </cell>
        </row>
        <row r="200">
          <cell r="H200">
            <v>46.779999999999987</v>
          </cell>
        </row>
        <row r="259">
          <cell r="H259">
            <v>41.829999999999984</v>
          </cell>
        </row>
        <row r="313">
          <cell r="H313">
            <v>89.811003333333346</v>
          </cell>
        </row>
        <row r="381">
          <cell r="H381">
            <v>1205.0873800000002</v>
          </cell>
        </row>
        <row r="485">
          <cell r="H485">
            <v>381.13000000000005</v>
          </cell>
        </row>
        <row r="520">
          <cell r="H520">
            <v>92.470799999999997</v>
          </cell>
        </row>
        <row r="530">
          <cell r="H530">
            <v>0</v>
          </cell>
        </row>
        <row r="536">
          <cell r="I536">
            <v>82.200000000000017</v>
          </cell>
        </row>
        <row r="592">
          <cell r="H592">
            <v>5.4799999999999995</v>
          </cell>
        </row>
        <row r="658">
          <cell r="H658">
            <v>5.4799999999999995</v>
          </cell>
        </row>
        <row r="724">
          <cell r="I724">
            <v>77.464999999999975</v>
          </cell>
        </row>
        <row r="796">
          <cell r="H796">
            <v>14.911700000000003</v>
          </cell>
        </row>
        <row r="811">
          <cell r="H811">
            <v>7.2099999999999991</v>
          </cell>
        </row>
        <row r="821">
          <cell r="H821">
            <v>21.300000000000004</v>
          </cell>
        </row>
        <row r="827">
          <cell r="H827">
            <v>384.81</v>
          </cell>
        </row>
        <row r="837">
          <cell r="H837">
            <v>52.5</v>
          </cell>
        </row>
        <row r="845">
          <cell r="H845">
            <v>103.52000000000001</v>
          </cell>
        </row>
        <row r="870">
          <cell r="H870">
            <v>182.48999999999998</v>
          </cell>
        </row>
        <row r="881">
          <cell r="H881">
            <v>211.0200000000001</v>
          </cell>
        </row>
        <row r="889">
          <cell r="H889">
            <v>5.6899999999999995</v>
          </cell>
        </row>
        <row r="900">
          <cell r="H900">
            <v>5.6899999999999995</v>
          </cell>
        </row>
      </sheetData>
      <sheetData sheetId="6">
        <row r="17">
          <cell r="G17">
            <v>6</v>
          </cell>
        </row>
        <row r="18">
          <cell r="G18">
            <v>10</v>
          </cell>
        </row>
        <row r="19">
          <cell r="G19">
            <v>7</v>
          </cell>
        </row>
        <row r="20">
          <cell r="G20">
            <v>188.76</v>
          </cell>
        </row>
        <row r="21">
          <cell r="G21">
            <v>3729.02</v>
          </cell>
        </row>
        <row r="23">
          <cell r="G23">
            <v>0.79</v>
          </cell>
        </row>
        <row r="24">
          <cell r="G24">
            <v>0.79</v>
          </cell>
        </row>
        <row r="25">
          <cell r="G25">
            <v>0.79</v>
          </cell>
        </row>
        <row r="27">
          <cell r="G27">
            <v>0</v>
          </cell>
        </row>
        <row r="28">
          <cell r="G28">
            <v>0</v>
          </cell>
        </row>
        <row r="29">
          <cell r="G29">
            <v>0</v>
          </cell>
        </row>
        <row r="30">
          <cell r="G30">
            <v>0</v>
          </cell>
        </row>
        <row r="31">
          <cell r="G31">
            <v>0</v>
          </cell>
        </row>
        <row r="32">
          <cell r="G32">
            <v>473.35</v>
          </cell>
        </row>
        <row r="33">
          <cell r="G33">
            <v>1568.3000000000002</v>
          </cell>
        </row>
        <row r="34">
          <cell r="G34">
            <v>1481.16</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0</v>
          </cell>
        </row>
        <row r="52">
          <cell r="G52">
            <v>8.7099999999999991</v>
          </cell>
        </row>
        <row r="53">
          <cell r="G53">
            <v>8.7099999999999991</v>
          </cell>
        </row>
        <row r="54">
          <cell r="G54">
            <v>129.88999999999999</v>
          </cell>
        </row>
        <row r="55">
          <cell r="G55">
            <v>0</v>
          </cell>
        </row>
        <row r="56">
          <cell r="G56">
            <v>0</v>
          </cell>
        </row>
        <row r="57">
          <cell r="G57">
            <v>320.25</v>
          </cell>
        </row>
        <row r="58">
          <cell r="G58">
            <v>0</v>
          </cell>
        </row>
        <row r="59">
          <cell r="G59">
            <v>0</v>
          </cell>
        </row>
        <row r="60">
          <cell r="G60">
            <v>0</v>
          </cell>
        </row>
        <row r="61">
          <cell r="G61">
            <v>0</v>
          </cell>
        </row>
        <row r="62">
          <cell r="G62">
            <v>0</v>
          </cell>
        </row>
        <row r="63">
          <cell r="G63">
            <v>0</v>
          </cell>
        </row>
        <row r="64">
          <cell r="G64">
            <v>0</v>
          </cell>
        </row>
        <row r="65">
          <cell r="G65">
            <v>142.44499999999999</v>
          </cell>
        </row>
        <row r="66">
          <cell r="G66">
            <v>0</v>
          </cell>
        </row>
        <row r="68">
          <cell r="G68">
            <v>311.45999999999998</v>
          </cell>
        </row>
        <row r="69">
          <cell r="G69">
            <v>0</v>
          </cell>
        </row>
        <row r="70">
          <cell r="G70">
            <v>0</v>
          </cell>
        </row>
        <row r="71">
          <cell r="G71">
            <v>0</v>
          </cell>
        </row>
        <row r="72">
          <cell r="G72">
            <v>0</v>
          </cell>
        </row>
        <row r="73">
          <cell r="G73">
            <v>0</v>
          </cell>
        </row>
        <row r="74">
          <cell r="G74">
            <v>19.96</v>
          </cell>
        </row>
        <row r="75">
          <cell r="G75">
            <v>0</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0</v>
          </cell>
        </row>
        <row r="106">
          <cell r="G106">
            <v>0</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0</v>
          </cell>
        </row>
        <row r="192">
          <cell r="G192">
            <v>0</v>
          </cell>
        </row>
        <row r="193">
          <cell r="G193">
            <v>0</v>
          </cell>
        </row>
        <row r="194">
          <cell r="G194">
            <v>0</v>
          </cell>
        </row>
        <row r="195">
          <cell r="G195">
            <v>0</v>
          </cell>
        </row>
        <row r="196">
          <cell r="G196">
            <v>0</v>
          </cell>
        </row>
        <row r="197">
          <cell r="G197">
            <v>0</v>
          </cell>
        </row>
        <row r="198">
          <cell r="G198">
            <v>0</v>
          </cell>
        </row>
        <row r="199">
          <cell r="G199">
            <v>0</v>
          </cell>
        </row>
        <row r="201">
          <cell r="G201">
            <v>0</v>
          </cell>
        </row>
        <row r="202">
          <cell r="G202">
            <v>0</v>
          </cell>
        </row>
        <row r="203">
          <cell r="G203">
            <v>0</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0</v>
          </cell>
        </row>
        <row r="364">
          <cell r="G364">
            <v>352.14</v>
          </cell>
        </row>
        <row r="365">
          <cell r="G365">
            <v>611.6</v>
          </cell>
        </row>
        <row r="366">
          <cell r="G366">
            <v>813.95</v>
          </cell>
        </row>
        <row r="367">
          <cell r="G367">
            <v>19.61</v>
          </cell>
        </row>
        <row r="368">
          <cell r="G368">
            <v>19.61</v>
          </cell>
        </row>
        <row r="369">
          <cell r="G369">
            <v>0</v>
          </cell>
        </row>
      </sheetData>
      <sheetData sheetId="7">
        <row r="11">
          <cell r="E11">
            <v>0.19000000000000006</v>
          </cell>
        </row>
        <row r="12">
          <cell r="E12">
            <v>0.79</v>
          </cell>
        </row>
        <row r="13">
          <cell r="E13">
            <v>0.19000000000000006</v>
          </cell>
        </row>
        <row r="26">
          <cell r="E26">
            <v>34.5</v>
          </cell>
        </row>
        <row r="27">
          <cell r="E27">
            <v>34.5</v>
          </cell>
        </row>
        <row r="28">
          <cell r="E28">
            <v>464</v>
          </cell>
        </row>
        <row r="29">
          <cell r="E29">
            <v>261</v>
          </cell>
        </row>
        <row r="30">
          <cell r="E30">
            <v>414</v>
          </cell>
        </row>
        <row r="31">
          <cell r="E31">
            <v>49.910000000000082</v>
          </cell>
        </row>
        <row r="32">
          <cell r="E32">
            <v>40.870000000000005</v>
          </cell>
        </row>
        <row r="33">
          <cell r="E33">
            <v>45.53</v>
          </cell>
        </row>
        <row r="34">
          <cell r="E34">
            <v>84</v>
          </cell>
        </row>
        <row r="36">
          <cell r="E36">
            <v>339.01</v>
          </cell>
        </row>
        <row r="37">
          <cell r="E37">
            <v>99</v>
          </cell>
        </row>
        <row r="40">
          <cell r="E40">
            <v>3.23</v>
          </cell>
        </row>
        <row r="41">
          <cell r="E41">
            <v>3.23</v>
          </cell>
        </row>
        <row r="42">
          <cell r="E42">
            <v>129.88999999999999</v>
          </cell>
        </row>
        <row r="45">
          <cell r="E45">
            <v>320.25</v>
          </cell>
        </row>
        <row r="53">
          <cell r="E53">
            <v>64.98</v>
          </cell>
        </row>
        <row r="56">
          <cell r="E56">
            <v>311.45999999999998</v>
          </cell>
        </row>
        <row r="62">
          <cell r="E62">
            <v>19.96</v>
          </cell>
        </row>
        <row r="64">
          <cell r="E64">
            <v>10.5</v>
          </cell>
        </row>
      </sheetData>
      <sheetData sheetId="8"/>
      <sheetData sheetId="9">
        <row r="6">
          <cell r="E6">
            <v>5</v>
          </cell>
        </row>
        <row r="7">
          <cell r="E7">
            <v>3</v>
          </cell>
        </row>
        <row r="8">
          <cell r="E8">
            <v>126.68</v>
          </cell>
        </row>
        <row r="38">
          <cell r="E38">
            <v>339.01</v>
          </cell>
        </row>
        <row r="50">
          <cell r="E50">
            <v>82.86</v>
          </cell>
        </row>
        <row r="63">
          <cell r="E63">
            <v>19.96</v>
          </cell>
        </row>
        <row r="93">
          <cell r="E93">
            <v>1034.58</v>
          </cell>
        </row>
        <row r="94">
          <cell r="E94">
            <v>311.45999999999998</v>
          </cell>
        </row>
        <row r="179">
          <cell r="E179">
            <v>18.11</v>
          </cell>
        </row>
        <row r="183">
          <cell r="E183">
            <v>17</v>
          </cell>
        </row>
        <row r="191">
          <cell r="E191">
            <v>3</v>
          </cell>
        </row>
        <row r="351">
          <cell r="E351">
            <v>60.81</v>
          </cell>
        </row>
        <row r="352">
          <cell r="E352">
            <v>90.28</v>
          </cell>
        </row>
        <row r="355">
          <cell r="E355">
            <v>5.25</v>
          </cell>
        </row>
        <row r="356">
          <cell r="E356">
            <v>5.25</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ROGRAMAÇÃO 01"/>
      <sheetName val="MEMORIAL DE CÁLCULOS"/>
      <sheetName val="Composições"/>
      <sheetName val="CRONOGRAMA"/>
      <sheetName val="PREÇOS NOVOS"/>
    </sheetNames>
    <sheetDataSet>
      <sheetData sheetId="0">
        <row r="1">
          <cell r="A1" t="str">
            <v>ESTADO DA PARAÍBA</v>
          </cell>
        </row>
        <row r="2">
          <cell r="A2" t="str">
            <v>PREFEITURA MUNICIPAL DE SOUSA</v>
          </cell>
        </row>
        <row r="22">
          <cell r="E22" t="str">
            <v>M³</v>
          </cell>
        </row>
        <row r="26">
          <cell r="E26" t="str">
            <v>M²</v>
          </cell>
        </row>
        <row r="29">
          <cell r="E29" t="str">
            <v>M³</v>
          </cell>
        </row>
        <row r="30">
          <cell r="E30" t="str">
            <v>M²</v>
          </cell>
        </row>
        <row r="32">
          <cell r="E32" t="str">
            <v>M³</v>
          </cell>
        </row>
        <row r="37">
          <cell r="E37" t="str">
            <v>M²</v>
          </cell>
        </row>
        <row r="44">
          <cell r="A44" t="str">
            <v>1.5.8</v>
          </cell>
        </row>
        <row r="45">
          <cell r="A45" t="str">
            <v>1.5.9</v>
          </cell>
        </row>
        <row r="47">
          <cell r="A47" t="str">
            <v>1.6.1</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çamento"/>
      <sheetName val="REPROGRAMAÇÃO"/>
      <sheetName val="Itens Novos"/>
      <sheetName val="Memorial"/>
      <sheetName val="M"/>
      <sheetName val="CPU"/>
    </sheetNames>
    <sheetDataSet>
      <sheetData sheetId="0"/>
      <sheetData sheetId="1"/>
      <sheetData sheetId="2">
        <row r="7">
          <cell r="D7" t="str">
            <v>PEDRA ARGAMASSADA COM CIMENTO E AREIA 1:3, 40% DE ARGAMASSA EM VOLUME - AREIA E PEDRA DE MÃO COMERCIAIS - FORNECIMENTO E ASSENTAMENTO. AF_08/2022</v>
          </cell>
          <cell r="E7" t="str">
            <v>M3</v>
          </cell>
        </row>
        <row r="8">
          <cell r="D8" t="str">
            <v>ESCAVAÇÃO MECANIZADA DE VALA COM PROFUNDIDADE ATÉ 1,5 M (MÉDIA MONTANTE E JUSANTE/UMA COMPOSIÇÃO POR TRECHO), RETROESCAV. (0,26 M3), LARGURA DE 0,8 M A 1,5 M, EM SOLO DE 1A CATEGORIA, LOCAIS COM BAIXO NÍVEL DE
INTERFERÊNCIA. AF_02/2021</v>
          </cell>
        </row>
        <row r="9">
          <cell r="D9" t="str">
            <v>REATERRO MANUAL DE VALAS COM COMPACTAÇÃO MECANIZADA. AF_04/2016</v>
          </cell>
        </row>
        <row r="10">
          <cell r="D10" t="str">
            <v>PREPARO DE FUNDO DE VALA COM LARGURA MENOR QUE 1,5 M (ACERTO DO SOLO NATURAL). AF_08/2020</v>
          </cell>
        </row>
        <row r="11">
          <cell r="D11" t="str">
            <v>LASTRO DE CONCRETO MAGRO, APLICADO EM PISOS, LAJES SOBRE SOLO OU RADIERS, ESPESSURA DE 5 CM. AF_07/2016</v>
          </cell>
        </row>
        <row r="12">
          <cell r="D12" t="str">
            <v>ALVENARIA DE TIJOLO CERÂMICO FURADO (9x19x19)cm C/ARGAMASSA MISTA DE CAL HIDRATADA ESP=20 cm</v>
          </cell>
        </row>
        <row r="13">
          <cell r="D13" t="str">
            <v>ALVENARIA DE VEDAÇÃO DE BLOCOS CERÂMICOS FURADOS NA HORIZONTAL DE 9X19X19 CM (ESPESSURA 9 CM) E ARGAMASSA DE ASSENTAMENTO COM PREPARO EM BETONEIRA. AF_12/2021</v>
          </cell>
        </row>
        <row r="14">
          <cell r="D14" t="str">
            <v>FABRICAÇÃO, MONTAGEM E DESMONTAGEM DE FÔRMA PARA SAPATA, EM CHAPA DE MADEIRA COMPENSADA RESINADA, E=17 MM, 4 UTILIZAÇÕES. AF_06/2017</v>
          </cell>
        </row>
        <row r="15">
          <cell r="D15" t="str">
            <v>FABRICAÇÃO, MONTAGEM E DESMONTAGEM DE FÔRMA PARA VIGA BALDRAME, EM CHAPA DE MADEIRA COMPENSADA RESINADA, E=17 MM, 4 UTILIZAÇÕES. AF_06/2017</v>
          </cell>
        </row>
        <row r="16">
          <cell r="D16" t="str">
            <v>MONTAGEM E DESMONTAGEM DE FÔRMA DE PILARES RETANGULARES E ESTRUTURAS SIMILARES, PÉ-DIREITO SIMPLES, EM CHAPA DE MADEIRA COMPENSADA RESINADA, 6 UTILIZAÇÕES. AF_09/2020</v>
          </cell>
        </row>
        <row r="17">
          <cell r="D17" t="str">
            <v>MONTAGEM E DESMONTAGEM DE FÔRMA DE VIGA, ESCORAMENTO METÁLICO, PÉ-DIREITO SIMPLES, EM CHAPA DE MADEIRA RESINADA, 6 UTILIZAÇÕES. AF_09/2020</v>
          </cell>
        </row>
        <row r="18">
          <cell r="D18" t="str">
            <v>ARMAÇÃO DE PILAR OU VIGA DE ESTRUTURA CONVENCIONAL DE CONCRETO ARMADO UTILIZANDO AÇO CA-60 DE 5,0 MM - MONTAGEM. AF_06/2022</v>
          </cell>
        </row>
        <row r="19">
          <cell r="D19" t="str">
            <v>ARMAÇÃO DE PILAR OU VIGA DE ESTRUTURA CONVENCIONAL DE CONCRETO ARMADO UTILIZANDO AÇO CA-50 DE 8,0 MM - MONTAGEM. AF_06/2022</v>
          </cell>
        </row>
        <row r="20">
          <cell r="D20" t="str">
            <v>ARMAÇÃO DE PILAR OU VIGA DE ESTRUTURA CONVENCIONAL DE CONCRETO ARMADO UTILIZANDO AÇO CA-50 DE 10,0 MM - MONTAGEM. AF_06/2022</v>
          </cell>
        </row>
        <row r="21">
          <cell r="D21" t="str">
            <v>CONCRETO FCK = 20MPA, TRAÇO 1:2,7:3 (EM MASSA SECA DE CIMENTO/ AREIA MÉDIA/ BRITA 1) - PREPARO MECÂNICO COM BETONEIRA 400 L. AF_05/2021</v>
          </cell>
        </row>
        <row r="22">
          <cell r="D22" t="str">
            <v>LANÇAMENTO COM USO DE BALDES, ADENSAMENTO E ACABAMENTO DE CONCRETO EM ESTRUTURAS. AF_02/2022</v>
          </cell>
          <cell r="E22" t="str">
            <v>M3</v>
          </cell>
        </row>
        <row r="23">
          <cell r="D23" t="str">
            <v>Grade em metalon</v>
          </cell>
        </row>
        <row r="25">
          <cell r="D25" t="str">
            <v>ESCAVAÇÃO VERTICAL A CÉU ABERTO, EM OBRAS DE EDIFICAÇÃO, INCLUINDO CARGA, DESCARGA E TRANSPORTE, EM SOLO DE 1ª CATEGORIA COM ESCAVADEIRA HIDRÁULICA (CAÇAMBA: 0,8 M³ / 111 HP), FROTA DE 4 CAMINHÕES BASCULANTES D
E 14 M³, DMT DE 2 KM E VELOCIDADE MÉDIA 19KM/H. AF_05/2020</v>
          </cell>
        </row>
        <row r="26">
          <cell r="D26" t="str">
            <v>ATERRO C/COMPACTAÇÃO MECÂNICA E CONTROLE, MAT. DE AQUISIÇÃO</v>
          </cell>
        </row>
        <row r="27">
          <cell r="D27" t="str">
            <v>Aterro de áreas sem aquisição de material, com espalhamento mecânico, sem compactação e sem transporte</v>
          </cell>
        </row>
      </sheetData>
      <sheetData sheetId="3"/>
      <sheetData sheetId="4"/>
      <sheetData sheetId="5"/>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1"/>
  <sheetViews>
    <sheetView view="pageBreakPreview" zoomScaleNormal="100" zoomScaleSheetLayoutView="100" workbookViewId="0">
      <selection activeCell="D2" sqref="D2"/>
    </sheetView>
  </sheetViews>
  <sheetFormatPr defaultRowHeight="15" x14ac:dyDescent="0.25"/>
  <cols>
    <col min="1" max="1" width="6.140625" bestFit="1" customWidth="1"/>
    <col min="2" max="2" width="11.28515625" bestFit="1" customWidth="1"/>
    <col min="3" max="3" width="7.140625" bestFit="1" customWidth="1"/>
    <col min="4" max="4" width="66.7109375" bestFit="1" customWidth="1"/>
    <col min="5" max="5" width="8.85546875" bestFit="1" customWidth="1"/>
    <col min="6" max="10" width="14.42578125" bestFit="1" customWidth="1"/>
  </cols>
  <sheetData>
    <row r="1" spans="1:10" x14ac:dyDescent="0.25">
      <c r="A1" s="1"/>
      <c r="B1" s="1"/>
      <c r="C1" s="1"/>
      <c r="D1" s="1" t="s">
        <v>0</v>
      </c>
      <c r="E1" s="170" t="s">
        <v>1</v>
      </c>
      <c r="F1" s="170"/>
      <c r="G1" s="170" t="s">
        <v>2</v>
      </c>
      <c r="H1" s="170"/>
      <c r="I1" s="170" t="s">
        <v>3</v>
      </c>
      <c r="J1" s="170"/>
    </row>
    <row r="2" spans="1:10" ht="69.599999999999994" customHeight="1" x14ac:dyDescent="0.25">
      <c r="A2" s="2"/>
      <c r="B2" s="2"/>
      <c r="C2" s="2"/>
      <c r="D2" s="2" t="s">
        <v>64</v>
      </c>
      <c r="E2" s="171" t="s">
        <v>4</v>
      </c>
      <c r="F2" s="171"/>
      <c r="G2" s="171" t="s">
        <v>5</v>
      </c>
      <c r="H2" s="171"/>
      <c r="I2" s="171" t="s">
        <v>6</v>
      </c>
      <c r="J2" s="171"/>
    </row>
    <row r="3" spans="1:10" x14ac:dyDescent="0.25">
      <c r="A3" s="174" t="s">
        <v>65</v>
      </c>
      <c r="B3" s="175"/>
      <c r="C3" s="175"/>
      <c r="D3" s="175"/>
      <c r="E3" s="175"/>
      <c r="F3" s="175"/>
      <c r="G3" s="175"/>
      <c r="H3" s="175"/>
      <c r="I3" s="175"/>
      <c r="J3" s="175"/>
    </row>
    <row r="4" spans="1:10" ht="30" x14ac:dyDescent="0.25">
      <c r="A4" s="3" t="s">
        <v>7</v>
      </c>
      <c r="B4" s="4" t="s">
        <v>66</v>
      </c>
      <c r="C4" s="3" t="s">
        <v>67</v>
      </c>
      <c r="D4" s="3" t="s">
        <v>8</v>
      </c>
      <c r="E4" s="12" t="s">
        <v>68</v>
      </c>
      <c r="F4" s="4" t="s">
        <v>69</v>
      </c>
      <c r="G4" s="4" t="s">
        <v>70</v>
      </c>
      <c r="H4" s="4" t="s">
        <v>71</v>
      </c>
      <c r="I4" s="4" t="s">
        <v>9</v>
      </c>
      <c r="J4" s="4" t="s">
        <v>10</v>
      </c>
    </row>
    <row r="5" spans="1:10" x14ac:dyDescent="0.25">
      <c r="A5" s="5" t="s">
        <v>11</v>
      </c>
      <c r="B5" s="5"/>
      <c r="C5" s="5"/>
      <c r="D5" s="5" t="s">
        <v>12</v>
      </c>
      <c r="E5" s="5"/>
      <c r="F5" s="13"/>
      <c r="G5" s="5"/>
      <c r="H5" s="5"/>
      <c r="I5" s="6">
        <v>49589.65</v>
      </c>
      <c r="J5" s="7">
        <v>4.8968736218496702E-3</v>
      </c>
    </row>
    <row r="6" spans="1:10" ht="38.25" x14ac:dyDescent="0.25">
      <c r="A6" s="14" t="s">
        <v>72</v>
      </c>
      <c r="B6" s="15" t="s">
        <v>73</v>
      </c>
      <c r="C6" s="14" t="s">
        <v>74</v>
      </c>
      <c r="D6" s="14" t="s">
        <v>75</v>
      </c>
      <c r="E6" s="16" t="s">
        <v>76</v>
      </c>
      <c r="F6" s="17">
        <v>6</v>
      </c>
      <c r="G6" s="17">
        <v>384.46</v>
      </c>
      <c r="H6" s="17">
        <v>481.42</v>
      </c>
      <c r="I6" s="17">
        <f>F6*H6</f>
        <v>2888.52</v>
      </c>
      <c r="J6" s="18">
        <v>2.8523527377558039E-4</v>
      </c>
    </row>
    <row r="7" spans="1:10" ht="25.5" x14ac:dyDescent="0.25">
      <c r="A7" s="19" t="s">
        <v>77</v>
      </c>
      <c r="B7" s="20" t="s">
        <v>78</v>
      </c>
      <c r="C7" s="19" t="s">
        <v>74</v>
      </c>
      <c r="D7" s="19" t="s">
        <v>79</v>
      </c>
      <c r="E7" s="21" t="s">
        <v>76</v>
      </c>
      <c r="F7" s="22">
        <v>15</v>
      </c>
      <c r="G7" s="22">
        <v>821.49</v>
      </c>
      <c r="H7" s="22">
        <v>1028.6600000000001</v>
      </c>
      <c r="I7" s="22">
        <v>15429.9</v>
      </c>
      <c r="J7" s="23">
        <v>1.5236701670162671E-3</v>
      </c>
    </row>
    <row r="8" spans="1:10" ht="25.5" x14ac:dyDescent="0.25">
      <c r="A8" s="19" t="s">
        <v>80</v>
      </c>
      <c r="B8" s="20" t="s">
        <v>81</v>
      </c>
      <c r="C8" s="19" t="s">
        <v>74</v>
      </c>
      <c r="D8" s="19" t="s">
        <v>82</v>
      </c>
      <c r="E8" s="21" t="s">
        <v>76</v>
      </c>
      <c r="F8" s="22">
        <v>10</v>
      </c>
      <c r="G8" s="22">
        <v>937.94</v>
      </c>
      <c r="H8" s="22">
        <v>1174.48</v>
      </c>
      <c r="I8" s="22">
        <v>11744.8</v>
      </c>
      <c r="J8" s="23">
        <v>1.1597742939081039E-3</v>
      </c>
    </row>
    <row r="9" spans="1:10" ht="38.25" x14ac:dyDescent="0.25">
      <c r="A9" s="19" t="s">
        <v>83</v>
      </c>
      <c r="B9" s="20" t="s">
        <v>84</v>
      </c>
      <c r="C9" s="19" t="s">
        <v>74</v>
      </c>
      <c r="D9" s="19" t="s">
        <v>85</v>
      </c>
      <c r="E9" s="21" t="s">
        <v>86</v>
      </c>
      <c r="F9" s="22">
        <v>315.44</v>
      </c>
      <c r="G9" s="22">
        <v>45.85</v>
      </c>
      <c r="H9" s="22">
        <v>57.41</v>
      </c>
      <c r="I9" s="22">
        <v>18109.41</v>
      </c>
      <c r="J9" s="23">
        <v>1.7882661429604895E-3</v>
      </c>
    </row>
    <row r="10" spans="1:10" ht="38.25" x14ac:dyDescent="0.25">
      <c r="A10" s="19" t="s">
        <v>87</v>
      </c>
      <c r="B10" s="20" t="s">
        <v>88</v>
      </c>
      <c r="C10" s="19" t="s">
        <v>74</v>
      </c>
      <c r="D10" s="19" t="s">
        <v>89</v>
      </c>
      <c r="E10" s="21" t="s">
        <v>76</v>
      </c>
      <c r="F10" s="22">
        <v>3729</v>
      </c>
      <c r="G10" s="22">
        <v>0.31</v>
      </c>
      <c r="H10" s="22">
        <v>0.38</v>
      </c>
      <c r="I10" s="22">
        <v>1417.02</v>
      </c>
      <c r="J10" s="23">
        <v>1.399277441892294E-4</v>
      </c>
    </row>
    <row r="11" spans="1:10" x14ac:dyDescent="0.25">
      <c r="A11" s="5" t="s">
        <v>13</v>
      </c>
      <c r="B11" s="5"/>
      <c r="C11" s="5"/>
      <c r="D11" s="5" t="s">
        <v>14</v>
      </c>
      <c r="E11" s="5"/>
      <c r="F11" s="6"/>
      <c r="G11" s="24"/>
      <c r="H11" s="24"/>
      <c r="I11" s="6">
        <v>441308.4</v>
      </c>
      <c r="J11" s="7">
        <v>4.3578276173771809E-2</v>
      </c>
    </row>
    <row r="12" spans="1:10" x14ac:dyDescent="0.25">
      <c r="A12" s="14" t="s">
        <v>90</v>
      </c>
      <c r="B12" s="15" t="s">
        <v>91</v>
      </c>
      <c r="C12" s="14" t="s">
        <v>74</v>
      </c>
      <c r="D12" s="14" t="s">
        <v>92</v>
      </c>
      <c r="E12" s="16" t="s">
        <v>93</v>
      </c>
      <c r="F12" s="17">
        <v>15</v>
      </c>
      <c r="G12" s="17">
        <v>3827.34</v>
      </c>
      <c r="H12" s="17">
        <v>4792.59</v>
      </c>
      <c r="I12" s="17">
        <v>71888.850000000006</v>
      </c>
      <c r="J12" s="18">
        <v>7.0988727137640149E-3</v>
      </c>
    </row>
    <row r="13" spans="1:10" x14ac:dyDescent="0.25">
      <c r="A13" s="14" t="s">
        <v>94</v>
      </c>
      <c r="B13" s="15" t="s">
        <v>95</v>
      </c>
      <c r="C13" s="14" t="s">
        <v>74</v>
      </c>
      <c r="D13" s="14" t="s">
        <v>96</v>
      </c>
      <c r="E13" s="16" t="s">
        <v>93</v>
      </c>
      <c r="F13" s="17">
        <v>15</v>
      </c>
      <c r="G13" s="17">
        <v>15278.4</v>
      </c>
      <c r="H13" s="17">
        <v>19131.61</v>
      </c>
      <c r="I13" s="17">
        <v>286974.15000000002</v>
      </c>
      <c r="J13" s="18">
        <v>2.8338093640260228E-2</v>
      </c>
    </row>
    <row r="14" spans="1:10" x14ac:dyDescent="0.25">
      <c r="A14" s="14" t="s">
        <v>97</v>
      </c>
      <c r="B14" s="15" t="s">
        <v>98</v>
      </c>
      <c r="C14" s="14" t="s">
        <v>74</v>
      </c>
      <c r="D14" s="14" t="s">
        <v>99</v>
      </c>
      <c r="E14" s="16" t="s">
        <v>93</v>
      </c>
      <c r="F14" s="17">
        <v>15</v>
      </c>
      <c r="G14" s="17">
        <v>4389.37</v>
      </c>
      <c r="H14" s="17">
        <v>5496.36</v>
      </c>
      <c r="I14" s="17">
        <v>82445.399999999994</v>
      </c>
      <c r="J14" s="18">
        <v>8.1413098197475643E-3</v>
      </c>
    </row>
    <row r="15" spans="1:10" x14ac:dyDescent="0.25">
      <c r="A15" s="5" t="s">
        <v>15</v>
      </c>
      <c r="B15" s="5"/>
      <c r="C15" s="5"/>
      <c r="D15" s="5" t="s">
        <v>16</v>
      </c>
      <c r="E15" s="5"/>
      <c r="F15" s="6"/>
      <c r="G15" s="24"/>
      <c r="H15" s="24"/>
      <c r="I15" s="6">
        <v>581671.04</v>
      </c>
      <c r="J15" s="7">
        <v>5.7438791610141725E-2</v>
      </c>
    </row>
    <row r="16" spans="1:10" ht="25.5" x14ac:dyDescent="0.25">
      <c r="A16" s="19" t="s">
        <v>100</v>
      </c>
      <c r="B16" s="20" t="s">
        <v>101</v>
      </c>
      <c r="C16" s="19" t="s">
        <v>74</v>
      </c>
      <c r="D16" s="19" t="s">
        <v>102</v>
      </c>
      <c r="E16" s="21" t="s">
        <v>103</v>
      </c>
      <c r="F16" s="22">
        <v>210.92</v>
      </c>
      <c r="G16" s="22">
        <v>59.85</v>
      </c>
      <c r="H16" s="22">
        <v>74.94</v>
      </c>
      <c r="I16" s="22">
        <v>15806.34</v>
      </c>
      <c r="J16" s="23">
        <v>1.5608428251457174E-3</v>
      </c>
    </row>
    <row r="17" spans="1:10" ht="25.5" x14ac:dyDescent="0.25">
      <c r="A17" s="19" t="s">
        <v>104</v>
      </c>
      <c r="B17" s="20" t="s">
        <v>105</v>
      </c>
      <c r="C17" s="19" t="s">
        <v>74</v>
      </c>
      <c r="D17" s="19" t="s">
        <v>106</v>
      </c>
      <c r="E17" s="21" t="s">
        <v>103</v>
      </c>
      <c r="F17" s="22">
        <v>124.714</v>
      </c>
      <c r="G17" s="22">
        <v>23.29</v>
      </c>
      <c r="H17" s="22">
        <v>29.16</v>
      </c>
      <c r="I17" s="22">
        <v>3636.66</v>
      </c>
      <c r="J17" s="23">
        <v>3.5911252500543607E-4</v>
      </c>
    </row>
    <row r="18" spans="1:10" ht="63.75" x14ac:dyDescent="0.25">
      <c r="A18" s="19" t="s">
        <v>107</v>
      </c>
      <c r="B18" s="20" t="s">
        <v>108</v>
      </c>
      <c r="C18" s="19" t="s">
        <v>74</v>
      </c>
      <c r="D18" s="19" t="s">
        <v>109</v>
      </c>
      <c r="E18" s="21" t="s">
        <v>103</v>
      </c>
      <c r="F18" s="22">
        <v>853.87</v>
      </c>
      <c r="G18" s="22">
        <v>10.68</v>
      </c>
      <c r="H18" s="22">
        <v>13.37</v>
      </c>
      <c r="I18" s="22">
        <v>11416.24</v>
      </c>
      <c r="J18" s="23">
        <v>1.1273296850593841E-3</v>
      </c>
    </row>
    <row r="19" spans="1:10" ht="51" x14ac:dyDescent="0.25">
      <c r="A19" s="19" t="s">
        <v>110</v>
      </c>
      <c r="B19" s="20" t="s">
        <v>111</v>
      </c>
      <c r="C19" s="19" t="s">
        <v>74</v>
      </c>
      <c r="D19" s="19" t="s">
        <v>112</v>
      </c>
      <c r="E19" s="21" t="s">
        <v>103</v>
      </c>
      <c r="F19" s="22">
        <v>853.87</v>
      </c>
      <c r="G19" s="22">
        <v>7.41</v>
      </c>
      <c r="H19" s="22">
        <v>9.27</v>
      </c>
      <c r="I19" s="22">
        <v>7915.37</v>
      </c>
      <c r="J19" s="23">
        <v>7.8162613690921845E-4</v>
      </c>
    </row>
    <row r="20" spans="1:10" ht="25.5" x14ac:dyDescent="0.25">
      <c r="A20" s="14" t="s">
        <v>113</v>
      </c>
      <c r="B20" s="15" t="s">
        <v>114</v>
      </c>
      <c r="C20" s="14" t="s">
        <v>74</v>
      </c>
      <c r="D20" s="14" t="s">
        <v>115</v>
      </c>
      <c r="E20" s="16" t="s">
        <v>103</v>
      </c>
      <c r="F20" s="17">
        <v>4687.82</v>
      </c>
      <c r="G20" s="17">
        <v>92.49</v>
      </c>
      <c r="H20" s="17">
        <v>115.81</v>
      </c>
      <c r="I20" s="17">
        <v>542896.43000000005</v>
      </c>
      <c r="J20" s="18">
        <v>5.3609880438021972E-2</v>
      </c>
    </row>
    <row r="21" spans="1:10" x14ac:dyDescent="0.25">
      <c r="A21" s="5" t="s">
        <v>17</v>
      </c>
      <c r="B21" s="5"/>
      <c r="C21" s="5"/>
      <c r="D21" s="5" t="s">
        <v>18</v>
      </c>
      <c r="E21" s="5"/>
      <c r="F21" s="6"/>
      <c r="G21" s="24"/>
      <c r="H21" s="24"/>
      <c r="I21" s="6">
        <v>341261.89</v>
      </c>
      <c r="J21" s="7">
        <v>3.3698893766815535E-2</v>
      </c>
    </row>
    <row r="22" spans="1:10" ht="25.5" x14ac:dyDescent="0.25">
      <c r="A22" s="19" t="s">
        <v>116</v>
      </c>
      <c r="B22" s="20" t="s">
        <v>117</v>
      </c>
      <c r="C22" s="19" t="s">
        <v>74</v>
      </c>
      <c r="D22" s="19" t="s">
        <v>118</v>
      </c>
      <c r="E22" s="21" t="s">
        <v>76</v>
      </c>
      <c r="F22" s="22">
        <v>168.17</v>
      </c>
      <c r="G22" s="22">
        <v>25.78</v>
      </c>
      <c r="H22" s="22">
        <v>32.28</v>
      </c>
      <c r="I22" s="22">
        <v>5428.52</v>
      </c>
      <c r="J22" s="23">
        <v>5.36054930689839E-4</v>
      </c>
    </row>
    <row r="23" spans="1:10" ht="38.25" x14ac:dyDescent="0.25">
      <c r="A23" s="14" t="s">
        <v>119</v>
      </c>
      <c r="B23" s="15" t="s">
        <v>120</v>
      </c>
      <c r="C23" s="14" t="s">
        <v>74</v>
      </c>
      <c r="D23" s="14" t="s">
        <v>121</v>
      </c>
      <c r="E23" s="16" t="s">
        <v>103</v>
      </c>
      <c r="F23" s="17">
        <v>86.21</v>
      </c>
      <c r="G23" s="17">
        <v>451.26</v>
      </c>
      <c r="H23" s="17">
        <v>565.05999999999995</v>
      </c>
      <c r="I23" s="17">
        <v>48713.82</v>
      </c>
      <c r="J23" s="18">
        <v>4.8103872517255702E-3</v>
      </c>
    </row>
    <row r="24" spans="1:10" ht="25.5" x14ac:dyDescent="0.25">
      <c r="A24" s="19" t="s">
        <v>122</v>
      </c>
      <c r="B24" s="20" t="s">
        <v>123</v>
      </c>
      <c r="C24" s="19" t="s">
        <v>74</v>
      </c>
      <c r="D24" s="19" t="s">
        <v>124</v>
      </c>
      <c r="E24" s="21" t="s">
        <v>103</v>
      </c>
      <c r="F24" s="22">
        <v>86.21</v>
      </c>
      <c r="G24" s="22">
        <v>29.04</v>
      </c>
      <c r="H24" s="22">
        <v>36.36</v>
      </c>
      <c r="I24" s="22">
        <v>3134.59</v>
      </c>
      <c r="J24" s="23">
        <v>3.0953416864837238E-4</v>
      </c>
    </row>
    <row r="25" spans="1:10" ht="25.5" x14ac:dyDescent="0.25">
      <c r="A25" s="19" t="s">
        <v>125</v>
      </c>
      <c r="B25" s="20" t="s">
        <v>126</v>
      </c>
      <c r="C25" s="19" t="s">
        <v>74</v>
      </c>
      <c r="D25" s="19" t="s">
        <v>127</v>
      </c>
      <c r="E25" s="21" t="s">
        <v>128</v>
      </c>
      <c r="F25" s="22">
        <v>832</v>
      </c>
      <c r="G25" s="22">
        <v>15.63</v>
      </c>
      <c r="H25" s="22">
        <v>19.57</v>
      </c>
      <c r="I25" s="22">
        <v>16282.24</v>
      </c>
      <c r="J25" s="23">
        <v>1.6078369490533928E-3</v>
      </c>
    </row>
    <row r="26" spans="1:10" ht="25.5" x14ac:dyDescent="0.25">
      <c r="A26" s="19" t="s">
        <v>129</v>
      </c>
      <c r="B26" s="20" t="s">
        <v>130</v>
      </c>
      <c r="C26" s="19" t="s">
        <v>74</v>
      </c>
      <c r="D26" s="19" t="s">
        <v>131</v>
      </c>
      <c r="E26" s="21" t="s">
        <v>128</v>
      </c>
      <c r="F26" s="22">
        <v>780</v>
      </c>
      <c r="G26" s="22">
        <v>14.84</v>
      </c>
      <c r="H26" s="22">
        <v>18.579999999999998</v>
      </c>
      <c r="I26" s="22">
        <v>14492.4</v>
      </c>
      <c r="J26" s="23">
        <v>1.4310940141197641E-3</v>
      </c>
    </row>
    <row r="27" spans="1:10" ht="25.5" x14ac:dyDescent="0.25">
      <c r="A27" s="19" t="s">
        <v>132</v>
      </c>
      <c r="B27" s="20" t="s">
        <v>133</v>
      </c>
      <c r="C27" s="19" t="s">
        <v>74</v>
      </c>
      <c r="D27" s="19" t="s">
        <v>134</v>
      </c>
      <c r="E27" s="21" t="s">
        <v>128</v>
      </c>
      <c r="F27" s="22">
        <v>615</v>
      </c>
      <c r="G27" s="22">
        <v>13.97</v>
      </c>
      <c r="H27" s="22">
        <v>17.489999999999998</v>
      </c>
      <c r="I27" s="22">
        <v>10756.35</v>
      </c>
      <c r="J27" s="23">
        <v>1.0621669356888526E-3</v>
      </c>
    </row>
    <row r="28" spans="1:10" ht="25.5" x14ac:dyDescent="0.25">
      <c r="A28" s="19" t="s">
        <v>135</v>
      </c>
      <c r="B28" s="20" t="s">
        <v>136</v>
      </c>
      <c r="C28" s="19" t="s">
        <v>74</v>
      </c>
      <c r="D28" s="19" t="s">
        <v>137</v>
      </c>
      <c r="E28" s="21" t="s">
        <v>128</v>
      </c>
      <c r="F28" s="22">
        <v>1255</v>
      </c>
      <c r="G28" s="22">
        <v>12.57</v>
      </c>
      <c r="H28" s="22">
        <v>15.74</v>
      </c>
      <c r="I28" s="22">
        <v>19753.7</v>
      </c>
      <c r="J28" s="23">
        <v>1.9506363215697597E-3</v>
      </c>
    </row>
    <row r="29" spans="1:10" ht="25.5" x14ac:dyDescent="0.25">
      <c r="A29" s="19" t="s">
        <v>138</v>
      </c>
      <c r="B29" s="20" t="s">
        <v>139</v>
      </c>
      <c r="C29" s="19" t="s">
        <v>74</v>
      </c>
      <c r="D29" s="19" t="s">
        <v>140</v>
      </c>
      <c r="E29" s="21" t="s">
        <v>128</v>
      </c>
      <c r="F29" s="22">
        <v>422</v>
      </c>
      <c r="G29" s="22">
        <v>10.68</v>
      </c>
      <c r="H29" s="22">
        <v>13.37</v>
      </c>
      <c r="I29" s="22">
        <v>5642.14</v>
      </c>
      <c r="J29" s="23">
        <v>5.5714945632370663E-4</v>
      </c>
    </row>
    <row r="30" spans="1:10" ht="25.5" x14ac:dyDescent="0.25">
      <c r="A30" s="19" t="s">
        <v>141</v>
      </c>
      <c r="B30" s="20" t="s">
        <v>142</v>
      </c>
      <c r="C30" s="19" t="s">
        <v>74</v>
      </c>
      <c r="D30" s="19" t="s">
        <v>143</v>
      </c>
      <c r="E30" s="21" t="s">
        <v>128</v>
      </c>
      <c r="F30" s="22">
        <v>138</v>
      </c>
      <c r="G30" s="22">
        <v>10.15</v>
      </c>
      <c r="H30" s="22">
        <v>12.7</v>
      </c>
      <c r="I30" s="22">
        <v>1752.6</v>
      </c>
      <c r="J30" s="23">
        <v>1.7306556327083842E-4</v>
      </c>
    </row>
    <row r="31" spans="1:10" ht="25.5" x14ac:dyDescent="0.25">
      <c r="A31" s="19" t="s">
        <v>144</v>
      </c>
      <c r="B31" s="20" t="s">
        <v>145</v>
      </c>
      <c r="C31" s="19" t="s">
        <v>74</v>
      </c>
      <c r="D31" s="19" t="s">
        <v>146</v>
      </c>
      <c r="E31" s="21" t="s">
        <v>128</v>
      </c>
      <c r="F31" s="22">
        <v>127</v>
      </c>
      <c r="G31" s="22">
        <v>11.32</v>
      </c>
      <c r="H31" s="22">
        <v>14.17</v>
      </c>
      <c r="I31" s="22">
        <v>1799.59</v>
      </c>
      <c r="J31" s="23">
        <v>1.7770572692375221E-4</v>
      </c>
    </row>
    <row r="32" spans="1:10" ht="38.25" x14ac:dyDescent="0.25">
      <c r="A32" s="19" t="s">
        <v>147</v>
      </c>
      <c r="B32" s="20" t="s">
        <v>148</v>
      </c>
      <c r="C32" s="19" t="s">
        <v>74</v>
      </c>
      <c r="D32" s="19" t="s">
        <v>149</v>
      </c>
      <c r="E32" s="21" t="s">
        <v>76</v>
      </c>
      <c r="F32" s="22">
        <v>112.53</v>
      </c>
      <c r="G32" s="22">
        <v>229.24</v>
      </c>
      <c r="H32" s="22">
        <v>287.05</v>
      </c>
      <c r="I32" s="22">
        <v>32301.73</v>
      </c>
      <c r="J32" s="23">
        <v>3.1897278883216591E-3</v>
      </c>
    </row>
    <row r="33" spans="1:10" ht="38.25" x14ac:dyDescent="0.25">
      <c r="A33" s="19" t="s">
        <v>150</v>
      </c>
      <c r="B33" s="20" t="s">
        <v>151</v>
      </c>
      <c r="C33" s="19" t="s">
        <v>74</v>
      </c>
      <c r="D33" s="19" t="s">
        <v>152</v>
      </c>
      <c r="E33" s="21" t="s">
        <v>76</v>
      </c>
      <c r="F33" s="22">
        <v>1065.24</v>
      </c>
      <c r="G33" s="22">
        <v>99.85</v>
      </c>
      <c r="H33" s="22">
        <v>125.03</v>
      </c>
      <c r="I33" s="22">
        <v>133186.95000000001</v>
      </c>
      <c r="J33" s="23">
        <v>1.3151931143486817E-2</v>
      </c>
    </row>
    <row r="34" spans="1:10" ht="25.5" x14ac:dyDescent="0.25">
      <c r="A34" s="19" t="s">
        <v>153</v>
      </c>
      <c r="B34" s="20" t="s">
        <v>154</v>
      </c>
      <c r="C34" s="19" t="s">
        <v>74</v>
      </c>
      <c r="D34" s="19" t="s">
        <v>155</v>
      </c>
      <c r="E34" s="21" t="s">
        <v>128</v>
      </c>
      <c r="F34" s="22">
        <v>853</v>
      </c>
      <c r="G34" s="22">
        <v>11.05</v>
      </c>
      <c r="H34" s="22">
        <v>13.83</v>
      </c>
      <c r="I34" s="22">
        <v>11796.99</v>
      </c>
      <c r="J34" s="23">
        <v>1.164927946622417E-3</v>
      </c>
    </row>
    <row r="35" spans="1:10" ht="38.25" x14ac:dyDescent="0.25">
      <c r="A35" s="19" t="s">
        <v>156</v>
      </c>
      <c r="B35" s="20" t="s">
        <v>157</v>
      </c>
      <c r="C35" s="19" t="s">
        <v>74</v>
      </c>
      <c r="D35" s="19" t="s">
        <v>158</v>
      </c>
      <c r="E35" s="21" t="s">
        <v>76</v>
      </c>
      <c r="F35" s="22">
        <v>832.65</v>
      </c>
      <c r="G35" s="22">
        <v>34.74</v>
      </c>
      <c r="H35" s="22">
        <v>43.5</v>
      </c>
      <c r="I35" s="22">
        <v>36220.269999999997</v>
      </c>
      <c r="J35" s="23">
        <v>3.5766754703707923E-3</v>
      </c>
    </row>
    <row r="36" spans="1:10" x14ac:dyDescent="0.25">
      <c r="A36" s="5" t="s">
        <v>19</v>
      </c>
      <c r="B36" s="5"/>
      <c r="C36" s="5"/>
      <c r="D36" s="5" t="s">
        <v>20</v>
      </c>
      <c r="E36" s="5"/>
      <c r="F36" s="6"/>
      <c r="G36" s="24"/>
      <c r="H36" s="24"/>
      <c r="I36" s="6">
        <v>2016654.67</v>
      </c>
      <c r="J36" s="7">
        <v>0.19914040647399109</v>
      </c>
    </row>
    <row r="37" spans="1:10" ht="38.25" x14ac:dyDescent="0.25">
      <c r="A37" s="14" t="s">
        <v>159</v>
      </c>
      <c r="B37" s="15" t="s">
        <v>120</v>
      </c>
      <c r="C37" s="14" t="s">
        <v>74</v>
      </c>
      <c r="D37" s="14" t="s">
        <v>121</v>
      </c>
      <c r="E37" s="16" t="s">
        <v>103</v>
      </c>
      <c r="F37" s="17">
        <v>425.6</v>
      </c>
      <c r="G37" s="17">
        <v>451.26</v>
      </c>
      <c r="H37" s="17">
        <v>565.05999999999995</v>
      </c>
      <c r="I37" s="17">
        <v>240489.53</v>
      </c>
      <c r="J37" s="18">
        <v>2.3747835199240667E-2</v>
      </c>
    </row>
    <row r="38" spans="1:10" ht="25.5" x14ac:dyDescent="0.25">
      <c r="A38" s="19" t="s">
        <v>160</v>
      </c>
      <c r="B38" s="20" t="s">
        <v>123</v>
      </c>
      <c r="C38" s="19" t="s">
        <v>74</v>
      </c>
      <c r="D38" s="19" t="s">
        <v>124</v>
      </c>
      <c r="E38" s="21" t="s">
        <v>103</v>
      </c>
      <c r="F38" s="22">
        <v>425.6</v>
      </c>
      <c r="G38" s="22">
        <v>29.04</v>
      </c>
      <c r="H38" s="22">
        <v>36.36</v>
      </c>
      <c r="I38" s="22">
        <v>15474.81</v>
      </c>
      <c r="J38" s="23">
        <v>1.5281049350446211E-3</v>
      </c>
    </row>
    <row r="39" spans="1:10" ht="38.25" x14ac:dyDescent="0.25">
      <c r="A39" s="19" t="s">
        <v>161</v>
      </c>
      <c r="B39" s="20" t="s">
        <v>162</v>
      </c>
      <c r="C39" s="19" t="s">
        <v>74</v>
      </c>
      <c r="D39" s="19" t="s">
        <v>163</v>
      </c>
      <c r="E39" s="21" t="s">
        <v>128</v>
      </c>
      <c r="F39" s="22">
        <v>3857</v>
      </c>
      <c r="G39" s="22">
        <v>16.010000000000002</v>
      </c>
      <c r="H39" s="22">
        <v>20.04</v>
      </c>
      <c r="I39" s="22">
        <v>77294.28</v>
      </c>
      <c r="J39" s="23">
        <v>7.6326475555254488E-3</v>
      </c>
    </row>
    <row r="40" spans="1:10" ht="38.25" x14ac:dyDescent="0.25">
      <c r="A40" s="19" t="s">
        <v>164</v>
      </c>
      <c r="B40" s="20" t="s">
        <v>165</v>
      </c>
      <c r="C40" s="19" t="s">
        <v>74</v>
      </c>
      <c r="D40" s="19" t="s">
        <v>166</v>
      </c>
      <c r="E40" s="21" t="s">
        <v>128</v>
      </c>
      <c r="F40" s="22">
        <v>1556</v>
      </c>
      <c r="G40" s="22">
        <v>15.09</v>
      </c>
      <c r="H40" s="22">
        <v>18.89</v>
      </c>
      <c r="I40" s="22">
        <v>29392.84</v>
      </c>
      <c r="J40" s="23">
        <v>2.9024811198959436E-3</v>
      </c>
    </row>
    <row r="41" spans="1:10" ht="38.25" x14ac:dyDescent="0.25">
      <c r="A41" s="19" t="s">
        <v>167</v>
      </c>
      <c r="B41" s="20" t="s">
        <v>168</v>
      </c>
      <c r="C41" s="19" t="s">
        <v>74</v>
      </c>
      <c r="D41" s="19" t="s">
        <v>169</v>
      </c>
      <c r="E41" s="21" t="s">
        <v>128</v>
      </c>
      <c r="F41" s="22">
        <v>7190.9</v>
      </c>
      <c r="G41" s="22">
        <v>14.08</v>
      </c>
      <c r="H41" s="22">
        <v>17.63</v>
      </c>
      <c r="I41" s="22">
        <v>126775.56</v>
      </c>
      <c r="J41" s="23">
        <v>1.2518819867839766E-2</v>
      </c>
    </row>
    <row r="42" spans="1:10" ht="38.25" x14ac:dyDescent="0.25">
      <c r="A42" s="19" t="s">
        <v>170</v>
      </c>
      <c r="B42" s="20" t="s">
        <v>171</v>
      </c>
      <c r="C42" s="19" t="s">
        <v>74</v>
      </c>
      <c r="D42" s="19" t="s">
        <v>172</v>
      </c>
      <c r="E42" s="21" t="s">
        <v>128</v>
      </c>
      <c r="F42" s="22">
        <v>8536</v>
      </c>
      <c r="G42" s="22">
        <v>12.58</v>
      </c>
      <c r="H42" s="22">
        <v>15.75</v>
      </c>
      <c r="I42" s="22">
        <v>134442</v>
      </c>
      <c r="J42" s="23">
        <v>1.3275864690892421E-2</v>
      </c>
    </row>
    <row r="43" spans="1:10" ht="38.25" x14ac:dyDescent="0.25">
      <c r="A43" s="19" t="s">
        <v>173</v>
      </c>
      <c r="B43" s="20" t="s">
        <v>174</v>
      </c>
      <c r="C43" s="19" t="s">
        <v>74</v>
      </c>
      <c r="D43" s="19" t="s">
        <v>175</v>
      </c>
      <c r="E43" s="21" t="s">
        <v>128</v>
      </c>
      <c r="F43" s="22">
        <v>10362.9</v>
      </c>
      <c r="G43" s="22">
        <v>10.6</v>
      </c>
      <c r="H43" s="22">
        <v>13.27</v>
      </c>
      <c r="I43" s="22">
        <v>137515.68</v>
      </c>
      <c r="J43" s="23">
        <v>1.3579384125169673E-2</v>
      </c>
    </row>
    <row r="44" spans="1:10" ht="38.25" x14ac:dyDescent="0.25">
      <c r="A44" s="19" t="s">
        <v>176</v>
      </c>
      <c r="B44" s="20" t="s">
        <v>177</v>
      </c>
      <c r="C44" s="19" t="s">
        <v>74</v>
      </c>
      <c r="D44" s="19" t="s">
        <v>178</v>
      </c>
      <c r="E44" s="21" t="s">
        <v>128</v>
      </c>
      <c r="F44" s="22">
        <v>3520.1</v>
      </c>
      <c r="G44" s="22">
        <v>10.02</v>
      </c>
      <c r="H44" s="22">
        <v>12.54</v>
      </c>
      <c r="I44" s="22">
        <v>44142.05</v>
      </c>
      <c r="J44" s="23">
        <v>4.3589345812960817E-3</v>
      </c>
    </row>
    <row r="45" spans="1:10" ht="38.25" x14ac:dyDescent="0.25">
      <c r="A45" s="19" t="s">
        <v>179</v>
      </c>
      <c r="B45" s="20" t="s">
        <v>180</v>
      </c>
      <c r="C45" s="19" t="s">
        <v>74</v>
      </c>
      <c r="D45" s="19" t="s">
        <v>181</v>
      </c>
      <c r="E45" s="21" t="s">
        <v>128</v>
      </c>
      <c r="F45" s="22">
        <v>1155.7</v>
      </c>
      <c r="G45" s="22">
        <v>10.76</v>
      </c>
      <c r="H45" s="22">
        <v>13.47</v>
      </c>
      <c r="I45" s="22">
        <v>15567.27</v>
      </c>
      <c r="J45" s="23">
        <v>1.537235165547886E-3</v>
      </c>
    </row>
    <row r="46" spans="1:10" ht="38.25" x14ac:dyDescent="0.25">
      <c r="A46" s="19" t="s">
        <v>182</v>
      </c>
      <c r="B46" s="20" t="s">
        <v>183</v>
      </c>
      <c r="C46" s="19" t="s">
        <v>74</v>
      </c>
      <c r="D46" s="19" t="s">
        <v>184</v>
      </c>
      <c r="E46" s="21" t="s">
        <v>128</v>
      </c>
      <c r="F46" s="22">
        <v>820.3</v>
      </c>
      <c r="G46" s="22">
        <v>10.69</v>
      </c>
      <c r="H46" s="22">
        <v>13.38</v>
      </c>
      <c r="I46" s="22">
        <v>10975.61</v>
      </c>
      <c r="J46" s="23">
        <v>1.0838183994585455E-3</v>
      </c>
    </row>
    <row r="47" spans="1:10" ht="38.25" x14ac:dyDescent="0.25">
      <c r="A47" s="19" t="s">
        <v>185</v>
      </c>
      <c r="B47" s="20" t="s">
        <v>186</v>
      </c>
      <c r="C47" s="19" t="s">
        <v>74</v>
      </c>
      <c r="D47" s="19" t="s">
        <v>187</v>
      </c>
      <c r="E47" s="21" t="s">
        <v>76</v>
      </c>
      <c r="F47" s="22">
        <v>258</v>
      </c>
      <c r="G47" s="22">
        <v>138.29</v>
      </c>
      <c r="H47" s="22">
        <v>173.16</v>
      </c>
      <c r="I47" s="22">
        <v>44675.28</v>
      </c>
      <c r="J47" s="23">
        <v>4.411589922105684E-3</v>
      </c>
    </row>
    <row r="48" spans="1:10" ht="38.25" x14ac:dyDescent="0.25">
      <c r="A48" s="19" t="s">
        <v>188</v>
      </c>
      <c r="B48" s="20" t="s">
        <v>189</v>
      </c>
      <c r="C48" s="19" t="s">
        <v>74</v>
      </c>
      <c r="D48" s="19" t="s">
        <v>190</v>
      </c>
      <c r="E48" s="21" t="s">
        <v>76</v>
      </c>
      <c r="F48" s="22">
        <v>1363.47</v>
      </c>
      <c r="G48" s="22">
        <v>34.31</v>
      </c>
      <c r="H48" s="22">
        <v>42.96</v>
      </c>
      <c r="I48" s="22">
        <v>58574.67</v>
      </c>
      <c r="J48" s="23">
        <v>5.7841254461676829E-3</v>
      </c>
    </row>
    <row r="49" spans="1:10" ht="38.25" x14ac:dyDescent="0.25">
      <c r="A49" s="19" t="s">
        <v>191</v>
      </c>
      <c r="B49" s="20" t="s">
        <v>192</v>
      </c>
      <c r="C49" s="19" t="s">
        <v>74</v>
      </c>
      <c r="D49" s="19" t="s">
        <v>193</v>
      </c>
      <c r="E49" s="21" t="s">
        <v>76</v>
      </c>
      <c r="F49" s="22">
        <v>931.33</v>
      </c>
      <c r="G49" s="22">
        <v>91.8</v>
      </c>
      <c r="H49" s="22">
        <v>114.95</v>
      </c>
      <c r="I49" s="22">
        <v>107056.38</v>
      </c>
      <c r="J49" s="23">
        <v>1.0571592323654525E-2</v>
      </c>
    </row>
    <row r="50" spans="1:10" ht="51" x14ac:dyDescent="0.25">
      <c r="A50" s="19" t="s">
        <v>194</v>
      </c>
      <c r="B50" s="20" t="s">
        <v>195</v>
      </c>
      <c r="C50" s="19" t="s">
        <v>74</v>
      </c>
      <c r="D50" s="19" t="s">
        <v>196</v>
      </c>
      <c r="E50" s="21" t="s">
        <v>76</v>
      </c>
      <c r="F50" s="22">
        <v>769.49</v>
      </c>
      <c r="G50" s="22">
        <v>62.15</v>
      </c>
      <c r="H50" s="22">
        <v>77.819999999999993</v>
      </c>
      <c r="I50" s="22">
        <v>59881.71</v>
      </c>
      <c r="J50" s="23">
        <v>5.9131928967083181E-3</v>
      </c>
    </row>
    <row r="51" spans="1:10" ht="51" x14ac:dyDescent="0.25">
      <c r="A51" s="19" t="s">
        <v>197</v>
      </c>
      <c r="B51" s="20" t="s">
        <v>198</v>
      </c>
      <c r="C51" s="19" t="s">
        <v>74</v>
      </c>
      <c r="D51" s="19" t="s">
        <v>199</v>
      </c>
      <c r="E51" s="21" t="s">
        <v>128</v>
      </c>
      <c r="F51" s="22">
        <v>39930</v>
      </c>
      <c r="G51" s="22">
        <v>18.29</v>
      </c>
      <c r="H51" s="22">
        <v>22.9</v>
      </c>
      <c r="I51" s="22">
        <v>914397</v>
      </c>
      <c r="J51" s="23">
        <v>9.0294780245443823E-2</v>
      </c>
    </row>
    <row r="52" spans="1:10" x14ac:dyDescent="0.25">
      <c r="A52" s="5" t="s">
        <v>21</v>
      </c>
      <c r="B52" s="5"/>
      <c r="C52" s="5"/>
      <c r="D52" s="5" t="s">
        <v>22</v>
      </c>
      <c r="E52" s="5"/>
      <c r="F52" s="6"/>
      <c r="G52" s="24"/>
      <c r="H52" s="24"/>
      <c r="I52" s="6">
        <v>1505808.61</v>
      </c>
      <c r="J52" s="7">
        <v>0.14869543265304591</v>
      </c>
    </row>
    <row r="53" spans="1:10" ht="38.25" x14ac:dyDescent="0.25">
      <c r="A53" s="19" t="s">
        <v>200</v>
      </c>
      <c r="B53" s="20" t="s">
        <v>201</v>
      </c>
      <c r="C53" s="19" t="s">
        <v>74</v>
      </c>
      <c r="D53" s="19" t="s">
        <v>202</v>
      </c>
      <c r="E53" s="21" t="s">
        <v>76</v>
      </c>
      <c r="F53" s="22">
        <v>5010.03</v>
      </c>
      <c r="G53" s="22">
        <v>65.28</v>
      </c>
      <c r="H53" s="22">
        <v>81.739999999999995</v>
      </c>
      <c r="I53" s="22">
        <v>409519.85</v>
      </c>
      <c r="J53" s="23">
        <v>4.0439223730936474E-2</v>
      </c>
    </row>
    <row r="54" spans="1:10" ht="25.5" x14ac:dyDescent="0.25">
      <c r="A54" s="19" t="s">
        <v>203</v>
      </c>
      <c r="B54" s="20" t="s">
        <v>204</v>
      </c>
      <c r="C54" s="19" t="s">
        <v>74</v>
      </c>
      <c r="D54" s="19" t="s">
        <v>205</v>
      </c>
      <c r="E54" s="21" t="s">
        <v>76</v>
      </c>
      <c r="F54" s="22">
        <v>18.91</v>
      </c>
      <c r="G54" s="22">
        <v>52.78</v>
      </c>
      <c r="H54" s="22">
        <v>66.09</v>
      </c>
      <c r="I54" s="22">
        <v>1249.76</v>
      </c>
      <c r="J54" s="23">
        <v>1.2341117103352906E-4</v>
      </c>
    </row>
    <row r="55" spans="1:10" ht="38.25" x14ac:dyDescent="0.25">
      <c r="A55" s="19" t="s">
        <v>206</v>
      </c>
      <c r="B55" s="20" t="s">
        <v>207</v>
      </c>
      <c r="C55" s="19" t="s">
        <v>74</v>
      </c>
      <c r="D55" s="19" t="s">
        <v>208</v>
      </c>
      <c r="E55" s="21" t="s">
        <v>76</v>
      </c>
      <c r="F55" s="22">
        <v>70.52</v>
      </c>
      <c r="G55" s="22">
        <v>521.89</v>
      </c>
      <c r="H55" s="22">
        <v>653.51</v>
      </c>
      <c r="I55" s="22">
        <v>46085.52</v>
      </c>
      <c r="J55" s="23">
        <v>4.5508481555571667E-3</v>
      </c>
    </row>
    <row r="56" spans="1:10" ht="25.5" x14ac:dyDescent="0.25">
      <c r="A56" s="19" t="s">
        <v>209</v>
      </c>
      <c r="B56" s="20" t="s">
        <v>210</v>
      </c>
      <c r="C56" s="19" t="s">
        <v>74</v>
      </c>
      <c r="D56" s="19" t="s">
        <v>211</v>
      </c>
      <c r="E56" s="21" t="s">
        <v>86</v>
      </c>
      <c r="F56" s="22">
        <v>1110.2</v>
      </c>
      <c r="G56" s="22">
        <v>51.26</v>
      </c>
      <c r="H56" s="22">
        <v>64.180000000000007</v>
      </c>
      <c r="I56" s="22">
        <v>71252.63</v>
      </c>
      <c r="J56" s="23">
        <v>7.0360473271018145E-3</v>
      </c>
    </row>
    <row r="57" spans="1:10" ht="25.5" x14ac:dyDescent="0.25">
      <c r="A57" s="19" t="s">
        <v>212</v>
      </c>
      <c r="B57" s="20" t="s">
        <v>213</v>
      </c>
      <c r="C57" s="19" t="s">
        <v>74</v>
      </c>
      <c r="D57" s="19" t="s">
        <v>214</v>
      </c>
      <c r="E57" s="21" t="s">
        <v>86</v>
      </c>
      <c r="F57" s="22">
        <v>37.6</v>
      </c>
      <c r="G57" s="22">
        <v>39.53</v>
      </c>
      <c r="H57" s="22">
        <v>49.49</v>
      </c>
      <c r="I57" s="22">
        <v>1860.82</v>
      </c>
      <c r="J57" s="23">
        <v>1.8375206062172861E-4</v>
      </c>
    </row>
    <row r="58" spans="1:10" ht="25.5" x14ac:dyDescent="0.25">
      <c r="A58" s="19" t="s">
        <v>215</v>
      </c>
      <c r="B58" s="20" t="s">
        <v>216</v>
      </c>
      <c r="C58" s="19" t="s">
        <v>74</v>
      </c>
      <c r="D58" s="19" t="s">
        <v>217</v>
      </c>
      <c r="E58" s="21" t="s">
        <v>86</v>
      </c>
      <c r="F58" s="22">
        <v>37.6</v>
      </c>
      <c r="G58" s="22">
        <v>38.74</v>
      </c>
      <c r="H58" s="22">
        <v>48.51</v>
      </c>
      <c r="I58" s="22">
        <v>1823.97</v>
      </c>
      <c r="J58" s="23">
        <v>1.8011320063854341E-4</v>
      </c>
    </row>
    <row r="59" spans="1:10" ht="25.5" x14ac:dyDescent="0.25">
      <c r="A59" s="19" t="s">
        <v>218</v>
      </c>
      <c r="B59" s="20" t="s">
        <v>219</v>
      </c>
      <c r="C59" s="19" t="s">
        <v>74</v>
      </c>
      <c r="D59" s="19" t="s">
        <v>220</v>
      </c>
      <c r="E59" s="21" t="s">
        <v>86</v>
      </c>
      <c r="F59" s="22">
        <v>37.6</v>
      </c>
      <c r="G59" s="22">
        <v>50.77</v>
      </c>
      <c r="H59" s="22">
        <v>63.57</v>
      </c>
      <c r="I59" s="22">
        <v>2390.23</v>
      </c>
      <c r="J59" s="23">
        <v>2.3603018446699539E-4</v>
      </c>
    </row>
    <row r="60" spans="1:10" ht="25.5" x14ac:dyDescent="0.25">
      <c r="A60" s="19" t="s">
        <v>221</v>
      </c>
      <c r="B60" s="20" t="s">
        <v>222</v>
      </c>
      <c r="C60" s="19" t="s">
        <v>74</v>
      </c>
      <c r="D60" s="19" t="s">
        <v>223</v>
      </c>
      <c r="E60" s="21" t="s">
        <v>86</v>
      </c>
      <c r="F60" s="22">
        <v>37.6</v>
      </c>
      <c r="G60" s="22">
        <v>47.1</v>
      </c>
      <c r="H60" s="22">
        <v>58.97</v>
      </c>
      <c r="I60" s="22">
        <v>2217.27</v>
      </c>
      <c r="J60" s="23">
        <v>2.189507483016843E-4</v>
      </c>
    </row>
    <row r="61" spans="1:10" ht="25.5" x14ac:dyDescent="0.25">
      <c r="A61" s="19" t="s">
        <v>224</v>
      </c>
      <c r="B61" s="20" t="s">
        <v>225</v>
      </c>
      <c r="C61" s="19" t="s">
        <v>74</v>
      </c>
      <c r="D61" s="19" t="s">
        <v>226</v>
      </c>
      <c r="E61" s="21" t="s">
        <v>86</v>
      </c>
      <c r="F61" s="22">
        <v>76.540000000000006</v>
      </c>
      <c r="G61" s="22">
        <v>29.15</v>
      </c>
      <c r="H61" s="22">
        <v>36.5</v>
      </c>
      <c r="I61" s="22">
        <v>2793.71</v>
      </c>
      <c r="J61" s="23">
        <v>2.7587298571572181E-4</v>
      </c>
    </row>
    <row r="62" spans="1:10" ht="25.5" x14ac:dyDescent="0.25">
      <c r="A62" s="19" t="s">
        <v>227</v>
      </c>
      <c r="B62" s="20" t="s">
        <v>228</v>
      </c>
      <c r="C62" s="19" t="s">
        <v>74</v>
      </c>
      <c r="D62" s="19" t="s">
        <v>229</v>
      </c>
      <c r="E62" s="21" t="s">
        <v>86</v>
      </c>
      <c r="F62" s="22">
        <v>50.86</v>
      </c>
      <c r="G62" s="22">
        <v>50.07</v>
      </c>
      <c r="H62" s="22">
        <v>62.69</v>
      </c>
      <c r="I62" s="22">
        <v>3188.41</v>
      </c>
      <c r="J62" s="23">
        <v>3.1484878043385481E-4</v>
      </c>
    </row>
    <row r="63" spans="1:10" ht="25.5" x14ac:dyDescent="0.25">
      <c r="A63" s="19" t="s">
        <v>230</v>
      </c>
      <c r="B63" s="20" t="s">
        <v>231</v>
      </c>
      <c r="C63" s="19" t="s">
        <v>74</v>
      </c>
      <c r="D63" s="19" t="s">
        <v>232</v>
      </c>
      <c r="E63" s="21" t="s">
        <v>86</v>
      </c>
      <c r="F63" s="22">
        <v>818.67</v>
      </c>
      <c r="G63" s="22">
        <v>12.98</v>
      </c>
      <c r="H63" s="22">
        <v>16.25</v>
      </c>
      <c r="I63" s="22">
        <v>13303.38</v>
      </c>
      <c r="J63" s="23">
        <v>1.3136807903149643E-3</v>
      </c>
    </row>
    <row r="64" spans="1:10" ht="51" x14ac:dyDescent="0.25">
      <c r="A64" s="19" t="s">
        <v>233</v>
      </c>
      <c r="B64" s="20" t="s">
        <v>234</v>
      </c>
      <c r="C64" s="19" t="s">
        <v>235</v>
      </c>
      <c r="D64" s="19" t="s">
        <v>236</v>
      </c>
      <c r="E64" s="21" t="s">
        <v>76</v>
      </c>
      <c r="F64" s="22">
        <v>448.8</v>
      </c>
      <c r="G64" s="22">
        <v>1690.65</v>
      </c>
      <c r="H64" s="22">
        <v>2117.0300000000002</v>
      </c>
      <c r="I64" s="22">
        <v>950123.06</v>
      </c>
      <c r="J64" s="23">
        <v>9.3822653517923432E-2</v>
      </c>
    </row>
    <row r="65" spans="1:10" x14ac:dyDescent="0.25">
      <c r="A65" s="5" t="s">
        <v>23</v>
      </c>
      <c r="B65" s="5"/>
      <c r="C65" s="5"/>
      <c r="D65" s="5" t="s">
        <v>24</v>
      </c>
      <c r="E65" s="5"/>
      <c r="F65" s="6"/>
      <c r="G65" s="24"/>
      <c r="H65" s="24"/>
      <c r="I65" s="6">
        <v>951367.53</v>
      </c>
      <c r="J65" s="7">
        <v>9.3945542312584882E-2</v>
      </c>
    </row>
    <row r="66" spans="1:10" ht="25.5" x14ac:dyDescent="0.25">
      <c r="A66" s="19" t="s">
        <v>237</v>
      </c>
      <c r="B66" s="20" t="s">
        <v>238</v>
      </c>
      <c r="C66" s="19" t="s">
        <v>74</v>
      </c>
      <c r="D66" s="19" t="s">
        <v>239</v>
      </c>
      <c r="E66" s="21" t="s">
        <v>76</v>
      </c>
      <c r="F66" s="22">
        <v>1986.21</v>
      </c>
      <c r="G66" s="22">
        <v>2.12</v>
      </c>
      <c r="H66" s="22">
        <v>2.65</v>
      </c>
      <c r="I66" s="22">
        <v>5263.45</v>
      </c>
      <c r="J66" s="23">
        <v>5.1975461542730491E-4</v>
      </c>
    </row>
    <row r="67" spans="1:10" ht="38.25" x14ac:dyDescent="0.25">
      <c r="A67" s="19" t="s">
        <v>240</v>
      </c>
      <c r="B67" s="20" t="s">
        <v>241</v>
      </c>
      <c r="C67" s="19" t="s">
        <v>74</v>
      </c>
      <c r="D67" s="19" t="s">
        <v>242</v>
      </c>
      <c r="E67" s="21" t="s">
        <v>103</v>
      </c>
      <c r="F67" s="22">
        <v>158.9</v>
      </c>
      <c r="G67" s="22">
        <v>328.38</v>
      </c>
      <c r="H67" s="22">
        <v>411.19</v>
      </c>
      <c r="I67" s="22">
        <v>65338.09</v>
      </c>
      <c r="J67" s="23">
        <v>6.4519989437924995E-3</v>
      </c>
    </row>
    <row r="68" spans="1:10" ht="25.5" x14ac:dyDescent="0.25">
      <c r="A68" s="19" t="s">
        <v>243</v>
      </c>
      <c r="B68" s="20" t="s">
        <v>244</v>
      </c>
      <c r="C68" s="19" t="s">
        <v>74</v>
      </c>
      <c r="D68" s="19" t="s">
        <v>245</v>
      </c>
      <c r="E68" s="21" t="s">
        <v>76</v>
      </c>
      <c r="F68" s="22">
        <v>1853.76</v>
      </c>
      <c r="G68" s="22">
        <v>23.94</v>
      </c>
      <c r="H68" s="22">
        <v>29.97</v>
      </c>
      <c r="I68" s="22">
        <v>55557.18</v>
      </c>
      <c r="J68" s="23">
        <v>5.4861546561904362E-3</v>
      </c>
    </row>
    <row r="69" spans="1:10" ht="38.25" x14ac:dyDescent="0.25">
      <c r="A69" s="19" t="s">
        <v>246</v>
      </c>
      <c r="B69" s="20" t="s">
        <v>247</v>
      </c>
      <c r="C69" s="19" t="s">
        <v>74</v>
      </c>
      <c r="D69" s="19" t="s">
        <v>248</v>
      </c>
      <c r="E69" s="21" t="s">
        <v>76</v>
      </c>
      <c r="F69" s="22">
        <v>203.32</v>
      </c>
      <c r="G69" s="22">
        <v>147.75</v>
      </c>
      <c r="H69" s="22">
        <v>185.01</v>
      </c>
      <c r="I69" s="22">
        <v>37616.230000000003</v>
      </c>
      <c r="J69" s="23">
        <v>3.7145235838613546E-3</v>
      </c>
    </row>
    <row r="70" spans="1:10" ht="38.25" x14ac:dyDescent="0.25">
      <c r="A70" s="19" t="s">
        <v>249</v>
      </c>
      <c r="B70" s="20" t="s">
        <v>250</v>
      </c>
      <c r="C70" s="19" t="s">
        <v>74</v>
      </c>
      <c r="D70" s="19" t="s">
        <v>251</v>
      </c>
      <c r="E70" s="21" t="s">
        <v>76</v>
      </c>
      <c r="F70" s="22">
        <v>1673</v>
      </c>
      <c r="G70" s="22">
        <v>154.88</v>
      </c>
      <c r="H70" s="22">
        <v>193.94</v>
      </c>
      <c r="I70" s="22">
        <v>324461.62</v>
      </c>
      <c r="J70" s="23">
        <v>3.2039902444978167E-2</v>
      </c>
    </row>
    <row r="71" spans="1:10" ht="38.25" x14ac:dyDescent="0.25">
      <c r="A71" s="19" t="s">
        <v>252</v>
      </c>
      <c r="B71" s="20" t="s">
        <v>253</v>
      </c>
      <c r="C71" s="19" t="s">
        <v>74</v>
      </c>
      <c r="D71" s="19" t="s">
        <v>254</v>
      </c>
      <c r="E71" s="21" t="s">
        <v>76</v>
      </c>
      <c r="F71" s="22">
        <v>660.13</v>
      </c>
      <c r="G71" s="22">
        <v>72.010000000000005</v>
      </c>
      <c r="H71" s="22">
        <v>90.17</v>
      </c>
      <c r="I71" s="22">
        <v>59523.92</v>
      </c>
      <c r="J71" s="23">
        <v>5.8778618868471555E-3</v>
      </c>
    </row>
    <row r="72" spans="1:10" ht="25.5" x14ac:dyDescent="0.25">
      <c r="A72" s="14" t="s">
        <v>255</v>
      </c>
      <c r="B72" s="15" t="s">
        <v>256</v>
      </c>
      <c r="C72" s="14" t="s">
        <v>74</v>
      </c>
      <c r="D72" s="14" t="s">
        <v>257</v>
      </c>
      <c r="E72" s="16" t="s">
        <v>76</v>
      </c>
      <c r="F72" s="17">
        <v>400.81</v>
      </c>
      <c r="G72" s="17">
        <v>80.48</v>
      </c>
      <c r="H72" s="17">
        <v>100.77</v>
      </c>
      <c r="I72" s="17">
        <v>40389.620000000003</v>
      </c>
      <c r="J72" s="18">
        <v>3.9883900123217622E-3</v>
      </c>
    </row>
    <row r="73" spans="1:10" ht="25.5" x14ac:dyDescent="0.25">
      <c r="A73" s="19" t="s">
        <v>258</v>
      </c>
      <c r="B73" s="20" t="s">
        <v>259</v>
      </c>
      <c r="C73" s="19" t="s">
        <v>74</v>
      </c>
      <c r="D73" s="19" t="s">
        <v>260</v>
      </c>
      <c r="E73" s="21" t="s">
        <v>76</v>
      </c>
      <c r="F73" s="22">
        <v>259.32</v>
      </c>
      <c r="G73" s="22">
        <v>190.1</v>
      </c>
      <c r="H73" s="22">
        <v>238.04</v>
      </c>
      <c r="I73" s="22">
        <v>61728.53</v>
      </c>
      <c r="J73" s="23">
        <v>6.0955624867801254E-3</v>
      </c>
    </row>
    <row r="74" spans="1:10" ht="25.5" x14ac:dyDescent="0.25">
      <c r="A74" s="19" t="s">
        <v>261</v>
      </c>
      <c r="B74" s="20" t="s">
        <v>262</v>
      </c>
      <c r="C74" s="19" t="s">
        <v>74</v>
      </c>
      <c r="D74" s="19" t="s">
        <v>263</v>
      </c>
      <c r="E74" s="21" t="s">
        <v>86</v>
      </c>
      <c r="F74" s="22">
        <v>100</v>
      </c>
      <c r="G74" s="22">
        <v>160.01</v>
      </c>
      <c r="H74" s="22">
        <v>200.36</v>
      </c>
      <c r="I74" s="22">
        <v>20036</v>
      </c>
      <c r="J74" s="23">
        <v>1.9785128527299548E-3</v>
      </c>
    </row>
    <row r="75" spans="1:10" ht="25.5" x14ac:dyDescent="0.25">
      <c r="A75" s="19" t="s">
        <v>264</v>
      </c>
      <c r="B75" s="20" t="s">
        <v>265</v>
      </c>
      <c r="C75" s="19" t="s">
        <v>74</v>
      </c>
      <c r="D75" s="19" t="s">
        <v>266</v>
      </c>
      <c r="E75" s="21" t="s">
        <v>103</v>
      </c>
      <c r="F75" s="22">
        <v>8</v>
      </c>
      <c r="G75" s="22">
        <v>2685.98</v>
      </c>
      <c r="H75" s="22">
        <v>3363.38</v>
      </c>
      <c r="I75" s="22">
        <v>26907.040000000001</v>
      </c>
      <c r="J75" s="23">
        <v>2.6570135989678078E-3</v>
      </c>
    </row>
    <row r="76" spans="1:10" ht="38.25" x14ac:dyDescent="0.25">
      <c r="A76" s="19" t="s">
        <v>267</v>
      </c>
      <c r="B76" s="20" t="s">
        <v>268</v>
      </c>
      <c r="C76" s="19" t="s">
        <v>74</v>
      </c>
      <c r="D76" s="19" t="s">
        <v>269</v>
      </c>
      <c r="E76" s="21" t="s">
        <v>76</v>
      </c>
      <c r="F76" s="22">
        <v>2471.02</v>
      </c>
      <c r="G76" s="22">
        <v>63.7</v>
      </c>
      <c r="H76" s="22">
        <v>79.760000000000005</v>
      </c>
      <c r="I76" s="22">
        <v>197088.55</v>
      </c>
      <c r="J76" s="23">
        <v>1.9462079721546732E-2</v>
      </c>
    </row>
    <row r="77" spans="1:10" ht="63.75" x14ac:dyDescent="0.25">
      <c r="A77" s="19" t="s">
        <v>270</v>
      </c>
      <c r="B77" s="20" t="s">
        <v>271</v>
      </c>
      <c r="C77" s="19" t="s">
        <v>74</v>
      </c>
      <c r="D77" s="19" t="s">
        <v>272</v>
      </c>
      <c r="E77" s="21" t="s">
        <v>86</v>
      </c>
      <c r="F77" s="22">
        <v>932.17</v>
      </c>
      <c r="G77" s="22">
        <v>33.4</v>
      </c>
      <c r="H77" s="22">
        <v>41.82</v>
      </c>
      <c r="I77" s="22">
        <v>38983.339999999997</v>
      </c>
      <c r="J77" s="23">
        <v>3.8495228205401156E-3</v>
      </c>
    </row>
    <row r="78" spans="1:10" ht="25.5" x14ac:dyDescent="0.25">
      <c r="A78" s="14" t="s">
        <v>273</v>
      </c>
      <c r="B78" s="15" t="s">
        <v>274</v>
      </c>
      <c r="C78" s="14" t="s">
        <v>74</v>
      </c>
      <c r="D78" s="14" t="s">
        <v>275</v>
      </c>
      <c r="E78" s="16" t="s">
        <v>103</v>
      </c>
      <c r="F78" s="17">
        <v>296.58</v>
      </c>
      <c r="G78" s="17">
        <v>49.75</v>
      </c>
      <c r="H78" s="17">
        <v>62.29</v>
      </c>
      <c r="I78" s="17">
        <v>18473.96</v>
      </c>
      <c r="J78" s="18">
        <v>1.8242646886014711E-3</v>
      </c>
    </row>
    <row r="79" spans="1:10" x14ac:dyDescent="0.25">
      <c r="A79" s="5" t="s">
        <v>25</v>
      </c>
      <c r="B79" s="5"/>
      <c r="C79" s="5"/>
      <c r="D79" s="5" t="s">
        <v>26</v>
      </c>
      <c r="E79" s="5"/>
      <c r="F79" s="6"/>
      <c r="G79" s="24"/>
      <c r="H79" s="24"/>
      <c r="I79" s="6">
        <v>279782.65000000002</v>
      </c>
      <c r="J79" s="7">
        <v>2.7627948143134681E-2</v>
      </c>
    </row>
    <row r="80" spans="1:10" ht="25.5" x14ac:dyDescent="0.25">
      <c r="A80" s="19" t="s">
        <v>276</v>
      </c>
      <c r="B80" s="20" t="s">
        <v>277</v>
      </c>
      <c r="C80" s="19" t="s">
        <v>74</v>
      </c>
      <c r="D80" s="19" t="s">
        <v>278</v>
      </c>
      <c r="E80" s="21" t="s">
        <v>76</v>
      </c>
      <c r="F80" s="22">
        <v>709.15</v>
      </c>
      <c r="G80" s="22">
        <v>220.71</v>
      </c>
      <c r="H80" s="22">
        <v>276.37</v>
      </c>
      <c r="I80" s="22">
        <v>195987.78</v>
      </c>
      <c r="J80" s="23">
        <v>1.9353380999601256E-2</v>
      </c>
    </row>
    <row r="81" spans="1:10" ht="25.5" x14ac:dyDescent="0.25">
      <c r="A81" s="19" t="s">
        <v>279</v>
      </c>
      <c r="B81" s="20" t="s">
        <v>280</v>
      </c>
      <c r="C81" s="19" t="s">
        <v>74</v>
      </c>
      <c r="D81" s="19" t="s">
        <v>281</v>
      </c>
      <c r="E81" s="21" t="s">
        <v>76</v>
      </c>
      <c r="F81" s="22">
        <v>649.82000000000005</v>
      </c>
      <c r="G81" s="22">
        <v>75.36</v>
      </c>
      <c r="H81" s="22">
        <v>94.36</v>
      </c>
      <c r="I81" s="22">
        <v>61317.01</v>
      </c>
      <c r="J81" s="23">
        <v>6.0549257524441583E-3</v>
      </c>
    </row>
    <row r="82" spans="1:10" ht="38.25" x14ac:dyDescent="0.25">
      <c r="A82" s="19" t="s">
        <v>282</v>
      </c>
      <c r="B82" s="20" t="s">
        <v>283</v>
      </c>
      <c r="C82" s="19" t="s">
        <v>74</v>
      </c>
      <c r="D82" s="19" t="s">
        <v>284</v>
      </c>
      <c r="E82" s="21" t="s">
        <v>86</v>
      </c>
      <c r="F82" s="22">
        <v>152.62</v>
      </c>
      <c r="G82" s="22">
        <v>72.67</v>
      </c>
      <c r="H82" s="22">
        <v>90.99</v>
      </c>
      <c r="I82" s="22">
        <v>13886.89</v>
      </c>
      <c r="J82" s="23">
        <v>1.3713011753567119E-3</v>
      </c>
    </row>
    <row r="83" spans="1:10" ht="25.5" x14ac:dyDescent="0.25">
      <c r="A83" s="19" t="s">
        <v>285</v>
      </c>
      <c r="B83" s="20" t="s">
        <v>286</v>
      </c>
      <c r="C83" s="19" t="s">
        <v>74</v>
      </c>
      <c r="D83" s="19" t="s">
        <v>287</v>
      </c>
      <c r="E83" s="21" t="s">
        <v>86</v>
      </c>
      <c r="F83" s="22">
        <v>152.62</v>
      </c>
      <c r="G83" s="22">
        <v>44.96</v>
      </c>
      <c r="H83" s="22">
        <v>56.29</v>
      </c>
      <c r="I83" s="22">
        <v>8590.9699999999993</v>
      </c>
      <c r="J83" s="23">
        <v>8.4834021573255438E-4</v>
      </c>
    </row>
    <row r="84" spans="1:10" x14ac:dyDescent="0.25">
      <c r="A84" s="5" t="s">
        <v>27</v>
      </c>
      <c r="B84" s="5"/>
      <c r="C84" s="5"/>
      <c r="D84" s="5" t="s">
        <v>28</v>
      </c>
      <c r="E84" s="5"/>
      <c r="F84" s="6"/>
      <c r="G84" s="24"/>
      <c r="H84" s="24"/>
      <c r="I84" s="6">
        <v>238402.37</v>
      </c>
      <c r="J84" s="7">
        <v>2.3541732539742573E-2</v>
      </c>
    </row>
    <row r="85" spans="1:10" ht="25.5" x14ac:dyDescent="0.25">
      <c r="A85" s="19" t="s">
        <v>288</v>
      </c>
      <c r="B85" s="20" t="s">
        <v>289</v>
      </c>
      <c r="C85" s="19" t="s">
        <v>74</v>
      </c>
      <c r="D85" s="19" t="s">
        <v>290</v>
      </c>
      <c r="E85" s="21" t="s">
        <v>76</v>
      </c>
      <c r="F85" s="22">
        <v>1011.78</v>
      </c>
      <c r="G85" s="22">
        <v>17.82</v>
      </c>
      <c r="H85" s="22">
        <v>22.31</v>
      </c>
      <c r="I85" s="22">
        <v>22572.81</v>
      </c>
      <c r="J85" s="23">
        <v>2.2290175038546241E-3</v>
      </c>
    </row>
    <row r="86" spans="1:10" ht="38.25" x14ac:dyDescent="0.25">
      <c r="A86" s="19" t="s">
        <v>291</v>
      </c>
      <c r="B86" s="20" t="s">
        <v>292</v>
      </c>
      <c r="C86" s="19" t="s">
        <v>74</v>
      </c>
      <c r="D86" s="19" t="s">
        <v>293</v>
      </c>
      <c r="E86" s="21" t="s">
        <v>76</v>
      </c>
      <c r="F86" s="22">
        <v>1164.56</v>
      </c>
      <c r="G86" s="22">
        <v>90.25</v>
      </c>
      <c r="H86" s="22">
        <v>113.01</v>
      </c>
      <c r="I86" s="22">
        <v>131606.92000000001</v>
      </c>
      <c r="J86" s="23">
        <v>1.2995906504701683E-2</v>
      </c>
    </row>
    <row r="87" spans="1:10" ht="25.5" x14ac:dyDescent="0.25">
      <c r="A87" s="19" t="s">
        <v>294</v>
      </c>
      <c r="B87" s="20" t="s">
        <v>295</v>
      </c>
      <c r="C87" s="19" t="s">
        <v>74</v>
      </c>
      <c r="D87" s="19" t="s">
        <v>296</v>
      </c>
      <c r="E87" s="21" t="s">
        <v>76</v>
      </c>
      <c r="F87" s="22">
        <v>254.24</v>
      </c>
      <c r="G87" s="22">
        <v>43.69</v>
      </c>
      <c r="H87" s="22">
        <v>54.7</v>
      </c>
      <c r="I87" s="22">
        <v>13906.92</v>
      </c>
      <c r="J87" s="23">
        <v>1.3732790957220633E-3</v>
      </c>
    </row>
    <row r="88" spans="1:10" ht="25.5" x14ac:dyDescent="0.25">
      <c r="A88" s="19" t="s">
        <v>297</v>
      </c>
      <c r="B88" s="20" t="s">
        <v>298</v>
      </c>
      <c r="C88" s="19" t="s">
        <v>74</v>
      </c>
      <c r="D88" s="19" t="s">
        <v>299</v>
      </c>
      <c r="E88" s="21" t="s">
        <v>76</v>
      </c>
      <c r="F88" s="22">
        <v>1418.8</v>
      </c>
      <c r="G88" s="22">
        <v>39.58</v>
      </c>
      <c r="H88" s="22">
        <v>49.56</v>
      </c>
      <c r="I88" s="22">
        <v>70315.72</v>
      </c>
      <c r="J88" s="23">
        <v>6.9435294354642007E-3</v>
      </c>
    </row>
    <row r="89" spans="1:10" x14ac:dyDescent="0.25">
      <c r="A89" s="5" t="s">
        <v>29</v>
      </c>
      <c r="B89" s="5"/>
      <c r="C89" s="5"/>
      <c r="D89" s="5" t="s">
        <v>30</v>
      </c>
      <c r="E89" s="5"/>
      <c r="F89" s="6"/>
      <c r="G89" s="24"/>
      <c r="H89" s="24"/>
      <c r="I89" s="6">
        <v>712823.62</v>
      </c>
      <c r="J89" s="7">
        <v>7.0389832995582616E-2</v>
      </c>
    </row>
    <row r="90" spans="1:10" ht="38.25" x14ac:dyDescent="0.25">
      <c r="A90" s="19" t="s">
        <v>300</v>
      </c>
      <c r="B90" s="20" t="s">
        <v>301</v>
      </c>
      <c r="C90" s="19" t="s">
        <v>74</v>
      </c>
      <c r="D90" s="19" t="s">
        <v>302</v>
      </c>
      <c r="E90" s="21" t="s">
        <v>76</v>
      </c>
      <c r="F90" s="22">
        <v>6437.02</v>
      </c>
      <c r="G90" s="22">
        <v>3.26</v>
      </c>
      <c r="H90" s="22">
        <v>4.08</v>
      </c>
      <c r="I90" s="22">
        <v>26263.040000000001</v>
      </c>
      <c r="J90" s="23">
        <v>2.593419953671437E-3</v>
      </c>
    </row>
    <row r="91" spans="1:10" ht="63.75" x14ac:dyDescent="0.25">
      <c r="A91" s="19" t="s">
        <v>303</v>
      </c>
      <c r="B91" s="20" t="s">
        <v>304</v>
      </c>
      <c r="C91" s="19" t="s">
        <v>74</v>
      </c>
      <c r="D91" s="19" t="s">
        <v>305</v>
      </c>
      <c r="E91" s="21" t="s">
        <v>76</v>
      </c>
      <c r="F91" s="22">
        <v>6437.02</v>
      </c>
      <c r="G91" s="22">
        <v>28.14</v>
      </c>
      <c r="H91" s="22">
        <v>35.229999999999997</v>
      </c>
      <c r="I91" s="22">
        <v>226776.21</v>
      </c>
      <c r="J91" s="23">
        <v>2.2393673696266086E-2</v>
      </c>
    </row>
    <row r="92" spans="1:10" ht="38.25" x14ac:dyDescent="0.25">
      <c r="A92" s="19" t="s">
        <v>306</v>
      </c>
      <c r="B92" s="20" t="s">
        <v>307</v>
      </c>
      <c r="C92" s="19" t="s">
        <v>74</v>
      </c>
      <c r="D92" s="19" t="s">
        <v>308</v>
      </c>
      <c r="E92" s="21" t="s">
        <v>76</v>
      </c>
      <c r="F92" s="22">
        <v>1466.24</v>
      </c>
      <c r="G92" s="22">
        <v>167.66</v>
      </c>
      <c r="H92" s="22">
        <v>209.94</v>
      </c>
      <c r="I92" s="22">
        <v>307822.42</v>
      </c>
      <c r="J92" s="23">
        <v>3.0396816446817642E-2</v>
      </c>
    </row>
    <row r="93" spans="1:10" ht="25.5" x14ac:dyDescent="0.25">
      <c r="A93" s="14" t="s">
        <v>309</v>
      </c>
      <c r="B93" s="15" t="s">
        <v>310</v>
      </c>
      <c r="C93" s="14" t="s">
        <v>74</v>
      </c>
      <c r="D93" s="14" t="s">
        <v>311</v>
      </c>
      <c r="E93" s="16" t="s">
        <v>76</v>
      </c>
      <c r="F93" s="17">
        <v>993.8</v>
      </c>
      <c r="G93" s="17">
        <v>122.12</v>
      </c>
      <c r="H93" s="17">
        <v>152.91</v>
      </c>
      <c r="I93" s="17">
        <v>151961.95000000001</v>
      </c>
      <c r="J93" s="18">
        <v>1.5005922898827448E-2</v>
      </c>
    </row>
    <row r="94" spans="1:10" x14ac:dyDescent="0.25">
      <c r="A94" s="5" t="s">
        <v>31</v>
      </c>
      <c r="B94" s="5"/>
      <c r="C94" s="5"/>
      <c r="D94" s="5" t="s">
        <v>32</v>
      </c>
      <c r="E94" s="5"/>
      <c r="F94" s="6"/>
      <c r="G94" s="24"/>
      <c r="H94" s="24"/>
      <c r="I94" s="6">
        <v>234356.17</v>
      </c>
      <c r="J94" s="7">
        <v>2.3142178801236087E-2</v>
      </c>
    </row>
    <row r="95" spans="1:10" ht="38.25" x14ac:dyDescent="0.25">
      <c r="A95" s="19" t="s">
        <v>312</v>
      </c>
      <c r="B95" s="20" t="s">
        <v>313</v>
      </c>
      <c r="C95" s="19" t="s">
        <v>235</v>
      </c>
      <c r="D95" s="19" t="s">
        <v>314</v>
      </c>
      <c r="E95" s="21" t="s">
        <v>76</v>
      </c>
      <c r="F95" s="22">
        <v>725.17</v>
      </c>
      <c r="G95" s="22">
        <v>85.94</v>
      </c>
      <c r="H95" s="22">
        <v>107.61</v>
      </c>
      <c r="I95" s="22">
        <v>78035.539999999994</v>
      </c>
      <c r="J95" s="23">
        <v>7.7058454212279139E-3</v>
      </c>
    </row>
    <row r="96" spans="1:10" ht="25.5" x14ac:dyDescent="0.25">
      <c r="A96" s="19" t="s">
        <v>315</v>
      </c>
      <c r="B96" s="20" t="s">
        <v>316</v>
      </c>
      <c r="C96" s="19" t="s">
        <v>74</v>
      </c>
      <c r="D96" s="19" t="s">
        <v>317</v>
      </c>
      <c r="E96" s="21" t="s">
        <v>86</v>
      </c>
      <c r="F96" s="22">
        <v>257.57</v>
      </c>
      <c r="G96" s="22">
        <v>28.67</v>
      </c>
      <c r="H96" s="22">
        <v>35.9</v>
      </c>
      <c r="I96" s="22">
        <v>9246.76</v>
      </c>
      <c r="J96" s="23">
        <v>9.1309809872775188E-4</v>
      </c>
    </row>
    <row r="97" spans="1:10" ht="25.5" x14ac:dyDescent="0.25">
      <c r="A97" s="19" t="s">
        <v>318</v>
      </c>
      <c r="B97" s="20" t="s">
        <v>319</v>
      </c>
      <c r="C97" s="19" t="s">
        <v>74</v>
      </c>
      <c r="D97" s="19" t="s">
        <v>320</v>
      </c>
      <c r="E97" s="21" t="s">
        <v>76</v>
      </c>
      <c r="F97" s="22">
        <v>1509.13</v>
      </c>
      <c r="G97" s="22">
        <v>30.46</v>
      </c>
      <c r="H97" s="22">
        <v>38.14</v>
      </c>
      <c r="I97" s="22">
        <v>57558.21</v>
      </c>
      <c r="J97" s="23">
        <v>5.6837521593696254E-3</v>
      </c>
    </row>
    <row r="98" spans="1:10" ht="25.5" x14ac:dyDescent="0.25">
      <c r="A98" s="19" t="s">
        <v>321</v>
      </c>
      <c r="B98" s="20" t="s">
        <v>322</v>
      </c>
      <c r="C98" s="19" t="s">
        <v>74</v>
      </c>
      <c r="D98" s="19" t="s">
        <v>323</v>
      </c>
      <c r="E98" s="21" t="s">
        <v>76</v>
      </c>
      <c r="F98" s="22">
        <v>899.36</v>
      </c>
      <c r="G98" s="22">
        <v>42.36</v>
      </c>
      <c r="H98" s="22">
        <v>53.04</v>
      </c>
      <c r="I98" s="22">
        <v>47702.05</v>
      </c>
      <c r="J98" s="23">
        <v>4.7104770925617354E-3</v>
      </c>
    </row>
    <row r="99" spans="1:10" ht="25.5" x14ac:dyDescent="0.25">
      <c r="A99" s="19" t="s">
        <v>324</v>
      </c>
      <c r="B99" s="20" t="s">
        <v>325</v>
      </c>
      <c r="C99" s="19" t="s">
        <v>235</v>
      </c>
      <c r="D99" s="19" t="s">
        <v>326</v>
      </c>
      <c r="E99" s="21" t="s">
        <v>76</v>
      </c>
      <c r="F99" s="22">
        <v>267.58999999999997</v>
      </c>
      <c r="G99" s="22">
        <v>124.79</v>
      </c>
      <c r="H99" s="22">
        <v>156.26</v>
      </c>
      <c r="I99" s="22">
        <v>41813.61</v>
      </c>
      <c r="J99" s="23">
        <v>4.1290060293490598E-3</v>
      </c>
    </row>
    <row r="100" spans="1:10" x14ac:dyDescent="0.25">
      <c r="A100" s="5" t="s">
        <v>33</v>
      </c>
      <c r="B100" s="5"/>
      <c r="C100" s="5"/>
      <c r="D100" s="5" t="s">
        <v>34</v>
      </c>
      <c r="E100" s="5"/>
      <c r="F100" s="6"/>
      <c r="G100" s="24"/>
      <c r="H100" s="24"/>
      <c r="I100" s="6">
        <v>437602.78</v>
      </c>
      <c r="J100" s="7">
        <v>4.3212353993829049E-2</v>
      </c>
    </row>
    <row r="101" spans="1:10" ht="63.75" x14ac:dyDescent="0.25">
      <c r="A101" s="19" t="s">
        <v>327</v>
      </c>
      <c r="B101" s="20" t="s">
        <v>328</v>
      </c>
      <c r="C101" s="19" t="s">
        <v>74</v>
      </c>
      <c r="D101" s="19" t="s">
        <v>329</v>
      </c>
      <c r="E101" s="21" t="s">
        <v>76</v>
      </c>
      <c r="F101" s="22">
        <v>3583.04</v>
      </c>
      <c r="G101" s="22">
        <v>7.67</v>
      </c>
      <c r="H101" s="22">
        <v>9.6</v>
      </c>
      <c r="I101" s="22">
        <v>34397.18</v>
      </c>
      <c r="J101" s="23">
        <v>3.3966491678811012E-3</v>
      </c>
    </row>
    <row r="102" spans="1:10" ht="51" x14ac:dyDescent="0.25">
      <c r="A102" s="19" t="s">
        <v>330</v>
      </c>
      <c r="B102" s="20" t="s">
        <v>331</v>
      </c>
      <c r="C102" s="19" t="s">
        <v>74</v>
      </c>
      <c r="D102" s="19" t="s">
        <v>332</v>
      </c>
      <c r="E102" s="21" t="s">
        <v>76</v>
      </c>
      <c r="F102" s="22">
        <v>3583.04</v>
      </c>
      <c r="G102" s="22">
        <v>27.99</v>
      </c>
      <c r="H102" s="22">
        <v>35.04</v>
      </c>
      <c r="I102" s="22">
        <v>125549.72</v>
      </c>
      <c r="J102" s="23">
        <v>1.2397770746488674E-2</v>
      </c>
    </row>
    <row r="103" spans="1:10" ht="38.25" x14ac:dyDescent="0.25">
      <c r="A103" s="19" t="s">
        <v>333</v>
      </c>
      <c r="B103" s="20" t="s">
        <v>334</v>
      </c>
      <c r="C103" s="19" t="s">
        <v>235</v>
      </c>
      <c r="D103" s="19" t="s">
        <v>335</v>
      </c>
      <c r="E103" s="21" t="s">
        <v>76</v>
      </c>
      <c r="F103" s="22">
        <v>460.51</v>
      </c>
      <c r="G103" s="22">
        <v>457.06</v>
      </c>
      <c r="H103" s="22">
        <v>572.33000000000004</v>
      </c>
      <c r="I103" s="22">
        <v>263563.68</v>
      </c>
      <c r="J103" s="23">
        <v>2.6026358973487967E-2</v>
      </c>
    </row>
    <row r="104" spans="1:10" ht="38.25" x14ac:dyDescent="0.25">
      <c r="A104" s="19" t="s">
        <v>336</v>
      </c>
      <c r="B104" s="20" t="s">
        <v>337</v>
      </c>
      <c r="C104" s="19" t="s">
        <v>235</v>
      </c>
      <c r="D104" s="19" t="s">
        <v>338</v>
      </c>
      <c r="E104" s="21" t="s">
        <v>76</v>
      </c>
      <c r="F104" s="22">
        <v>114.72</v>
      </c>
      <c r="G104" s="22">
        <v>98.1</v>
      </c>
      <c r="H104" s="22">
        <v>122.84</v>
      </c>
      <c r="I104" s="22">
        <v>14092.2</v>
      </c>
      <c r="J104" s="23">
        <v>1.391575105971305E-3</v>
      </c>
    </row>
    <row r="105" spans="1:10" x14ac:dyDescent="0.25">
      <c r="A105" s="5" t="s">
        <v>35</v>
      </c>
      <c r="B105" s="5"/>
      <c r="C105" s="5"/>
      <c r="D105" s="5" t="s">
        <v>36</v>
      </c>
      <c r="E105" s="5"/>
      <c r="F105" s="6"/>
      <c r="G105" s="24"/>
      <c r="H105" s="24"/>
      <c r="I105" s="6">
        <v>317696.73</v>
      </c>
      <c r="J105" s="7">
        <v>3.1371883787945608E-2</v>
      </c>
    </row>
    <row r="106" spans="1:10" ht="25.5" x14ac:dyDescent="0.25">
      <c r="A106" s="19" t="s">
        <v>339</v>
      </c>
      <c r="B106" s="20" t="s">
        <v>340</v>
      </c>
      <c r="C106" s="19" t="s">
        <v>74</v>
      </c>
      <c r="D106" s="19" t="s">
        <v>341</v>
      </c>
      <c r="E106" s="21" t="s">
        <v>76</v>
      </c>
      <c r="F106" s="22">
        <v>7407.16</v>
      </c>
      <c r="G106" s="22">
        <v>2.15</v>
      </c>
      <c r="H106" s="22">
        <v>2.69</v>
      </c>
      <c r="I106" s="22">
        <v>19925.259999999998</v>
      </c>
      <c r="J106" s="23">
        <v>1.9675775106800788E-3</v>
      </c>
    </row>
    <row r="107" spans="1:10" ht="25.5" x14ac:dyDescent="0.25">
      <c r="A107" s="19" t="s">
        <v>342</v>
      </c>
      <c r="B107" s="20" t="s">
        <v>343</v>
      </c>
      <c r="C107" s="19" t="s">
        <v>74</v>
      </c>
      <c r="D107" s="19" t="s">
        <v>344</v>
      </c>
      <c r="E107" s="21" t="s">
        <v>76</v>
      </c>
      <c r="F107" s="22">
        <v>7407.16</v>
      </c>
      <c r="G107" s="22">
        <v>11.98</v>
      </c>
      <c r="H107" s="22">
        <v>15</v>
      </c>
      <c r="I107" s="22">
        <v>111107.4</v>
      </c>
      <c r="J107" s="23">
        <v>1.0971622027021769E-2</v>
      </c>
    </row>
    <row r="108" spans="1:10" ht="25.5" x14ac:dyDescent="0.25">
      <c r="A108" s="19" t="s">
        <v>345</v>
      </c>
      <c r="B108" s="20" t="s">
        <v>346</v>
      </c>
      <c r="C108" s="19" t="s">
        <v>74</v>
      </c>
      <c r="D108" s="19" t="s">
        <v>347</v>
      </c>
      <c r="E108" s="21" t="s">
        <v>76</v>
      </c>
      <c r="F108" s="22">
        <v>7407.16</v>
      </c>
      <c r="G108" s="22">
        <v>12.05</v>
      </c>
      <c r="H108" s="22">
        <v>15.08</v>
      </c>
      <c r="I108" s="22">
        <v>111699.97</v>
      </c>
      <c r="J108" s="23">
        <v>1.1030137068005109E-2</v>
      </c>
    </row>
    <row r="109" spans="1:10" ht="25.5" x14ac:dyDescent="0.25">
      <c r="A109" s="19" t="s">
        <v>348</v>
      </c>
      <c r="B109" s="20" t="s">
        <v>349</v>
      </c>
      <c r="C109" s="19" t="s">
        <v>74</v>
      </c>
      <c r="D109" s="19" t="s">
        <v>350</v>
      </c>
      <c r="E109" s="21" t="s">
        <v>76</v>
      </c>
      <c r="F109" s="22">
        <v>1564.15</v>
      </c>
      <c r="G109" s="22">
        <v>2.46</v>
      </c>
      <c r="H109" s="22">
        <v>3.08</v>
      </c>
      <c r="I109" s="22">
        <v>4817.58</v>
      </c>
      <c r="J109" s="23">
        <v>4.7572589084921019E-4</v>
      </c>
    </row>
    <row r="110" spans="1:10" ht="25.5" x14ac:dyDescent="0.25">
      <c r="A110" s="19" t="s">
        <v>351</v>
      </c>
      <c r="B110" s="20" t="s">
        <v>352</v>
      </c>
      <c r="C110" s="19" t="s">
        <v>74</v>
      </c>
      <c r="D110" s="19" t="s">
        <v>353</v>
      </c>
      <c r="E110" s="21" t="s">
        <v>76</v>
      </c>
      <c r="F110" s="22">
        <v>1564.15</v>
      </c>
      <c r="G110" s="22">
        <v>21.23</v>
      </c>
      <c r="H110" s="22">
        <v>26.58</v>
      </c>
      <c r="I110" s="22">
        <v>41575.1</v>
      </c>
      <c r="J110" s="23">
        <v>4.1054536685732248E-3</v>
      </c>
    </row>
    <row r="111" spans="1:10" ht="25.5" x14ac:dyDescent="0.25">
      <c r="A111" s="19" t="s">
        <v>354</v>
      </c>
      <c r="B111" s="20" t="s">
        <v>355</v>
      </c>
      <c r="C111" s="19" t="s">
        <v>74</v>
      </c>
      <c r="D111" s="19" t="s">
        <v>356</v>
      </c>
      <c r="E111" s="21" t="s">
        <v>76</v>
      </c>
      <c r="F111" s="22">
        <v>1564.15</v>
      </c>
      <c r="G111" s="22">
        <v>13.5</v>
      </c>
      <c r="H111" s="22">
        <v>16.899999999999999</v>
      </c>
      <c r="I111" s="22">
        <v>26434.13</v>
      </c>
      <c r="J111" s="23">
        <v>2.6103147312704373E-3</v>
      </c>
    </row>
    <row r="112" spans="1:10" ht="25.5" x14ac:dyDescent="0.25">
      <c r="A112" s="19" t="s">
        <v>357</v>
      </c>
      <c r="B112" s="20" t="s">
        <v>358</v>
      </c>
      <c r="C112" s="19" t="s">
        <v>74</v>
      </c>
      <c r="D112" s="19" t="s">
        <v>359</v>
      </c>
      <c r="E112" s="21" t="s">
        <v>76</v>
      </c>
      <c r="F112" s="22">
        <v>118.46</v>
      </c>
      <c r="G112" s="22">
        <v>11.23</v>
      </c>
      <c r="H112" s="22">
        <v>14.06</v>
      </c>
      <c r="I112" s="22">
        <v>1665.54</v>
      </c>
      <c r="J112" s="23">
        <v>1.6446857140825757E-4</v>
      </c>
    </row>
    <row r="113" spans="1:10" ht="25.5" x14ac:dyDescent="0.25">
      <c r="A113" s="19" t="s">
        <v>360</v>
      </c>
      <c r="B113" s="20" t="s">
        <v>361</v>
      </c>
      <c r="C113" s="19" t="s">
        <v>74</v>
      </c>
      <c r="D113" s="19" t="s">
        <v>362</v>
      </c>
      <c r="E113" s="21" t="s">
        <v>86</v>
      </c>
      <c r="F113" s="22">
        <v>85</v>
      </c>
      <c r="G113" s="22">
        <v>4.4400000000000004</v>
      </c>
      <c r="H113" s="22">
        <v>5.55</v>
      </c>
      <c r="I113" s="22">
        <v>471.75</v>
      </c>
      <c r="J113" s="23">
        <v>4.6584320137520273E-5</v>
      </c>
    </row>
    <row r="114" spans="1:10" x14ac:dyDescent="0.25">
      <c r="A114" s="5" t="s">
        <v>37</v>
      </c>
      <c r="B114" s="5"/>
      <c r="C114" s="5"/>
      <c r="D114" s="5" t="s">
        <v>38</v>
      </c>
      <c r="E114" s="5"/>
      <c r="F114" s="6"/>
      <c r="G114" s="24"/>
      <c r="H114" s="24"/>
      <c r="I114" s="6">
        <v>508339.46</v>
      </c>
      <c r="J114" s="7">
        <v>5.0197452343771445E-2</v>
      </c>
    </row>
    <row r="115" spans="1:10" ht="38.25" x14ac:dyDescent="0.25">
      <c r="A115" s="19" t="s">
        <v>363</v>
      </c>
      <c r="B115" s="20" t="s">
        <v>364</v>
      </c>
      <c r="C115" s="19" t="s">
        <v>74</v>
      </c>
      <c r="D115" s="19" t="s">
        <v>365</v>
      </c>
      <c r="E115" s="21" t="s">
        <v>366</v>
      </c>
      <c r="F115" s="22">
        <v>7</v>
      </c>
      <c r="G115" s="22">
        <v>317.72000000000003</v>
      </c>
      <c r="H115" s="22">
        <v>397.84</v>
      </c>
      <c r="I115" s="22">
        <v>2784.88</v>
      </c>
      <c r="J115" s="23">
        <v>2.7500104179030725E-4</v>
      </c>
    </row>
    <row r="116" spans="1:10" ht="38.25" x14ac:dyDescent="0.25">
      <c r="A116" s="19" t="s">
        <v>367</v>
      </c>
      <c r="B116" s="20" t="s">
        <v>368</v>
      </c>
      <c r="C116" s="19" t="s">
        <v>74</v>
      </c>
      <c r="D116" s="19" t="s">
        <v>369</v>
      </c>
      <c r="E116" s="21" t="s">
        <v>366</v>
      </c>
      <c r="F116" s="22">
        <v>11</v>
      </c>
      <c r="G116" s="22">
        <v>338.57</v>
      </c>
      <c r="H116" s="22">
        <v>423.95</v>
      </c>
      <c r="I116" s="22">
        <v>4663.45</v>
      </c>
      <c r="J116" s="23">
        <v>4.6050587757354296E-4</v>
      </c>
    </row>
    <row r="117" spans="1:10" ht="38.25" x14ac:dyDescent="0.25">
      <c r="A117" s="19" t="s">
        <v>370</v>
      </c>
      <c r="B117" s="20" t="s">
        <v>371</v>
      </c>
      <c r="C117" s="19" t="s">
        <v>74</v>
      </c>
      <c r="D117" s="19" t="s">
        <v>372</v>
      </c>
      <c r="E117" s="21" t="s">
        <v>366</v>
      </c>
      <c r="F117" s="22">
        <v>5</v>
      </c>
      <c r="G117" s="22">
        <v>411.24</v>
      </c>
      <c r="H117" s="22">
        <v>514.95000000000005</v>
      </c>
      <c r="I117" s="22">
        <v>2574.75</v>
      </c>
      <c r="J117" s="23">
        <v>2.5425114631495564E-4</v>
      </c>
    </row>
    <row r="118" spans="1:10" ht="38.25" x14ac:dyDescent="0.25">
      <c r="A118" s="19" t="s">
        <v>373</v>
      </c>
      <c r="B118" s="20" t="s">
        <v>374</v>
      </c>
      <c r="C118" s="19" t="s">
        <v>375</v>
      </c>
      <c r="D118" s="19" t="s">
        <v>376</v>
      </c>
      <c r="E118" s="21" t="s">
        <v>377</v>
      </c>
      <c r="F118" s="22">
        <v>1</v>
      </c>
      <c r="G118" s="22">
        <v>936.28</v>
      </c>
      <c r="H118" s="22">
        <v>1172.4000000000001</v>
      </c>
      <c r="I118" s="22">
        <v>1172.4000000000001</v>
      </c>
      <c r="J118" s="23">
        <v>1.1577203376625069E-4</v>
      </c>
    </row>
    <row r="119" spans="1:10" ht="76.5" x14ac:dyDescent="0.25">
      <c r="A119" s="19" t="s">
        <v>378</v>
      </c>
      <c r="B119" s="20" t="s">
        <v>379</v>
      </c>
      <c r="C119" s="19" t="s">
        <v>375</v>
      </c>
      <c r="D119" s="19" t="s">
        <v>380</v>
      </c>
      <c r="E119" s="21" t="s">
        <v>377</v>
      </c>
      <c r="F119" s="22">
        <v>5</v>
      </c>
      <c r="G119" s="22">
        <v>14845.03</v>
      </c>
      <c r="H119" s="22">
        <v>18588.939999999999</v>
      </c>
      <c r="I119" s="22">
        <v>92944.7</v>
      </c>
      <c r="J119" s="23">
        <v>9.1780936086609012E-3</v>
      </c>
    </row>
    <row r="120" spans="1:10" ht="25.5" x14ac:dyDescent="0.25">
      <c r="A120" s="19" t="s">
        <v>381</v>
      </c>
      <c r="B120" s="20" t="s">
        <v>382</v>
      </c>
      <c r="C120" s="19" t="s">
        <v>74</v>
      </c>
      <c r="D120" s="19" t="s">
        <v>383</v>
      </c>
      <c r="E120" s="21" t="s">
        <v>76</v>
      </c>
      <c r="F120" s="22">
        <v>7.57</v>
      </c>
      <c r="G120" s="22">
        <v>177.67</v>
      </c>
      <c r="H120" s="22">
        <v>222.47</v>
      </c>
      <c r="I120" s="22">
        <v>1684.09</v>
      </c>
      <c r="J120" s="23">
        <v>1.6630034488690306E-4</v>
      </c>
    </row>
    <row r="121" spans="1:10" ht="25.5" x14ac:dyDescent="0.25">
      <c r="A121" s="19" t="s">
        <v>384</v>
      </c>
      <c r="B121" s="20" t="s">
        <v>385</v>
      </c>
      <c r="C121" s="19" t="s">
        <v>235</v>
      </c>
      <c r="D121" s="19" t="s">
        <v>386</v>
      </c>
      <c r="E121" s="21" t="s">
        <v>76</v>
      </c>
      <c r="F121" s="22">
        <v>30.4</v>
      </c>
      <c r="G121" s="22">
        <v>287.37</v>
      </c>
      <c r="H121" s="22">
        <v>359.84</v>
      </c>
      <c r="I121" s="22">
        <v>10939.13</v>
      </c>
      <c r="J121" s="23">
        <v>1.0802160761970369E-3</v>
      </c>
    </row>
    <row r="122" spans="1:10" ht="38.25" x14ac:dyDescent="0.25">
      <c r="A122" s="19" t="s">
        <v>387</v>
      </c>
      <c r="B122" s="20" t="s">
        <v>388</v>
      </c>
      <c r="C122" s="19" t="s">
        <v>74</v>
      </c>
      <c r="D122" s="19" t="s">
        <v>389</v>
      </c>
      <c r="E122" s="21" t="s">
        <v>76</v>
      </c>
      <c r="F122" s="22">
        <v>21.98</v>
      </c>
      <c r="G122" s="22">
        <v>469.09</v>
      </c>
      <c r="H122" s="22">
        <v>587.39</v>
      </c>
      <c r="I122" s="22">
        <v>12910.83</v>
      </c>
      <c r="J122" s="23">
        <v>1.2749173035741406E-3</v>
      </c>
    </row>
    <row r="123" spans="1:10" ht="25.5" x14ac:dyDescent="0.25">
      <c r="A123" s="19" t="s">
        <v>390</v>
      </c>
      <c r="B123" s="20" t="s">
        <v>391</v>
      </c>
      <c r="C123" s="19" t="s">
        <v>235</v>
      </c>
      <c r="D123" s="19" t="s">
        <v>392</v>
      </c>
      <c r="E123" s="21" t="s">
        <v>76</v>
      </c>
      <c r="F123" s="22">
        <v>26.58</v>
      </c>
      <c r="G123" s="22">
        <v>275.61</v>
      </c>
      <c r="H123" s="22">
        <v>345.11</v>
      </c>
      <c r="I123" s="22">
        <v>9173.02</v>
      </c>
      <c r="J123" s="23">
        <v>9.0581642884552456E-4</v>
      </c>
    </row>
    <row r="124" spans="1:10" ht="25.5" x14ac:dyDescent="0.25">
      <c r="A124" s="19" t="s">
        <v>393</v>
      </c>
      <c r="B124" s="20" t="s">
        <v>394</v>
      </c>
      <c r="C124" s="19" t="s">
        <v>74</v>
      </c>
      <c r="D124" s="19" t="s">
        <v>395</v>
      </c>
      <c r="E124" s="21" t="s">
        <v>76</v>
      </c>
      <c r="F124" s="22">
        <v>69.28</v>
      </c>
      <c r="G124" s="22">
        <v>339.45</v>
      </c>
      <c r="H124" s="22">
        <v>425.05</v>
      </c>
      <c r="I124" s="22">
        <v>29447.46</v>
      </c>
      <c r="J124" s="23">
        <v>2.9078747299985642E-3</v>
      </c>
    </row>
    <row r="125" spans="1:10" ht="63.75" x14ac:dyDescent="0.25">
      <c r="A125" s="19" t="s">
        <v>396</v>
      </c>
      <c r="B125" s="20" t="s">
        <v>397</v>
      </c>
      <c r="C125" s="19" t="s">
        <v>74</v>
      </c>
      <c r="D125" s="19" t="s">
        <v>398</v>
      </c>
      <c r="E125" s="21" t="s">
        <v>76</v>
      </c>
      <c r="F125" s="22">
        <v>32.24</v>
      </c>
      <c r="G125" s="22">
        <v>1123.48</v>
      </c>
      <c r="H125" s="22">
        <v>1406.82</v>
      </c>
      <c r="I125" s="22">
        <v>45355.87</v>
      </c>
      <c r="J125" s="23">
        <v>4.4787967529321708E-3</v>
      </c>
    </row>
    <row r="126" spans="1:10" ht="25.5" x14ac:dyDescent="0.25">
      <c r="A126" s="19" t="s">
        <v>399</v>
      </c>
      <c r="B126" s="20" t="s">
        <v>400</v>
      </c>
      <c r="C126" s="19" t="s">
        <v>235</v>
      </c>
      <c r="D126" s="19" t="s">
        <v>401</v>
      </c>
      <c r="E126" s="21" t="s">
        <v>402</v>
      </c>
      <c r="F126" s="22">
        <v>8</v>
      </c>
      <c r="G126" s="22">
        <v>6979.24</v>
      </c>
      <c r="H126" s="22">
        <v>8739.4</v>
      </c>
      <c r="I126" s="22">
        <v>69915.199999999997</v>
      </c>
      <c r="J126" s="23">
        <v>6.9039789279888861E-3</v>
      </c>
    </row>
    <row r="127" spans="1:10" ht="25.5" x14ac:dyDescent="0.25">
      <c r="A127" s="19" t="s">
        <v>403</v>
      </c>
      <c r="B127" s="20" t="s">
        <v>404</v>
      </c>
      <c r="C127" s="19" t="s">
        <v>235</v>
      </c>
      <c r="D127" s="19" t="s">
        <v>405</v>
      </c>
      <c r="E127" s="21" t="s">
        <v>76</v>
      </c>
      <c r="F127" s="22">
        <v>12</v>
      </c>
      <c r="G127" s="22">
        <v>611.27</v>
      </c>
      <c r="H127" s="22">
        <v>765.43</v>
      </c>
      <c r="I127" s="22">
        <v>9185.16</v>
      </c>
      <c r="J127" s="23">
        <v>9.0701522830809894E-4</v>
      </c>
    </row>
    <row r="128" spans="1:10" ht="25.5" x14ac:dyDescent="0.25">
      <c r="A128" s="19" t="s">
        <v>406</v>
      </c>
      <c r="B128" s="20" t="s">
        <v>394</v>
      </c>
      <c r="C128" s="19" t="s">
        <v>74</v>
      </c>
      <c r="D128" s="19" t="s">
        <v>395</v>
      </c>
      <c r="E128" s="21" t="s">
        <v>76</v>
      </c>
      <c r="F128" s="22">
        <v>9.6999999999999993</v>
      </c>
      <c r="G128" s="22">
        <v>339.45</v>
      </c>
      <c r="H128" s="22">
        <v>425.05</v>
      </c>
      <c r="I128" s="22">
        <v>4122.9799999999996</v>
      </c>
      <c r="J128" s="23">
        <v>4.0713560199383855E-4</v>
      </c>
    </row>
    <row r="129" spans="1:10" ht="51" x14ac:dyDescent="0.25">
      <c r="A129" s="19" t="s">
        <v>407</v>
      </c>
      <c r="B129" s="20" t="s">
        <v>408</v>
      </c>
      <c r="C129" s="19" t="s">
        <v>74</v>
      </c>
      <c r="D129" s="19" t="s">
        <v>409</v>
      </c>
      <c r="E129" s="21" t="s">
        <v>76</v>
      </c>
      <c r="F129" s="22">
        <v>31.3</v>
      </c>
      <c r="G129" s="22">
        <v>808.32</v>
      </c>
      <c r="H129" s="22">
        <v>1012.17</v>
      </c>
      <c r="I129" s="22">
        <v>31680.92</v>
      </c>
      <c r="J129" s="23">
        <v>3.1284242067433359E-3</v>
      </c>
    </row>
    <row r="130" spans="1:10" ht="51" x14ac:dyDescent="0.25">
      <c r="A130" s="19" t="s">
        <v>410</v>
      </c>
      <c r="B130" s="20" t="s">
        <v>411</v>
      </c>
      <c r="C130" s="19" t="s">
        <v>74</v>
      </c>
      <c r="D130" s="19" t="s">
        <v>412</v>
      </c>
      <c r="E130" s="21" t="s">
        <v>76</v>
      </c>
      <c r="F130" s="22">
        <v>0.6</v>
      </c>
      <c r="G130" s="22">
        <v>710.04</v>
      </c>
      <c r="H130" s="22">
        <v>889.11</v>
      </c>
      <c r="I130" s="22">
        <v>533.46</v>
      </c>
      <c r="J130" s="23">
        <v>5.2678052825779679E-5</v>
      </c>
    </row>
    <row r="131" spans="1:10" ht="38.25" x14ac:dyDescent="0.25">
      <c r="A131" s="19" t="s">
        <v>413</v>
      </c>
      <c r="B131" s="20" t="s">
        <v>414</v>
      </c>
      <c r="C131" s="19" t="s">
        <v>74</v>
      </c>
      <c r="D131" s="19" t="s">
        <v>415</v>
      </c>
      <c r="E131" s="21" t="s">
        <v>76</v>
      </c>
      <c r="F131" s="22">
        <v>3.3</v>
      </c>
      <c r="G131" s="22">
        <v>1331.25</v>
      </c>
      <c r="H131" s="22">
        <v>1666.99</v>
      </c>
      <c r="I131" s="22">
        <v>5501.06</v>
      </c>
      <c r="J131" s="23">
        <v>5.4321810309635875E-4</v>
      </c>
    </row>
    <row r="132" spans="1:10" ht="38.25" x14ac:dyDescent="0.25">
      <c r="A132" s="19" t="s">
        <v>416</v>
      </c>
      <c r="B132" s="20" t="s">
        <v>417</v>
      </c>
      <c r="C132" s="19" t="s">
        <v>74</v>
      </c>
      <c r="D132" s="19" t="s">
        <v>418</v>
      </c>
      <c r="E132" s="21" t="s">
        <v>76</v>
      </c>
      <c r="F132" s="22">
        <v>3.25</v>
      </c>
      <c r="G132" s="22">
        <v>1518.16</v>
      </c>
      <c r="H132" s="22">
        <v>1901.03</v>
      </c>
      <c r="I132" s="22">
        <v>6178.34</v>
      </c>
      <c r="J132" s="23">
        <v>6.100980783856852E-4</v>
      </c>
    </row>
    <row r="133" spans="1:10" ht="25.5" x14ac:dyDescent="0.25">
      <c r="A133" s="19" t="s">
        <v>419</v>
      </c>
      <c r="B133" s="20" t="s">
        <v>420</v>
      </c>
      <c r="C133" s="19" t="s">
        <v>74</v>
      </c>
      <c r="D133" s="19" t="s">
        <v>421</v>
      </c>
      <c r="E133" s="21" t="s">
        <v>86</v>
      </c>
      <c r="F133" s="22">
        <v>156</v>
      </c>
      <c r="G133" s="22">
        <v>26.01</v>
      </c>
      <c r="H133" s="22">
        <v>32.56</v>
      </c>
      <c r="I133" s="22">
        <v>5079.3599999999997</v>
      </c>
      <c r="J133" s="23">
        <v>5.0157611517480654E-4</v>
      </c>
    </row>
    <row r="134" spans="1:10" ht="38.25" x14ac:dyDescent="0.25">
      <c r="A134" s="19" t="s">
        <v>422</v>
      </c>
      <c r="B134" s="20" t="s">
        <v>423</v>
      </c>
      <c r="C134" s="19" t="s">
        <v>235</v>
      </c>
      <c r="D134" s="19" t="s">
        <v>424</v>
      </c>
      <c r="E134" s="21" t="s">
        <v>76</v>
      </c>
      <c r="F134" s="22">
        <v>10.78</v>
      </c>
      <c r="G134" s="22">
        <v>357.94</v>
      </c>
      <c r="H134" s="22">
        <v>448.21</v>
      </c>
      <c r="I134" s="22">
        <v>4831.7</v>
      </c>
      <c r="J134" s="23">
        <v>4.7712021114670205E-4</v>
      </c>
    </row>
    <row r="135" spans="1:10" ht="25.5" x14ac:dyDescent="0.25">
      <c r="A135" s="19" t="s">
        <v>425</v>
      </c>
      <c r="B135" s="20" t="s">
        <v>426</v>
      </c>
      <c r="C135" s="19" t="s">
        <v>235</v>
      </c>
      <c r="D135" s="19" t="s">
        <v>427</v>
      </c>
      <c r="E135" s="21" t="s">
        <v>76</v>
      </c>
      <c r="F135" s="22">
        <v>242.41</v>
      </c>
      <c r="G135" s="22">
        <v>474.06</v>
      </c>
      <c r="H135" s="22">
        <v>593.61</v>
      </c>
      <c r="I135" s="22">
        <v>143897</v>
      </c>
      <c r="J135" s="23">
        <v>1.4209526051571286E-2</v>
      </c>
    </row>
    <row r="136" spans="1:10" ht="38.25" x14ac:dyDescent="0.25">
      <c r="A136" s="19" t="s">
        <v>428</v>
      </c>
      <c r="B136" s="20" t="s">
        <v>429</v>
      </c>
      <c r="C136" s="19" t="s">
        <v>74</v>
      </c>
      <c r="D136" s="19" t="s">
        <v>430</v>
      </c>
      <c r="E136" s="21" t="s">
        <v>366</v>
      </c>
      <c r="F136" s="22">
        <v>23</v>
      </c>
      <c r="G136" s="22">
        <v>135.72</v>
      </c>
      <c r="H136" s="22">
        <v>169.94</v>
      </c>
      <c r="I136" s="22">
        <v>3908.62</v>
      </c>
      <c r="J136" s="23">
        <v>3.8596800291661789E-4</v>
      </c>
    </row>
    <row r="137" spans="1:10" x14ac:dyDescent="0.25">
      <c r="A137" s="19" t="s">
        <v>431</v>
      </c>
      <c r="B137" s="20" t="s">
        <v>432</v>
      </c>
      <c r="C137" s="19" t="s">
        <v>235</v>
      </c>
      <c r="D137" s="19" t="s">
        <v>433</v>
      </c>
      <c r="E137" s="21" t="s">
        <v>434</v>
      </c>
      <c r="F137" s="22">
        <v>129.97999999999999</v>
      </c>
      <c r="G137" s="22">
        <v>60.55</v>
      </c>
      <c r="H137" s="22">
        <v>75.819999999999993</v>
      </c>
      <c r="I137" s="22">
        <v>9855.08</v>
      </c>
      <c r="J137" s="23">
        <v>9.7316841907975251E-4</v>
      </c>
    </row>
    <row r="138" spans="1:10" x14ac:dyDescent="0.25">
      <c r="A138" s="5" t="s">
        <v>39</v>
      </c>
      <c r="B138" s="5"/>
      <c r="C138" s="5"/>
      <c r="D138" s="5" t="s">
        <v>40</v>
      </c>
      <c r="E138" s="5"/>
      <c r="F138" s="6"/>
      <c r="G138" s="24"/>
      <c r="H138" s="24"/>
      <c r="I138" s="6">
        <v>104955.55</v>
      </c>
      <c r="J138" s="7">
        <v>1.0364139780412328E-2</v>
      </c>
    </row>
    <row r="139" spans="1:10" ht="38.25" x14ac:dyDescent="0.25">
      <c r="A139" s="19" t="s">
        <v>435</v>
      </c>
      <c r="B139" s="20" t="s">
        <v>436</v>
      </c>
      <c r="C139" s="19" t="s">
        <v>74</v>
      </c>
      <c r="D139" s="19" t="s">
        <v>437</v>
      </c>
      <c r="E139" s="21" t="s">
        <v>366</v>
      </c>
      <c r="F139" s="22">
        <v>26</v>
      </c>
      <c r="G139" s="22">
        <v>420.57</v>
      </c>
      <c r="H139" s="22">
        <v>526.63</v>
      </c>
      <c r="I139" s="22">
        <v>13692.38</v>
      </c>
      <c r="J139" s="23">
        <v>1.3520937220234865E-3</v>
      </c>
    </row>
    <row r="140" spans="1:10" ht="51" x14ac:dyDescent="0.25">
      <c r="A140" s="19" t="s">
        <v>438</v>
      </c>
      <c r="B140" s="20" t="s">
        <v>439</v>
      </c>
      <c r="C140" s="19" t="s">
        <v>74</v>
      </c>
      <c r="D140" s="19" t="s">
        <v>440</v>
      </c>
      <c r="E140" s="21" t="s">
        <v>366</v>
      </c>
      <c r="F140" s="22">
        <v>3</v>
      </c>
      <c r="G140" s="22">
        <v>651.35</v>
      </c>
      <c r="H140" s="22">
        <v>815.62</v>
      </c>
      <c r="I140" s="22">
        <v>2446.86</v>
      </c>
      <c r="J140" s="23">
        <v>2.4162227784142628E-4</v>
      </c>
    </row>
    <row r="141" spans="1:10" ht="25.5" x14ac:dyDescent="0.25">
      <c r="A141" s="19" t="s">
        <v>441</v>
      </c>
      <c r="B141" s="20" t="s">
        <v>442</v>
      </c>
      <c r="C141" s="19" t="s">
        <v>74</v>
      </c>
      <c r="D141" s="19" t="s">
        <v>443</v>
      </c>
      <c r="E141" s="21" t="s">
        <v>366</v>
      </c>
      <c r="F141" s="22">
        <v>29</v>
      </c>
      <c r="G141" s="22">
        <v>37.96</v>
      </c>
      <c r="H141" s="22">
        <v>47.53</v>
      </c>
      <c r="I141" s="22">
        <v>1378.37</v>
      </c>
      <c r="J141" s="23">
        <v>1.361111379924829E-4</v>
      </c>
    </row>
    <row r="142" spans="1:10" ht="25.5" x14ac:dyDescent="0.25">
      <c r="A142" s="19" t="s">
        <v>444</v>
      </c>
      <c r="B142" s="20" t="s">
        <v>445</v>
      </c>
      <c r="C142" s="19" t="s">
        <v>74</v>
      </c>
      <c r="D142" s="19" t="s">
        <v>446</v>
      </c>
      <c r="E142" s="21" t="s">
        <v>366</v>
      </c>
      <c r="F142" s="22">
        <v>9</v>
      </c>
      <c r="G142" s="22">
        <v>304.88</v>
      </c>
      <c r="H142" s="22">
        <v>381.77</v>
      </c>
      <c r="I142" s="22">
        <v>3435.93</v>
      </c>
      <c r="J142" s="23">
        <v>3.3929085975646005E-4</v>
      </c>
    </row>
    <row r="143" spans="1:10" x14ac:dyDescent="0.25">
      <c r="A143" s="19" t="s">
        <v>447</v>
      </c>
      <c r="B143" s="20" t="s">
        <v>448</v>
      </c>
      <c r="C143" s="19" t="s">
        <v>235</v>
      </c>
      <c r="D143" s="19" t="s">
        <v>449</v>
      </c>
      <c r="E143" s="21" t="s">
        <v>450</v>
      </c>
      <c r="F143" s="22">
        <v>29</v>
      </c>
      <c r="G143" s="22">
        <v>344.71</v>
      </c>
      <c r="H143" s="22">
        <v>431.64</v>
      </c>
      <c r="I143" s="22">
        <v>12517.56</v>
      </c>
      <c r="J143" s="23">
        <v>1.2360827183478923E-3</v>
      </c>
    </row>
    <row r="144" spans="1:10" ht="25.5" x14ac:dyDescent="0.25">
      <c r="A144" s="19" t="s">
        <v>451</v>
      </c>
      <c r="B144" s="20" t="s">
        <v>452</v>
      </c>
      <c r="C144" s="19" t="s">
        <v>74</v>
      </c>
      <c r="D144" s="19" t="s">
        <v>453</v>
      </c>
      <c r="E144" s="21" t="s">
        <v>366</v>
      </c>
      <c r="F144" s="22">
        <v>4</v>
      </c>
      <c r="G144" s="22">
        <v>94.66</v>
      </c>
      <c r="H144" s="22">
        <v>118.53</v>
      </c>
      <c r="I144" s="22">
        <v>474.12</v>
      </c>
      <c r="J144" s="23">
        <v>4.681835265204263E-5</v>
      </c>
    </row>
    <row r="145" spans="1:10" ht="25.5" x14ac:dyDescent="0.25">
      <c r="A145" s="19" t="s">
        <v>454</v>
      </c>
      <c r="B145" s="20" t="s">
        <v>455</v>
      </c>
      <c r="C145" s="19" t="s">
        <v>235</v>
      </c>
      <c r="D145" s="19" t="s">
        <v>456</v>
      </c>
      <c r="E145" s="21" t="s">
        <v>402</v>
      </c>
      <c r="F145" s="22">
        <v>3</v>
      </c>
      <c r="G145" s="22">
        <v>337.09</v>
      </c>
      <c r="H145" s="22">
        <v>422.1</v>
      </c>
      <c r="I145" s="22">
        <v>1266.3</v>
      </c>
      <c r="J145" s="23">
        <v>1.2504446124036441E-4</v>
      </c>
    </row>
    <row r="146" spans="1:10" ht="25.5" x14ac:dyDescent="0.25">
      <c r="A146" s="19" t="s">
        <v>457</v>
      </c>
      <c r="B146" s="20" t="s">
        <v>458</v>
      </c>
      <c r="C146" s="19" t="s">
        <v>235</v>
      </c>
      <c r="D146" s="19" t="s">
        <v>459</v>
      </c>
      <c r="E146" s="21" t="s">
        <v>450</v>
      </c>
      <c r="F146" s="22">
        <v>3</v>
      </c>
      <c r="G146" s="22">
        <v>397.38</v>
      </c>
      <c r="H146" s="22">
        <v>497.59</v>
      </c>
      <c r="I146" s="22">
        <v>1492.77</v>
      </c>
      <c r="J146" s="23">
        <v>1.4740789734326684E-4</v>
      </c>
    </row>
    <row r="147" spans="1:10" ht="38.25" x14ac:dyDescent="0.25">
      <c r="A147" s="19" t="s">
        <v>460</v>
      </c>
      <c r="B147" s="20" t="s">
        <v>461</v>
      </c>
      <c r="C147" s="19" t="s">
        <v>235</v>
      </c>
      <c r="D147" s="19" t="s">
        <v>462</v>
      </c>
      <c r="E147" s="21" t="s">
        <v>450</v>
      </c>
      <c r="F147" s="22">
        <v>18</v>
      </c>
      <c r="G147" s="22">
        <v>365.87</v>
      </c>
      <c r="H147" s="22">
        <v>458.14</v>
      </c>
      <c r="I147" s="22">
        <v>8246.52</v>
      </c>
      <c r="J147" s="23">
        <v>8.1432650280967387E-4</v>
      </c>
    </row>
    <row r="148" spans="1:10" ht="38.25" x14ac:dyDescent="0.25">
      <c r="A148" s="19" t="s">
        <v>463</v>
      </c>
      <c r="B148" s="20" t="s">
        <v>464</v>
      </c>
      <c r="C148" s="19" t="s">
        <v>74</v>
      </c>
      <c r="D148" s="19" t="s">
        <v>465</v>
      </c>
      <c r="E148" s="21" t="s">
        <v>366</v>
      </c>
      <c r="F148" s="22">
        <v>5</v>
      </c>
      <c r="G148" s="22">
        <v>366.71</v>
      </c>
      <c r="H148" s="22">
        <v>459.19</v>
      </c>
      <c r="I148" s="22">
        <v>2295.9499999999998</v>
      </c>
      <c r="J148" s="23">
        <v>2.2672023279224094E-4</v>
      </c>
    </row>
    <row r="149" spans="1:10" ht="25.5" x14ac:dyDescent="0.25">
      <c r="A149" s="19" t="s">
        <v>466</v>
      </c>
      <c r="B149" s="20" t="s">
        <v>467</v>
      </c>
      <c r="C149" s="19" t="s">
        <v>74</v>
      </c>
      <c r="D149" s="19" t="s">
        <v>468</v>
      </c>
      <c r="E149" s="21" t="s">
        <v>366</v>
      </c>
      <c r="F149" s="22">
        <v>5</v>
      </c>
      <c r="G149" s="22">
        <v>35.69</v>
      </c>
      <c r="H149" s="22">
        <v>44.69</v>
      </c>
      <c r="I149" s="22">
        <v>223.45</v>
      </c>
      <c r="J149" s="23">
        <v>2.2065217455705149E-5</v>
      </c>
    </row>
    <row r="150" spans="1:10" ht="25.5" x14ac:dyDescent="0.25">
      <c r="A150" s="19" t="s">
        <v>469</v>
      </c>
      <c r="B150" s="20" t="s">
        <v>470</v>
      </c>
      <c r="C150" s="19" t="s">
        <v>74</v>
      </c>
      <c r="D150" s="19" t="s">
        <v>471</v>
      </c>
      <c r="E150" s="21" t="s">
        <v>366</v>
      </c>
      <c r="F150" s="22">
        <v>21</v>
      </c>
      <c r="G150" s="22">
        <v>110.14</v>
      </c>
      <c r="H150" s="22">
        <v>137.91</v>
      </c>
      <c r="I150" s="22">
        <v>2896.11</v>
      </c>
      <c r="J150" s="23">
        <v>2.8598477030943048E-4</v>
      </c>
    </row>
    <row r="151" spans="1:10" ht="25.5" x14ac:dyDescent="0.25">
      <c r="A151" s="19" t="s">
        <v>472</v>
      </c>
      <c r="B151" s="20" t="s">
        <v>473</v>
      </c>
      <c r="C151" s="19" t="s">
        <v>235</v>
      </c>
      <c r="D151" s="19" t="s">
        <v>474</v>
      </c>
      <c r="E151" s="21" t="s">
        <v>450</v>
      </c>
      <c r="F151" s="22">
        <v>5</v>
      </c>
      <c r="G151" s="22">
        <v>112.35</v>
      </c>
      <c r="H151" s="22">
        <v>140.68</v>
      </c>
      <c r="I151" s="22">
        <v>703.4</v>
      </c>
      <c r="J151" s="23">
        <v>6.9459270343893498E-5</v>
      </c>
    </row>
    <row r="152" spans="1:10" ht="25.5" x14ac:dyDescent="0.25">
      <c r="A152" s="14" t="s">
        <v>475</v>
      </c>
      <c r="B152" s="15" t="s">
        <v>476</v>
      </c>
      <c r="C152" s="14" t="s">
        <v>74</v>
      </c>
      <c r="D152" s="14" t="s">
        <v>477</v>
      </c>
      <c r="E152" s="16" t="s">
        <v>366</v>
      </c>
      <c r="F152" s="17">
        <v>29</v>
      </c>
      <c r="G152" s="17">
        <v>111.13</v>
      </c>
      <c r="H152" s="17">
        <v>139.15</v>
      </c>
      <c r="I152" s="17">
        <v>4035.35</v>
      </c>
      <c r="J152" s="18">
        <v>3.9848232383029659E-4</v>
      </c>
    </row>
    <row r="153" spans="1:10" ht="25.5" x14ac:dyDescent="0.25">
      <c r="A153" s="14" t="s">
        <v>478</v>
      </c>
      <c r="B153" s="15" t="s">
        <v>479</v>
      </c>
      <c r="C153" s="14" t="s">
        <v>74</v>
      </c>
      <c r="D153" s="14" t="s">
        <v>480</v>
      </c>
      <c r="E153" s="16" t="s">
        <v>366</v>
      </c>
      <c r="F153" s="17">
        <v>13</v>
      </c>
      <c r="G153" s="17">
        <v>106.74</v>
      </c>
      <c r="H153" s="17">
        <v>133.65</v>
      </c>
      <c r="I153" s="17">
        <v>1737.45</v>
      </c>
      <c r="J153" s="18">
        <v>1.7156953264003093E-4</v>
      </c>
    </row>
    <row r="154" spans="1:10" x14ac:dyDescent="0.25">
      <c r="A154" s="19" t="s">
        <v>481</v>
      </c>
      <c r="B154" s="20" t="s">
        <v>482</v>
      </c>
      <c r="C154" s="19" t="s">
        <v>235</v>
      </c>
      <c r="D154" s="19" t="s">
        <v>483</v>
      </c>
      <c r="E154" s="21" t="s">
        <v>76</v>
      </c>
      <c r="F154" s="22">
        <v>62.69</v>
      </c>
      <c r="G154" s="22">
        <v>589.86</v>
      </c>
      <c r="H154" s="22">
        <v>738.62</v>
      </c>
      <c r="I154" s="22">
        <v>46304.08</v>
      </c>
      <c r="J154" s="23">
        <v>4.5724304957993631E-3</v>
      </c>
    </row>
    <row r="155" spans="1:10" ht="25.5" x14ac:dyDescent="0.25">
      <c r="A155" s="14" t="s">
        <v>484</v>
      </c>
      <c r="B155" s="15" t="s">
        <v>485</v>
      </c>
      <c r="C155" s="14" t="s">
        <v>74</v>
      </c>
      <c r="D155" s="14" t="s">
        <v>486</v>
      </c>
      <c r="E155" s="16" t="s">
        <v>366</v>
      </c>
      <c r="F155" s="17">
        <v>13</v>
      </c>
      <c r="G155" s="17">
        <v>111.13</v>
      </c>
      <c r="H155" s="17">
        <v>139.15</v>
      </c>
      <c r="I155" s="17">
        <v>1808.95</v>
      </c>
      <c r="J155" s="18">
        <v>1.786300072342709E-4</v>
      </c>
    </row>
    <row r="156" spans="1:10" x14ac:dyDescent="0.25">
      <c r="A156" s="5" t="s">
        <v>41</v>
      </c>
      <c r="B156" s="5"/>
      <c r="C156" s="5"/>
      <c r="D156" s="5" t="s">
        <v>42</v>
      </c>
      <c r="E156" s="5"/>
      <c r="F156" s="6"/>
      <c r="G156" s="24"/>
      <c r="H156" s="24"/>
      <c r="I156" s="6">
        <v>95771.47</v>
      </c>
      <c r="J156" s="7">
        <v>9.4572311998323659E-3</v>
      </c>
    </row>
    <row r="157" spans="1:10" ht="25.5" x14ac:dyDescent="0.25">
      <c r="A157" s="14" t="s">
        <v>487</v>
      </c>
      <c r="B157" s="15" t="s">
        <v>488</v>
      </c>
      <c r="C157" s="14" t="s">
        <v>375</v>
      </c>
      <c r="D157" s="14" t="s">
        <v>489</v>
      </c>
      <c r="E157" s="16" t="s">
        <v>490</v>
      </c>
      <c r="F157" s="17">
        <v>2</v>
      </c>
      <c r="G157" s="17">
        <v>1822.66</v>
      </c>
      <c r="H157" s="17">
        <v>2282.33</v>
      </c>
      <c r="I157" s="17">
        <v>4564.66</v>
      </c>
      <c r="J157" s="18">
        <v>4.5075057288592108E-4</v>
      </c>
    </row>
    <row r="158" spans="1:10" ht="25.5" x14ac:dyDescent="0.25">
      <c r="A158" s="14" t="s">
        <v>491</v>
      </c>
      <c r="B158" s="15" t="s">
        <v>492</v>
      </c>
      <c r="C158" s="14" t="s">
        <v>375</v>
      </c>
      <c r="D158" s="14" t="s">
        <v>493</v>
      </c>
      <c r="E158" s="16" t="s">
        <v>490</v>
      </c>
      <c r="F158" s="17">
        <v>2</v>
      </c>
      <c r="G158" s="17">
        <v>4088.21</v>
      </c>
      <c r="H158" s="17">
        <v>5119.25</v>
      </c>
      <c r="I158" s="17">
        <v>10238.5</v>
      </c>
      <c r="J158" s="18">
        <v>1.0110303375262348E-3</v>
      </c>
    </row>
    <row r="159" spans="1:10" ht="25.5" x14ac:dyDescent="0.25">
      <c r="A159" s="14" t="s">
        <v>494</v>
      </c>
      <c r="B159" s="15" t="s">
        <v>495</v>
      </c>
      <c r="C159" s="14" t="s">
        <v>375</v>
      </c>
      <c r="D159" s="14" t="s">
        <v>496</v>
      </c>
      <c r="E159" s="16" t="s">
        <v>490</v>
      </c>
      <c r="F159" s="17">
        <v>2</v>
      </c>
      <c r="G159" s="17">
        <v>1991.68</v>
      </c>
      <c r="H159" s="17">
        <v>2493.98</v>
      </c>
      <c r="I159" s="17">
        <v>4987.96</v>
      </c>
      <c r="J159" s="18">
        <v>4.9255055744175011E-4</v>
      </c>
    </row>
    <row r="160" spans="1:10" ht="38.25" x14ac:dyDescent="0.25">
      <c r="A160" s="19" t="s">
        <v>497</v>
      </c>
      <c r="B160" s="20" t="s">
        <v>498</v>
      </c>
      <c r="C160" s="19" t="s">
        <v>74</v>
      </c>
      <c r="D160" s="19" t="s">
        <v>499</v>
      </c>
      <c r="E160" s="21" t="s">
        <v>366</v>
      </c>
      <c r="F160" s="22">
        <v>23</v>
      </c>
      <c r="G160" s="22">
        <v>87.94</v>
      </c>
      <c r="H160" s="22">
        <v>110.11</v>
      </c>
      <c r="I160" s="22">
        <v>2532.5300000000002</v>
      </c>
      <c r="J160" s="23">
        <v>2.5008201012797923E-4</v>
      </c>
    </row>
    <row r="161" spans="1:10" ht="25.5" x14ac:dyDescent="0.25">
      <c r="A161" s="19" t="s">
        <v>500</v>
      </c>
      <c r="B161" s="20" t="s">
        <v>501</v>
      </c>
      <c r="C161" s="19" t="s">
        <v>74</v>
      </c>
      <c r="D161" s="19" t="s">
        <v>502</v>
      </c>
      <c r="E161" s="21" t="s">
        <v>366</v>
      </c>
      <c r="F161" s="22">
        <v>4</v>
      </c>
      <c r="G161" s="22">
        <v>13.14</v>
      </c>
      <c r="H161" s="22">
        <v>16.45</v>
      </c>
      <c r="I161" s="22">
        <v>65.8</v>
      </c>
      <c r="J161" s="23">
        <v>6.4976115846292184E-6</v>
      </c>
    </row>
    <row r="162" spans="1:10" ht="25.5" x14ac:dyDescent="0.25">
      <c r="A162" s="19" t="s">
        <v>503</v>
      </c>
      <c r="B162" s="20" t="s">
        <v>504</v>
      </c>
      <c r="C162" s="19" t="s">
        <v>74</v>
      </c>
      <c r="D162" s="19" t="s">
        <v>505</v>
      </c>
      <c r="E162" s="21" t="s">
        <v>366</v>
      </c>
      <c r="F162" s="22">
        <v>2</v>
      </c>
      <c r="G162" s="22">
        <v>38.119999999999997</v>
      </c>
      <c r="H162" s="22">
        <v>47.73</v>
      </c>
      <c r="I162" s="22">
        <v>95.46</v>
      </c>
      <c r="J162" s="23">
        <v>9.4264741925335137E-6</v>
      </c>
    </row>
    <row r="163" spans="1:10" ht="25.5" x14ac:dyDescent="0.25">
      <c r="A163" s="19" t="s">
        <v>506</v>
      </c>
      <c r="B163" s="20" t="s">
        <v>507</v>
      </c>
      <c r="C163" s="19" t="s">
        <v>74</v>
      </c>
      <c r="D163" s="19" t="s">
        <v>508</v>
      </c>
      <c r="E163" s="21" t="s">
        <v>366</v>
      </c>
      <c r="F163" s="22">
        <v>2</v>
      </c>
      <c r="G163" s="22">
        <v>241.18</v>
      </c>
      <c r="H163" s="22">
        <v>302</v>
      </c>
      <c r="I163" s="22">
        <v>604</v>
      </c>
      <c r="J163" s="23">
        <v>5.9643729439453614E-5</v>
      </c>
    </row>
    <row r="164" spans="1:10" ht="25.5" x14ac:dyDescent="0.25">
      <c r="A164" s="19" t="s">
        <v>509</v>
      </c>
      <c r="B164" s="20" t="s">
        <v>510</v>
      </c>
      <c r="C164" s="19" t="s">
        <v>74</v>
      </c>
      <c r="D164" s="19" t="s">
        <v>511</v>
      </c>
      <c r="E164" s="21" t="s">
        <v>366</v>
      </c>
      <c r="F164" s="22">
        <v>2</v>
      </c>
      <c r="G164" s="22">
        <v>147.59</v>
      </c>
      <c r="H164" s="22">
        <v>184.81</v>
      </c>
      <c r="I164" s="22">
        <v>369.62</v>
      </c>
      <c r="J164" s="23">
        <v>3.6499197475845772E-5</v>
      </c>
    </row>
    <row r="165" spans="1:10" ht="25.5" x14ac:dyDescent="0.25">
      <c r="A165" s="19" t="s">
        <v>512</v>
      </c>
      <c r="B165" s="20" t="s">
        <v>513</v>
      </c>
      <c r="C165" s="19" t="s">
        <v>74</v>
      </c>
      <c r="D165" s="19" t="s">
        <v>514</v>
      </c>
      <c r="E165" s="21" t="s">
        <v>366</v>
      </c>
      <c r="F165" s="22">
        <v>2</v>
      </c>
      <c r="G165" s="22">
        <v>114.17</v>
      </c>
      <c r="H165" s="22">
        <v>142.96</v>
      </c>
      <c r="I165" s="22">
        <v>285.92</v>
      </c>
      <c r="J165" s="23">
        <v>2.823399854524599E-5</v>
      </c>
    </row>
    <row r="166" spans="1:10" ht="25.5" x14ac:dyDescent="0.25">
      <c r="A166" s="19" t="s">
        <v>515</v>
      </c>
      <c r="B166" s="20" t="s">
        <v>516</v>
      </c>
      <c r="C166" s="19" t="s">
        <v>74</v>
      </c>
      <c r="D166" s="19" t="s">
        <v>517</v>
      </c>
      <c r="E166" s="21" t="s">
        <v>366</v>
      </c>
      <c r="F166" s="22">
        <v>8</v>
      </c>
      <c r="G166" s="22">
        <v>33.32</v>
      </c>
      <c r="H166" s="22">
        <v>41.72</v>
      </c>
      <c r="I166" s="22">
        <v>333.76</v>
      </c>
      <c r="J166" s="23">
        <v>3.2958097910119267E-5</v>
      </c>
    </row>
    <row r="167" spans="1:10" ht="25.5" x14ac:dyDescent="0.25">
      <c r="A167" s="19" t="s">
        <v>518</v>
      </c>
      <c r="B167" s="20" t="s">
        <v>519</v>
      </c>
      <c r="C167" s="19" t="s">
        <v>74</v>
      </c>
      <c r="D167" s="19" t="s">
        <v>520</v>
      </c>
      <c r="E167" s="21" t="s">
        <v>366</v>
      </c>
      <c r="F167" s="22">
        <v>4</v>
      </c>
      <c r="G167" s="22">
        <v>34.21</v>
      </c>
      <c r="H167" s="22">
        <v>42.83</v>
      </c>
      <c r="I167" s="22">
        <v>171.32</v>
      </c>
      <c r="J167" s="23">
        <v>1.6917489615177473E-5</v>
      </c>
    </row>
    <row r="168" spans="1:10" ht="25.5" x14ac:dyDescent="0.25">
      <c r="A168" s="19" t="s">
        <v>521</v>
      </c>
      <c r="B168" s="20" t="s">
        <v>522</v>
      </c>
      <c r="C168" s="19" t="s">
        <v>74</v>
      </c>
      <c r="D168" s="19" t="s">
        <v>523</v>
      </c>
      <c r="E168" s="21" t="s">
        <v>366</v>
      </c>
      <c r="F168" s="22">
        <v>2</v>
      </c>
      <c r="G168" s="22">
        <v>62.68</v>
      </c>
      <c r="H168" s="22">
        <v>78.48</v>
      </c>
      <c r="I168" s="22">
        <v>156.96</v>
      </c>
      <c r="J168" s="23">
        <v>1.5499469822544105E-5</v>
      </c>
    </row>
    <row r="169" spans="1:10" ht="63.75" x14ac:dyDescent="0.25">
      <c r="A169" s="19" t="s">
        <v>524</v>
      </c>
      <c r="B169" s="20" t="s">
        <v>525</v>
      </c>
      <c r="C169" s="19" t="s">
        <v>74</v>
      </c>
      <c r="D169" s="19" t="s">
        <v>526</v>
      </c>
      <c r="E169" s="21" t="s">
        <v>86</v>
      </c>
      <c r="F169" s="22">
        <v>223.7</v>
      </c>
      <c r="G169" s="22">
        <v>34.42</v>
      </c>
      <c r="H169" s="22">
        <v>43.1</v>
      </c>
      <c r="I169" s="22">
        <v>9641.4699999999993</v>
      </c>
      <c r="J169" s="23">
        <v>9.5207488092484915E-4</v>
      </c>
    </row>
    <row r="170" spans="1:10" ht="63.75" x14ac:dyDescent="0.25">
      <c r="A170" s="19" t="s">
        <v>527</v>
      </c>
      <c r="B170" s="20" t="s">
        <v>528</v>
      </c>
      <c r="C170" s="19" t="s">
        <v>74</v>
      </c>
      <c r="D170" s="19" t="s">
        <v>529</v>
      </c>
      <c r="E170" s="21" t="s">
        <v>86</v>
      </c>
      <c r="F170" s="22">
        <v>95.31</v>
      </c>
      <c r="G170" s="22">
        <v>28</v>
      </c>
      <c r="H170" s="22">
        <v>35.06</v>
      </c>
      <c r="I170" s="22">
        <v>3341.56</v>
      </c>
      <c r="J170" s="23">
        <v>3.2997202077102752E-4</v>
      </c>
    </row>
    <row r="171" spans="1:10" ht="51" x14ac:dyDescent="0.25">
      <c r="A171" s="19" t="s">
        <v>530</v>
      </c>
      <c r="B171" s="20" t="s">
        <v>531</v>
      </c>
      <c r="C171" s="19" t="s">
        <v>74</v>
      </c>
      <c r="D171" s="19" t="s">
        <v>532</v>
      </c>
      <c r="E171" s="21" t="s">
        <v>86</v>
      </c>
      <c r="F171" s="22">
        <v>75.8</v>
      </c>
      <c r="G171" s="22">
        <v>33.82</v>
      </c>
      <c r="H171" s="22">
        <v>42.34</v>
      </c>
      <c r="I171" s="22">
        <v>3209.37</v>
      </c>
      <c r="J171" s="23">
        <v>3.1691853634287958E-4</v>
      </c>
    </row>
    <row r="172" spans="1:10" ht="51" x14ac:dyDescent="0.25">
      <c r="A172" s="19" t="s">
        <v>533</v>
      </c>
      <c r="B172" s="20" t="s">
        <v>534</v>
      </c>
      <c r="C172" s="19" t="s">
        <v>74</v>
      </c>
      <c r="D172" s="19" t="s">
        <v>535</v>
      </c>
      <c r="E172" s="21" t="s">
        <v>86</v>
      </c>
      <c r="F172" s="22">
        <v>219.33</v>
      </c>
      <c r="G172" s="22">
        <v>42.07</v>
      </c>
      <c r="H172" s="22">
        <v>52.68</v>
      </c>
      <c r="I172" s="22">
        <v>11554.3</v>
      </c>
      <c r="J172" s="23">
        <v>1.1409628196395346E-3</v>
      </c>
    </row>
    <row r="173" spans="1:10" ht="63.75" x14ac:dyDescent="0.25">
      <c r="A173" s="19" t="s">
        <v>536</v>
      </c>
      <c r="B173" s="20" t="s">
        <v>537</v>
      </c>
      <c r="C173" s="19" t="s">
        <v>74</v>
      </c>
      <c r="D173" s="19" t="s">
        <v>538</v>
      </c>
      <c r="E173" s="21" t="s">
        <v>86</v>
      </c>
      <c r="F173" s="22">
        <v>107.24</v>
      </c>
      <c r="G173" s="22">
        <v>45.88</v>
      </c>
      <c r="H173" s="22">
        <v>57.45</v>
      </c>
      <c r="I173" s="22">
        <v>6160.93</v>
      </c>
      <c r="J173" s="23">
        <v>6.0837887750896189E-4</v>
      </c>
    </row>
    <row r="174" spans="1:10" ht="25.5" x14ac:dyDescent="0.25">
      <c r="A174" s="19" t="s">
        <v>539</v>
      </c>
      <c r="B174" s="20" t="s">
        <v>540</v>
      </c>
      <c r="C174" s="19" t="s">
        <v>74</v>
      </c>
      <c r="D174" s="19" t="s">
        <v>541</v>
      </c>
      <c r="E174" s="21" t="s">
        <v>366</v>
      </c>
      <c r="F174" s="22">
        <v>5</v>
      </c>
      <c r="G174" s="22">
        <v>5982.65</v>
      </c>
      <c r="H174" s="22">
        <v>7491.47</v>
      </c>
      <c r="I174" s="22">
        <v>37457.35</v>
      </c>
      <c r="J174" s="23">
        <v>3.6988345180776786E-3</v>
      </c>
    </row>
    <row r="175" spans="1:10" x14ac:dyDescent="0.25">
      <c r="A175" s="5" t="s">
        <v>43</v>
      </c>
      <c r="B175" s="5"/>
      <c r="C175" s="5"/>
      <c r="D175" s="5" t="s">
        <v>44</v>
      </c>
      <c r="E175" s="5"/>
      <c r="F175" s="6"/>
      <c r="G175" s="24"/>
      <c r="H175" s="24"/>
      <c r="I175" s="6">
        <v>63798.400000000001</v>
      </c>
      <c r="J175" s="7">
        <v>6.2999577951490691E-3</v>
      </c>
    </row>
    <row r="176" spans="1:10" ht="63.75" x14ac:dyDescent="0.25">
      <c r="A176" s="19" t="s">
        <v>542</v>
      </c>
      <c r="B176" s="20" t="s">
        <v>543</v>
      </c>
      <c r="C176" s="19" t="s">
        <v>74</v>
      </c>
      <c r="D176" s="19" t="s">
        <v>544</v>
      </c>
      <c r="E176" s="21" t="s">
        <v>86</v>
      </c>
      <c r="F176" s="22">
        <v>191</v>
      </c>
      <c r="G176" s="22">
        <v>58.79</v>
      </c>
      <c r="H176" s="22">
        <v>73.61</v>
      </c>
      <c r="I176" s="22">
        <v>14059.51</v>
      </c>
      <c r="J176" s="23">
        <v>1.3883470372372392E-3</v>
      </c>
    </row>
    <row r="177" spans="1:10" ht="63.75" x14ac:dyDescent="0.25">
      <c r="A177" s="19" t="s">
        <v>545</v>
      </c>
      <c r="B177" s="20" t="s">
        <v>546</v>
      </c>
      <c r="C177" s="19" t="s">
        <v>74</v>
      </c>
      <c r="D177" s="19" t="s">
        <v>547</v>
      </c>
      <c r="E177" s="21" t="s">
        <v>86</v>
      </c>
      <c r="F177" s="22">
        <v>77</v>
      </c>
      <c r="G177" s="22">
        <v>36.82</v>
      </c>
      <c r="H177" s="22">
        <v>46.1</v>
      </c>
      <c r="I177" s="22">
        <v>3549.7</v>
      </c>
      <c r="J177" s="23">
        <v>3.5052540793249754E-4</v>
      </c>
    </row>
    <row r="178" spans="1:10" ht="63.75" x14ac:dyDescent="0.25">
      <c r="A178" s="19" t="s">
        <v>548</v>
      </c>
      <c r="B178" s="20" t="s">
        <v>549</v>
      </c>
      <c r="C178" s="19" t="s">
        <v>74</v>
      </c>
      <c r="D178" s="19" t="s">
        <v>550</v>
      </c>
      <c r="E178" s="21" t="s">
        <v>86</v>
      </c>
      <c r="F178" s="22">
        <v>96</v>
      </c>
      <c r="G178" s="22">
        <v>74.12</v>
      </c>
      <c r="H178" s="22">
        <v>92.81</v>
      </c>
      <c r="I178" s="22">
        <v>8909.76</v>
      </c>
      <c r="J178" s="23">
        <v>8.7982005763322232E-4</v>
      </c>
    </row>
    <row r="179" spans="1:10" ht="63.75" x14ac:dyDescent="0.25">
      <c r="A179" s="19" t="s">
        <v>551</v>
      </c>
      <c r="B179" s="20" t="s">
        <v>552</v>
      </c>
      <c r="C179" s="19" t="s">
        <v>74</v>
      </c>
      <c r="D179" s="19" t="s">
        <v>553</v>
      </c>
      <c r="E179" s="21" t="s">
        <v>86</v>
      </c>
      <c r="F179" s="22">
        <v>25</v>
      </c>
      <c r="G179" s="22">
        <v>46.99</v>
      </c>
      <c r="H179" s="22">
        <v>58.84</v>
      </c>
      <c r="I179" s="22">
        <v>1471</v>
      </c>
      <c r="J179" s="23">
        <v>1.4525815563813953E-4</v>
      </c>
    </row>
    <row r="180" spans="1:10" ht="38.25" x14ac:dyDescent="0.25">
      <c r="A180" s="19" t="s">
        <v>554</v>
      </c>
      <c r="B180" s="20" t="s">
        <v>555</v>
      </c>
      <c r="C180" s="19" t="s">
        <v>74</v>
      </c>
      <c r="D180" s="19" t="s">
        <v>556</v>
      </c>
      <c r="E180" s="21" t="s">
        <v>366</v>
      </c>
      <c r="F180" s="22">
        <v>30</v>
      </c>
      <c r="G180" s="22">
        <v>339.38</v>
      </c>
      <c r="H180" s="22">
        <v>424.97</v>
      </c>
      <c r="I180" s="22">
        <v>12749.1</v>
      </c>
      <c r="J180" s="23">
        <v>1.2589468062856591E-3</v>
      </c>
    </row>
    <row r="181" spans="1:10" ht="25.5" x14ac:dyDescent="0.25">
      <c r="A181" s="14" t="s">
        <v>557</v>
      </c>
      <c r="B181" s="15" t="s">
        <v>558</v>
      </c>
      <c r="C181" s="14" t="s">
        <v>74</v>
      </c>
      <c r="D181" s="14" t="s">
        <v>559</v>
      </c>
      <c r="E181" s="16" t="s">
        <v>366</v>
      </c>
      <c r="F181" s="17">
        <v>20</v>
      </c>
      <c r="G181" s="17">
        <v>10.91</v>
      </c>
      <c r="H181" s="17">
        <v>13.66</v>
      </c>
      <c r="I181" s="17">
        <v>273.2</v>
      </c>
      <c r="J181" s="18">
        <v>2.6977925302746238E-5</v>
      </c>
    </row>
    <row r="182" spans="1:10" ht="25.5" x14ac:dyDescent="0.25">
      <c r="A182" s="19" t="s">
        <v>560</v>
      </c>
      <c r="B182" s="20" t="s">
        <v>561</v>
      </c>
      <c r="C182" s="19" t="s">
        <v>74</v>
      </c>
      <c r="D182" s="19" t="s">
        <v>562</v>
      </c>
      <c r="E182" s="21" t="s">
        <v>366</v>
      </c>
      <c r="F182" s="22">
        <v>20</v>
      </c>
      <c r="G182" s="22">
        <v>320.5</v>
      </c>
      <c r="H182" s="22">
        <v>401.33</v>
      </c>
      <c r="I182" s="22">
        <v>8026.6</v>
      </c>
      <c r="J182" s="23">
        <v>7.9260986542834173E-4</v>
      </c>
    </row>
    <row r="183" spans="1:10" ht="25.5" x14ac:dyDescent="0.25">
      <c r="A183" s="14" t="s">
        <v>563</v>
      </c>
      <c r="B183" s="15" t="s">
        <v>564</v>
      </c>
      <c r="C183" s="14" t="s">
        <v>74</v>
      </c>
      <c r="D183" s="14" t="s">
        <v>565</v>
      </c>
      <c r="E183" s="16" t="s">
        <v>366</v>
      </c>
      <c r="F183" s="17">
        <v>17</v>
      </c>
      <c r="G183" s="17">
        <v>8.36</v>
      </c>
      <c r="H183" s="17">
        <v>10.46</v>
      </c>
      <c r="I183" s="17">
        <v>177.82</v>
      </c>
      <c r="J183" s="18">
        <v>1.755935094192656E-5</v>
      </c>
    </row>
    <row r="184" spans="1:10" ht="38.25" x14ac:dyDescent="0.25">
      <c r="A184" s="19" t="s">
        <v>566</v>
      </c>
      <c r="B184" s="20" t="s">
        <v>567</v>
      </c>
      <c r="C184" s="19" t="s">
        <v>74</v>
      </c>
      <c r="D184" s="19" t="s">
        <v>568</v>
      </c>
      <c r="E184" s="21" t="s">
        <v>86</v>
      </c>
      <c r="F184" s="22">
        <v>103</v>
      </c>
      <c r="G184" s="22">
        <v>113.06</v>
      </c>
      <c r="H184" s="22">
        <v>141.57</v>
      </c>
      <c r="I184" s="22">
        <v>14581.71</v>
      </c>
      <c r="J184" s="23">
        <v>1.4399131887492967E-3</v>
      </c>
    </row>
    <row r="185" spans="1:10" x14ac:dyDescent="0.25">
      <c r="A185" s="5" t="s">
        <v>45</v>
      </c>
      <c r="B185" s="5"/>
      <c r="C185" s="5"/>
      <c r="D185" s="5" t="s">
        <v>46</v>
      </c>
      <c r="E185" s="5"/>
      <c r="F185" s="6"/>
      <c r="G185" s="24"/>
      <c r="H185" s="24"/>
      <c r="I185" s="6">
        <v>63808.3</v>
      </c>
      <c r="J185" s="7">
        <v>6.3009353993236563E-3</v>
      </c>
    </row>
    <row r="186" spans="1:10" ht="63.75" x14ac:dyDescent="0.25">
      <c r="A186" s="19" t="s">
        <v>569</v>
      </c>
      <c r="B186" s="20" t="s">
        <v>543</v>
      </c>
      <c r="C186" s="19" t="s">
        <v>74</v>
      </c>
      <c r="D186" s="19" t="s">
        <v>544</v>
      </c>
      <c r="E186" s="21" t="s">
        <v>86</v>
      </c>
      <c r="F186" s="22">
        <v>575</v>
      </c>
      <c r="G186" s="22">
        <v>58.79</v>
      </c>
      <c r="H186" s="22">
        <v>73.61</v>
      </c>
      <c r="I186" s="22">
        <v>42325.75</v>
      </c>
      <c r="J186" s="23">
        <v>4.1795787770231027E-3</v>
      </c>
    </row>
    <row r="187" spans="1:10" ht="38.25" x14ac:dyDescent="0.25">
      <c r="A187" s="19" t="s">
        <v>570</v>
      </c>
      <c r="B187" s="20" t="s">
        <v>571</v>
      </c>
      <c r="C187" s="19" t="s">
        <v>74</v>
      </c>
      <c r="D187" s="19" t="s">
        <v>572</v>
      </c>
      <c r="E187" s="21" t="s">
        <v>366</v>
      </c>
      <c r="F187" s="22">
        <v>17</v>
      </c>
      <c r="G187" s="22">
        <v>33.229999999999997</v>
      </c>
      <c r="H187" s="22">
        <v>41.61</v>
      </c>
      <c r="I187" s="22">
        <v>707.37</v>
      </c>
      <c r="J187" s="23">
        <v>6.9851299492692561E-5</v>
      </c>
    </row>
    <row r="188" spans="1:10" ht="38.25" x14ac:dyDescent="0.25">
      <c r="A188" s="19" t="s">
        <v>573</v>
      </c>
      <c r="B188" s="20" t="s">
        <v>555</v>
      </c>
      <c r="C188" s="19" t="s">
        <v>74</v>
      </c>
      <c r="D188" s="19" t="s">
        <v>556</v>
      </c>
      <c r="E188" s="21" t="s">
        <v>366</v>
      </c>
      <c r="F188" s="22">
        <v>14</v>
      </c>
      <c r="G188" s="22">
        <v>339.38</v>
      </c>
      <c r="H188" s="22">
        <v>424.97</v>
      </c>
      <c r="I188" s="22">
        <v>5949.58</v>
      </c>
      <c r="J188" s="23">
        <v>5.8750850959997424E-4</v>
      </c>
    </row>
    <row r="189" spans="1:10" ht="38.25" x14ac:dyDescent="0.25">
      <c r="A189" s="19" t="s">
        <v>574</v>
      </c>
      <c r="B189" s="20" t="s">
        <v>575</v>
      </c>
      <c r="C189" s="19" t="s">
        <v>74</v>
      </c>
      <c r="D189" s="19" t="s">
        <v>576</v>
      </c>
      <c r="E189" s="21" t="s">
        <v>366</v>
      </c>
      <c r="F189" s="22">
        <v>30</v>
      </c>
      <c r="G189" s="22">
        <v>367.9</v>
      </c>
      <c r="H189" s="22">
        <v>460.68</v>
      </c>
      <c r="I189" s="22">
        <v>13820.4</v>
      </c>
      <c r="J189" s="23">
        <v>1.364735427723551E-3</v>
      </c>
    </row>
    <row r="190" spans="1:10" x14ac:dyDescent="0.25">
      <c r="A190" s="14" t="s">
        <v>577</v>
      </c>
      <c r="B190" s="15" t="s">
        <v>578</v>
      </c>
      <c r="C190" s="14" t="s">
        <v>74</v>
      </c>
      <c r="D190" s="14" t="s">
        <v>579</v>
      </c>
      <c r="E190" s="16" t="s">
        <v>366</v>
      </c>
      <c r="F190" s="17">
        <v>35</v>
      </c>
      <c r="G190" s="17">
        <v>22.94</v>
      </c>
      <c r="H190" s="17">
        <v>28.72</v>
      </c>
      <c r="I190" s="17">
        <v>1005.2</v>
      </c>
      <c r="J190" s="18">
        <v>9.926138548433572E-5</v>
      </c>
    </row>
    <row r="191" spans="1:10" x14ac:dyDescent="0.25">
      <c r="A191" s="5" t="s">
        <v>47</v>
      </c>
      <c r="B191" s="5"/>
      <c r="C191" s="5"/>
      <c r="D191" s="5" t="s">
        <v>48</v>
      </c>
      <c r="E191" s="5"/>
      <c r="F191" s="6"/>
      <c r="G191" s="24"/>
      <c r="H191" s="24"/>
      <c r="I191" s="6">
        <v>451030.62</v>
      </c>
      <c r="J191" s="7">
        <v>4.4538324947332807E-2</v>
      </c>
    </row>
    <row r="192" spans="1:10" ht="38.25" x14ac:dyDescent="0.25">
      <c r="A192" s="19" t="s">
        <v>580</v>
      </c>
      <c r="B192" s="20" t="s">
        <v>581</v>
      </c>
      <c r="C192" s="19" t="s">
        <v>74</v>
      </c>
      <c r="D192" s="19" t="s">
        <v>582</v>
      </c>
      <c r="E192" s="21" t="s">
        <v>86</v>
      </c>
      <c r="F192" s="22">
        <v>3386.01</v>
      </c>
      <c r="G192" s="22">
        <v>2.4300000000000002</v>
      </c>
      <c r="H192" s="22">
        <v>3.04</v>
      </c>
      <c r="I192" s="22">
        <v>10293.469999999999</v>
      </c>
      <c r="J192" s="23">
        <v>1.0164585093926037E-3</v>
      </c>
    </row>
    <row r="193" spans="1:10" ht="38.25" x14ac:dyDescent="0.25">
      <c r="A193" s="19" t="s">
        <v>583</v>
      </c>
      <c r="B193" s="20" t="s">
        <v>584</v>
      </c>
      <c r="C193" s="19" t="s">
        <v>74</v>
      </c>
      <c r="D193" s="19" t="s">
        <v>585</v>
      </c>
      <c r="E193" s="21" t="s">
        <v>86</v>
      </c>
      <c r="F193" s="22">
        <v>7458.78</v>
      </c>
      <c r="G193" s="22">
        <v>3.59</v>
      </c>
      <c r="H193" s="22">
        <v>4.49</v>
      </c>
      <c r="I193" s="22">
        <v>33489.919999999998</v>
      </c>
      <c r="J193" s="23">
        <v>3.3070591513724278E-3</v>
      </c>
    </row>
    <row r="194" spans="1:10" ht="38.25" x14ac:dyDescent="0.25">
      <c r="A194" s="19" t="s">
        <v>586</v>
      </c>
      <c r="B194" s="20" t="s">
        <v>587</v>
      </c>
      <c r="C194" s="19" t="s">
        <v>74</v>
      </c>
      <c r="D194" s="19" t="s">
        <v>588</v>
      </c>
      <c r="E194" s="21" t="s">
        <v>86</v>
      </c>
      <c r="F194" s="22">
        <v>4181.41</v>
      </c>
      <c r="G194" s="22">
        <v>5.6</v>
      </c>
      <c r="H194" s="22">
        <v>7.01</v>
      </c>
      <c r="I194" s="22">
        <v>29311.68</v>
      </c>
      <c r="J194" s="23">
        <v>2.894466740622258E-3</v>
      </c>
    </row>
    <row r="195" spans="1:10" ht="38.25" x14ac:dyDescent="0.25">
      <c r="A195" s="19" t="s">
        <v>589</v>
      </c>
      <c r="B195" s="20" t="s">
        <v>590</v>
      </c>
      <c r="C195" s="19" t="s">
        <v>74</v>
      </c>
      <c r="D195" s="19" t="s">
        <v>591</v>
      </c>
      <c r="E195" s="21" t="s">
        <v>86</v>
      </c>
      <c r="F195" s="22">
        <v>1006.03</v>
      </c>
      <c r="G195" s="22">
        <v>7.84</v>
      </c>
      <c r="H195" s="22">
        <v>9.81</v>
      </c>
      <c r="I195" s="22">
        <v>9869.15</v>
      </c>
      <c r="J195" s="23">
        <v>9.7455780198242332E-4</v>
      </c>
    </row>
    <row r="196" spans="1:10" ht="25.5" x14ac:dyDescent="0.25">
      <c r="A196" s="19" t="s">
        <v>592</v>
      </c>
      <c r="B196" s="20" t="s">
        <v>593</v>
      </c>
      <c r="C196" s="19" t="s">
        <v>74</v>
      </c>
      <c r="D196" s="19" t="s">
        <v>594</v>
      </c>
      <c r="E196" s="21" t="s">
        <v>86</v>
      </c>
      <c r="F196" s="22">
        <v>1179.54</v>
      </c>
      <c r="G196" s="22">
        <v>15.58</v>
      </c>
      <c r="H196" s="22">
        <v>19.5</v>
      </c>
      <c r="I196" s="22">
        <v>23001.03</v>
      </c>
      <c r="J196" s="23">
        <v>2.2713033280608538E-3</v>
      </c>
    </row>
    <row r="197" spans="1:10" ht="25.5" x14ac:dyDescent="0.25">
      <c r="A197" s="14" t="s">
        <v>595</v>
      </c>
      <c r="B197" s="15" t="s">
        <v>596</v>
      </c>
      <c r="C197" s="14" t="s">
        <v>74</v>
      </c>
      <c r="D197" s="14" t="s">
        <v>597</v>
      </c>
      <c r="E197" s="16" t="s">
        <v>366</v>
      </c>
      <c r="F197" s="17">
        <v>48</v>
      </c>
      <c r="G197" s="17">
        <v>5.76</v>
      </c>
      <c r="H197" s="17">
        <v>7.21</v>
      </c>
      <c r="I197" s="17">
        <v>346.08</v>
      </c>
      <c r="J197" s="18">
        <v>3.4174671994049844E-5</v>
      </c>
    </row>
    <row r="198" spans="1:10" ht="25.5" x14ac:dyDescent="0.25">
      <c r="A198" s="14" t="s">
        <v>598</v>
      </c>
      <c r="B198" s="15" t="s">
        <v>599</v>
      </c>
      <c r="C198" s="14" t="s">
        <v>74</v>
      </c>
      <c r="D198" s="14" t="s">
        <v>600</v>
      </c>
      <c r="E198" s="16" t="s">
        <v>366</v>
      </c>
      <c r="F198" s="17">
        <v>99</v>
      </c>
      <c r="G198" s="17">
        <v>1.5</v>
      </c>
      <c r="H198" s="17">
        <v>1.87</v>
      </c>
      <c r="I198" s="17">
        <v>185.13</v>
      </c>
      <c r="J198" s="18">
        <v>1.8281198064778225E-5</v>
      </c>
    </row>
    <row r="199" spans="1:10" ht="25.5" x14ac:dyDescent="0.25">
      <c r="A199" s="14" t="s">
        <v>601</v>
      </c>
      <c r="B199" s="15" t="s">
        <v>602</v>
      </c>
      <c r="C199" s="14" t="s">
        <v>74</v>
      </c>
      <c r="D199" s="14" t="s">
        <v>603</v>
      </c>
      <c r="E199" s="16" t="s">
        <v>366</v>
      </c>
      <c r="F199" s="17">
        <v>92</v>
      </c>
      <c r="G199" s="17">
        <v>1.24</v>
      </c>
      <c r="H199" s="17">
        <v>1.55</v>
      </c>
      <c r="I199" s="17">
        <v>142.6</v>
      </c>
      <c r="J199" s="18">
        <v>1.4081450029910738E-5</v>
      </c>
    </row>
    <row r="200" spans="1:10" ht="25.5" x14ac:dyDescent="0.25">
      <c r="A200" s="14" t="s">
        <v>604</v>
      </c>
      <c r="B200" s="15" t="s">
        <v>605</v>
      </c>
      <c r="C200" s="14" t="s">
        <v>74</v>
      </c>
      <c r="D200" s="14" t="s">
        <v>606</v>
      </c>
      <c r="E200" s="16" t="s">
        <v>366</v>
      </c>
      <c r="F200" s="17">
        <v>237</v>
      </c>
      <c r="G200" s="17">
        <v>1.53</v>
      </c>
      <c r="H200" s="17">
        <v>1.91</v>
      </c>
      <c r="I200" s="17">
        <v>452.67</v>
      </c>
      <c r="J200" s="18">
        <v>4.470021027377064E-5</v>
      </c>
    </row>
    <row r="201" spans="1:10" ht="25.5" x14ac:dyDescent="0.25">
      <c r="A201" s="14" t="s">
        <v>607</v>
      </c>
      <c r="B201" s="15" t="s">
        <v>608</v>
      </c>
      <c r="C201" s="14" t="s">
        <v>74</v>
      </c>
      <c r="D201" s="14" t="s">
        <v>609</v>
      </c>
      <c r="E201" s="16" t="s">
        <v>366</v>
      </c>
      <c r="F201" s="17">
        <v>14</v>
      </c>
      <c r="G201" s="17">
        <v>2.11</v>
      </c>
      <c r="H201" s="17">
        <v>2.64</v>
      </c>
      <c r="I201" s="17">
        <v>36.96</v>
      </c>
      <c r="J201" s="18">
        <v>3.6497222517917313E-6</v>
      </c>
    </row>
    <row r="202" spans="1:10" ht="25.5" x14ac:dyDescent="0.25">
      <c r="A202" s="14" t="s">
        <v>610</v>
      </c>
      <c r="B202" s="15" t="s">
        <v>611</v>
      </c>
      <c r="C202" s="14" t="s">
        <v>74</v>
      </c>
      <c r="D202" s="14" t="s">
        <v>612</v>
      </c>
      <c r="E202" s="16" t="s">
        <v>366</v>
      </c>
      <c r="F202" s="17">
        <v>19</v>
      </c>
      <c r="G202" s="17">
        <v>2.79</v>
      </c>
      <c r="H202" s="17">
        <v>3.49</v>
      </c>
      <c r="I202" s="17">
        <v>66.31</v>
      </c>
      <c r="J202" s="18">
        <v>6.5479730118049162E-6</v>
      </c>
    </row>
    <row r="203" spans="1:10" ht="25.5" x14ac:dyDescent="0.25">
      <c r="A203" s="14" t="s">
        <v>613</v>
      </c>
      <c r="B203" s="15" t="s">
        <v>614</v>
      </c>
      <c r="C203" s="14" t="s">
        <v>74</v>
      </c>
      <c r="D203" s="14" t="s">
        <v>615</v>
      </c>
      <c r="E203" s="16" t="s">
        <v>366</v>
      </c>
      <c r="F203" s="17">
        <v>27</v>
      </c>
      <c r="G203" s="17">
        <v>3.37</v>
      </c>
      <c r="H203" s="17">
        <v>4.21</v>
      </c>
      <c r="I203" s="17">
        <v>113.67</v>
      </c>
      <c r="J203" s="18">
        <v>1.1224673386395186E-5</v>
      </c>
    </row>
    <row r="204" spans="1:10" ht="25.5" x14ac:dyDescent="0.25">
      <c r="A204" s="19" t="s">
        <v>616</v>
      </c>
      <c r="B204" s="20" t="s">
        <v>617</v>
      </c>
      <c r="C204" s="19" t="s">
        <v>74</v>
      </c>
      <c r="D204" s="19" t="s">
        <v>618</v>
      </c>
      <c r="E204" s="21" t="s">
        <v>366</v>
      </c>
      <c r="F204" s="22">
        <v>2</v>
      </c>
      <c r="G204" s="22">
        <v>22.94</v>
      </c>
      <c r="H204" s="22">
        <v>28.72</v>
      </c>
      <c r="I204" s="22">
        <v>57.44</v>
      </c>
      <c r="J204" s="23">
        <v>5.6720791705334697E-6</v>
      </c>
    </row>
    <row r="205" spans="1:10" ht="25.5" x14ac:dyDescent="0.25">
      <c r="A205" s="19" t="s">
        <v>619</v>
      </c>
      <c r="B205" s="20" t="s">
        <v>620</v>
      </c>
      <c r="C205" s="19" t="s">
        <v>74</v>
      </c>
      <c r="D205" s="19" t="s">
        <v>621</v>
      </c>
      <c r="E205" s="21" t="s">
        <v>366</v>
      </c>
      <c r="F205" s="22">
        <v>33</v>
      </c>
      <c r="G205" s="22">
        <v>18.54</v>
      </c>
      <c r="H205" s="22">
        <v>23.21</v>
      </c>
      <c r="I205" s="22">
        <v>765.93</v>
      </c>
      <c r="J205" s="23">
        <v>7.563397630721972E-5</v>
      </c>
    </row>
    <row r="206" spans="1:10" ht="25.5" x14ac:dyDescent="0.25">
      <c r="A206" s="19" t="s">
        <v>622</v>
      </c>
      <c r="B206" s="20" t="s">
        <v>623</v>
      </c>
      <c r="C206" s="19" t="s">
        <v>74</v>
      </c>
      <c r="D206" s="19" t="s">
        <v>624</v>
      </c>
      <c r="E206" s="21" t="s">
        <v>366</v>
      </c>
      <c r="F206" s="22">
        <v>10</v>
      </c>
      <c r="G206" s="22">
        <v>29.33</v>
      </c>
      <c r="H206" s="22">
        <v>36.72</v>
      </c>
      <c r="I206" s="22">
        <v>367.2</v>
      </c>
      <c r="J206" s="23">
        <v>3.6260227566502265E-5</v>
      </c>
    </row>
    <row r="207" spans="1:10" ht="38.25" x14ac:dyDescent="0.25">
      <c r="A207" s="19" t="s">
        <v>625</v>
      </c>
      <c r="B207" s="20" t="s">
        <v>626</v>
      </c>
      <c r="C207" s="19" t="s">
        <v>74</v>
      </c>
      <c r="D207" s="19" t="s">
        <v>627</v>
      </c>
      <c r="E207" s="21" t="s">
        <v>366</v>
      </c>
      <c r="F207" s="22">
        <v>11</v>
      </c>
      <c r="G207" s="22">
        <v>32.880000000000003</v>
      </c>
      <c r="H207" s="22">
        <v>41.17</v>
      </c>
      <c r="I207" s="22">
        <v>452.87</v>
      </c>
      <c r="J207" s="23">
        <v>4.4719959853055229E-5</v>
      </c>
    </row>
    <row r="208" spans="1:10" ht="25.5" x14ac:dyDescent="0.25">
      <c r="A208" s="19" t="s">
        <v>628</v>
      </c>
      <c r="B208" s="20" t="s">
        <v>629</v>
      </c>
      <c r="C208" s="19" t="s">
        <v>74</v>
      </c>
      <c r="D208" s="19" t="s">
        <v>630</v>
      </c>
      <c r="E208" s="21" t="s">
        <v>366</v>
      </c>
      <c r="F208" s="22">
        <v>66</v>
      </c>
      <c r="G208" s="22">
        <v>10.45</v>
      </c>
      <c r="H208" s="22">
        <v>13.08</v>
      </c>
      <c r="I208" s="22">
        <v>863.28</v>
      </c>
      <c r="J208" s="23">
        <v>8.5247084023992576E-5</v>
      </c>
    </row>
    <row r="209" spans="1:10" ht="38.25" x14ac:dyDescent="0.25">
      <c r="A209" s="19" t="s">
        <v>631</v>
      </c>
      <c r="B209" s="20" t="s">
        <v>632</v>
      </c>
      <c r="C209" s="19" t="s">
        <v>74</v>
      </c>
      <c r="D209" s="19" t="s">
        <v>633</v>
      </c>
      <c r="E209" s="21" t="s">
        <v>366</v>
      </c>
      <c r="F209" s="22">
        <v>161</v>
      </c>
      <c r="G209" s="22">
        <v>133.71</v>
      </c>
      <c r="H209" s="22">
        <v>167.43</v>
      </c>
      <c r="I209" s="22">
        <v>26956.23</v>
      </c>
      <c r="J209" s="23">
        <v>2.6618710079928522E-3</v>
      </c>
    </row>
    <row r="210" spans="1:10" ht="25.5" x14ac:dyDescent="0.25">
      <c r="A210" s="19" t="s">
        <v>634</v>
      </c>
      <c r="B210" s="20" t="s">
        <v>635</v>
      </c>
      <c r="C210" s="19" t="s">
        <v>74</v>
      </c>
      <c r="D210" s="19" t="s">
        <v>636</v>
      </c>
      <c r="E210" s="21" t="s">
        <v>366</v>
      </c>
      <c r="F210" s="22">
        <v>39</v>
      </c>
      <c r="G210" s="22">
        <v>28.86</v>
      </c>
      <c r="H210" s="22">
        <v>36.130000000000003</v>
      </c>
      <c r="I210" s="22">
        <v>1409.07</v>
      </c>
      <c r="J210" s="23">
        <v>1.3914269841266706E-4</v>
      </c>
    </row>
    <row r="211" spans="1:10" ht="38.25" x14ac:dyDescent="0.25">
      <c r="A211" s="19" t="s">
        <v>637</v>
      </c>
      <c r="B211" s="20" t="s">
        <v>638</v>
      </c>
      <c r="C211" s="19" t="s">
        <v>74</v>
      </c>
      <c r="D211" s="19" t="s">
        <v>639</v>
      </c>
      <c r="E211" s="21" t="s">
        <v>366</v>
      </c>
      <c r="F211" s="22">
        <v>4</v>
      </c>
      <c r="G211" s="22">
        <v>69.3</v>
      </c>
      <c r="H211" s="22">
        <v>86.77</v>
      </c>
      <c r="I211" s="22">
        <v>347.08</v>
      </c>
      <c r="J211" s="23">
        <v>3.4273419890472783E-5</v>
      </c>
    </row>
    <row r="212" spans="1:10" ht="38.25" x14ac:dyDescent="0.25">
      <c r="A212" s="19" t="s">
        <v>640</v>
      </c>
      <c r="B212" s="20" t="s">
        <v>641</v>
      </c>
      <c r="C212" s="19" t="s">
        <v>74</v>
      </c>
      <c r="D212" s="19" t="s">
        <v>642</v>
      </c>
      <c r="E212" s="21" t="s">
        <v>366</v>
      </c>
      <c r="F212" s="22">
        <v>6</v>
      </c>
      <c r="G212" s="22">
        <v>333.86</v>
      </c>
      <c r="H212" s="22">
        <v>418.05</v>
      </c>
      <c r="I212" s="22">
        <v>2508.3000000000002</v>
      </c>
      <c r="J212" s="23">
        <v>2.476893485976515E-4</v>
      </c>
    </row>
    <row r="213" spans="1:10" ht="38.25" x14ac:dyDescent="0.25">
      <c r="A213" s="19" t="s">
        <v>643</v>
      </c>
      <c r="B213" s="20" t="s">
        <v>644</v>
      </c>
      <c r="C213" s="19" t="s">
        <v>74</v>
      </c>
      <c r="D213" s="19" t="s">
        <v>645</v>
      </c>
      <c r="E213" s="21" t="s">
        <v>366</v>
      </c>
      <c r="F213" s="22">
        <v>2</v>
      </c>
      <c r="G213" s="22">
        <v>461.38</v>
      </c>
      <c r="H213" s="22">
        <v>577.74</v>
      </c>
      <c r="I213" s="22">
        <v>1155.48</v>
      </c>
      <c r="J213" s="23">
        <v>1.141012193587746E-4</v>
      </c>
    </row>
    <row r="214" spans="1:10" ht="38.25" x14ac:dyDescent="0.25">
      <c r="A214" s="19" t="s">
        <v>646</v>
      </c>
      <c r="B214" s="20" t="s">
        <v>647</v>
      </c>
      <c r="C214" s="19" t="s">
        <v>74</v>
      </c>
      <c r="D214" s="19" t="s">
        <v>648</v>
      </c>
      <c r="E214" s="21" t="s">
        <v>366</v>
      </c>
      <c r="F214" s="22">
        <v>5</v>
      </c>
      <c r="G214" s="22">
        <v>802.78</v>
      </c>
      <c r="H214" s="22">
        <v>1005.24</v>
      </c>
      <c r="I214" s="22">
        <v>5026.2</v>
      </c>
      <c r="J214" s="23">
        <v>4.9632667700096316E-4</v>
      </c>
    </row>
    <row r="215" spans="1:10" ht="25.5" x14ac:dyDescent="0.25">
      <c r="A215" s="19" t="s">
        <v>649</v>
      </c>
      <c r="B215" s="20" t="s">
        <v>650</v>
      </c>
      <c r="C215" s="19" t="s">
        <v>74</v>
      </c>
      <c r="D215" s="19" t="s">
        <v>651</v>
      </c>
      <c r="E215" s="21" t="s">
        <v>366</v>
      </c>
      <c r="F215" s="22">
        <v>8</v>
      </c>
      <c r="G215" s="22">
        <v>93.21</v>
      </c>
      <c r="H215" s="22">
        <v>116.71</v>
      </c>
      <c r="I215" s="22">
        <v>933.68</v>
      </c>
      <c r="J215" s="23">
        <v>9.2198935932167299E-5</v>
      </c>
    </row>
    <row r="216" spans="1:10" ht="25.5" x14ac:dyDescent="0.25">
      <c r="A216" s="19" t="s">
        <v>652</v>
      </c>
      <c r="B216" s="20" t="s">
        <v>653</v>
      </c>
      <c r="C216" s="19" t="s">
        <v>74</v>
      </c>
      <c r="D216" s="19" t="s">
        <v>654</v>
      </c>
      <c r="E216" s="21" t="s">
        <v>366</v>
      </c>
      <c r="F216" s="22">
        <v>35</v>
      </c>
      <c r="G216" s="22">
        <v>36.47</v>
      </c>
      <c r="H216" s="22">
        <v>45.66</v>
      </c>
      <c r="I216" s="22">
        <v>1598.1</v>
      </c>
      <c r="J216" s="23">
        <v>1.5780901327349474E-4</v>
      </c>
    </row>
    <row r="217" spans="1:10" ht="25.5" x14ac:dyDescent="0.25">
      <c r="A217" s="19" t="s">
        <v>655</v>
      </c>
      <c r="B217" s="20" t="s">
        <v>656</v>
      </c>
      <c r="C217" s="19" t="s">
        <v>74</v>
      </c>
      <c r="D217" s="19" t="s">
        <v>657</v>
      </c>
      <c r="E217" s="21" t="s">
        <v>366</v>
      </c>
      <c r="F217" s="22">
        <v>26</v>
      </c>
      <c r="G217" s="22">
        <v>23.72</v>
      </c>
      <c r="H217" s="22">
        <v>29.7</v>
      </c>
      <c r="I217" s="22">
        <v>772.2</v>
      </c>
      <c r="J217" s="23">
        <v>7.6253125617791522E-5</v>
      </c>
    </row>
    <row r="218" spans="1:10" ht="25.5" x14ac:dyDescent="0.25">
      <c r="A218" s="19" t="s">
        <v>658</v>
      </c>
      <c r="B218" s="20" t="s">
        <v>653</v>
      </c>
      <c r="C218" s="19" t="s">
        <v>74</v>
      </c>
      <c r="D218" s="19" t="s">
        <v>654</v>
      </c>
      <c r="E218" s="21" t="s">
        <v>366</v>
      </c>
      <c r="F218" s="22">
        <v>142</v>
      </c>
      <c r="G218" s="22">
        <v>36.47</v>
      </c>
      <c r="H218" s="22">
        <v>45.66</v>
      </c>
      <c r="I218" s="22">
        <v>6483.72</v>
      </c>
      <c r="J218" s="23">
        <v>6.4025371099532156E-4</v>
      </c>
    </row>
    <row r="219" spans="1:10" ht="25.5" x14ac:dyDescent="0.25">
      <c r="A219" s="19" t="s">
        <v>659</v>
      </c>
      <c r="B219" s="20" t="s">
        <v>660</v>
      </c>
      <c r="C219" s="19" t="s">
        <v>74</v>
      </c>
      <c r="D219" s="19" t="s">
        <v>661</v>
      </c>
      <c r="E219" s="21" t="s">
        <v>366</v>
      </c>
      <c r="F219" s="22">
        <v>15</v>
      </c>
      <c r="G219" s="22">
        <v>50.83</v>
      </c>
      <c r="H219" s="22">
        <v>63.64</v>
      </c>
      <c r="I219" s="22">
        <v>954.6</v>
      </c>
      <c r="J219" s="23">
        <v>9.4264741925335137E-5</v>
      </c>
    </row>
    <row r="220" spans="1:10" x14ac:dyDescent="0.25">
      <c r="A220" s="19" t="s">
        <v>662</v>
      </c>
      <c r="B220" s="20" t="s">
        <v>663</v>
      </c>
      <c r="C220" s="19" t="s">
        <v>74</v>
      </c>
      <c r="D220" s="19" t="s">
        <v>664</v>
      </c>
      <c r="E220" s="21" t="s">
        <v>366</v>
      </c>
      <c r="F220" s="22">
        <v>2</v>
      </c>
      <c r="G220" s="22">
        <v>33.549999999999997</v>
      </c>
      <c r="H220" s="22">
        <v>42.01</v>
      </c>
      <c r="I220" s="22">
        <v>84.02</v>
      </c>
      <c r="J220" s="23">
        <v>8.29679825745512E-6</v>
      </c>
    </row>
    <row r="221" spans="1:10" ht="38.25" x14ac:dyDescent="0.25">
      <c r="A221" s="19" t="s">
        <v>665</v>
      </c>
      <c r="B221" s="20" t="s">
        <v>666</v>
      </c>
      <c r="C221" s="19" t="s">
        <v>74</v>
      </c>
      <c r="D221" s="19" t="s">
        <v>667</v>
      </c>
      <c r="E221" s="21" t="s">
        <v>86</v>
      </c>
      <c r="F221" s="22">
        <v>603.05999999999995</v>
      </c>
      <c r="G221" s="22">
        <v>8.6199999999999992</v>
      </c>
      <c r="H221" s="22">
        <v>10.79</v>
      </c>
      <c r="I221" s="22">
        <v>6507.01</v>
      </c>
      <c r="J221" s="23">
        <v>6.425535495030117E-4</v>
      </c>
    </row>
    <row r="222" spans="1:10" ht="38.25" x14ac:dyDescent="0.25">
      <c r="A222" s="19" t="s">
        <v>668</v>
      </c>
      <c r="B222" s="20" t="s">
        <v>669</v>
      </c>
      <c r="C222" s="19" t="s">
        <v>74</v>
      </c>
      <c r="D222" s="19" t="s">
        <v>670</v>
      </c>
      <c r="E222" s="21" t="s">
        <v>86</v>
      </c>
      <c r="F222" s="22">
        <v>1121.4000000000001</v>
      </c>
      <c r="G222" s="22">
        <v>10.15</v>
      </c>
      <c r="H222" s="22">
        <v>12.7</v>
      </c>
      <c r="I222" s="22">
        <v>14241.78</v>
      </c>
      <c r="J222" s="23">
        <v>1.4063458163182478E-3</v>
      </c>
    </row>
    <row r="223" spans="1:10" ht="38.25" x14ac:dyDescent="0.25">
      <c r="A223" s="19" t="s">
        <v>671</v>
      </c>
      <c r="B223" s="20" t="s">
        <v>672</v>
      </c>
      <c r="C223" s="19" t="s">
        <v>74</v>
      </c>
      <c r="D223" s="19" t="s">
        <v>673</v>
      </c>
      <c r="E223" s="21" t="s">
        <v>86</v>
      </c>
      <c r="F223" s="22">
        <v>115.68</v>
      </c>
      <c r="G223" s="22">
        <v>14.15</v>
      </c>
      <c r="H223" s="22">
        <v>17.71</v>
      </c>
      <c r="I223" s="22">
        <v>2048.69</v>
      </c>
      <c r="J223" s="23">
        <v>2.0230382792270568E-4</v>
      </c>
    </row>
    <row r="224" spans="1:10" ht="38.25" x14ac:dyDescent="0.25">
      <c r="A224" s="19" t="s">
        <v>674</v>
      </c>
      <c r="B224" s="20" t="s">
        <v>675</v>
      </c>
      <c r="C224" s="19" t="s">
        <v>74</v>
      </c>
      <c r="D224" s="19" t="s">
        <v>676</v>
      </c>
      <c r="E224" s="21" t="s">
        <v>86</v>
      </c>
      <c r="F224" s="22">
        <v>93.39</v>
      </c>
      <c r="G224" s="22">
        <v>15.28</v>
      </c>
      <c r="H224" s="22">
        <v>19.13</v>
      </c>
      <c r="I224" s="22">
        <v>1786.55</v>
      </c>
      <c r="J224" s="23">
        <v>1.7641805435439711E-4</v>
      </c>
    </row>
    <row r="225" spans="1:10" ht="38.25" x14ac:dyDescent="0.25">
      <c r="A225" s="19" t="s">
        <v>677</v>
      </c>
      <c r="B225" s="20" t="s">
        <v>678</v>
      </c>
      <c r="C225" s="19" t="s">
        <v>74</v>
      </c>
      <c r="D225" s="19" t="s">
        <v>679</v>
      </c>
      <c r="E225" s="21" t="s">
        <v>86</v>
      </c>
      <c r="F225" s="22">
        <v>247.11</v>
      </c>
      <c r="G225" s="22">
        <v>15.64</v>
      </c>
      <c r="H225" s="22">
        <v>19.579999999999998</v>
      </c>
      <c r="I225" s="22">
        <v>4838.41</v>
      </c>
      <c r="J225" s="23">
        <v>4.7778280953169998E-4</v>
      </c>
    </row>
    <row r="226" spans="1:10" ht="25.5" x14ac:dyDescent="0.25">
      <c r="A226" s="19" t="s">
        <v>680</v>
      </c>
      <c r="B226" s="20" t="s">
        <v>681</v>
      </c>
      <c r="C226" s="19" t="s">
        <v>235</v>
      </c>
      <c r="D226" s="19" t="s">
        <v>682</v>
      </c>
      <c r="E226" s="21" t="s">
        <v>434</v>
      </c>
      <c r="F226" s="22">
        <v>40</v>
      </c>
      <c r="G226" s="22">
        <v>33.43</v>
      </c>
      <c r="H226" s="22">
        <v>41.86</v>
      </c>
      <c r="I226" s="22">
        <v>1674.4</v>
      </c>
      <c r="J226" s="23">
        <v>1.6534347777056479E-4</v>
      </c>
    </row>
    <row r="227" spans="1:10" ht="25.5" x14ac:dyDescent="0.25">
      <c r="A227" s="19" t="s">
        <v>683</v>
      </c>
      <c r="B227" s="20" t="s">
        <v>684</v>
      </c>
      <c r="C227" s="19" t="s">
        <v>235</v>
      </c>
      <c r="D227" s="19" t="s">
        <v>685</v>
      </c>
      <c r="E227" s="21" t="s">
        <v>450</v>
      </c>
      <c r="F227" s="22">
        <v>35</v>
      </c>
      <c r="G227" s="22">
        <v>25.96</v>
      </c>
      <c r="H227" s="22">
        <v>32.5</v>
      </c>
      <c r="I227" s="22">
        <v>1137.5</v>
      </c>
      <c r="J227" s="23">
        <v>1.1232573218109022E-4</v>
      </c>
    </row>
    <row r="228" spans="1:10" ht="25.5" x14ac:dyDescent="0.25">
      <c r="A228" s="19" t="s">
        <v>686</v>
      </c>
      <c r="B228" s="20" t="s">
        <v>687</v>
      </c>
      <c r="C228" s="19" t="s">
        <v>74</v>
      </c>
      <c r="D228" s="19" t="s">
        <v>688</v>
      </c>
      <c r="E228" s="21" t="s">
        <v>366</v>
      </c>
      <c r="F228" s="22">
        <v>35</v>
      </c>
      <c r="G228" s="22">
        <v>9.69</v>
      </c>
      <c r="H228" s="22">
        <v>12.13</v>
      </c>
      <c r="I228" s="22">
        <v>424.55</v>
      </c>
      <c r="J228" s="23">
        <v>4.1923419426357671E-5</v>
      </c>
    </row>
    <row r="229" spans="1:10" ht="25.5" x14ac:dyDescent="0.25">
      <c r="A229" s="19" t="s">
        <v>689</v>
      </c>
      <c r="B229" s="20" t="s">
        <v>690</v>
      </c>
      <c r="C229" s="19" t="s">
        <v>74</v>
      </c>
      <c r="D229" s="19" t="s">
        <v>691</v>
      </c>
      <c r="E229" s="21" t="s">
        <v>366</v>
      </c>
      <c r="F229" s="22">
        <v>72</v>
      </c>
      <c r="G229" s="22">
        <v>10.119999999999999</v>
      </c>
      <c r="H229" s="22">
        <v>12.67</v>
      </c>
      <c r="I229" s="22">
        <v>912.24</v>
      </c>
      <c r="J229" s="23">
        <v>9.0081781032859542E-5</v>
      </c>
    </row>
    <row r="230" spans="1:10" ht="25.5" x14ac:dyDescent="0.25">
      <c r="A230" s="19" t="s">
        <v>692</v>
      </c>
      <c r="B230" s="20" t="s">
        <v>693</v>
      </c>
      <c r="C230" s="19" t="s">
        <v>74</v>
      </c>
      <c r="D230" s="19" t="s">
        <v>694</v>
      </c>
      <c r="E230" s="21" t="s">
        <v>366</v>
      </c>
      <c r="F230" s="22">
        <v>59</v>
      </c>
      <c r="G230" s="22">
        <v>10.96</v>
      </c>
      <c r="H230" s="22">
        <v>13.72</v>
      </c>
      <c r="I230" s="22">
        <v>809.48</v>
      </c>
      <c r="J230" s="23">
        <v>7.9934447196438596E-5</v>
      </c>
    </row>
    <row r="231" spans="1:10" ht="25.5" x14ac:dyDescent="0.25">
      <c r="A231" s="19" t="s">
        <v>695</v>
      </c>
      <c r="B231" s="20" t="s">
        <v>696</v>
      </c>
      <c r="C231" s="19" t="s">
        <v>74</v>
      </c>
      <c r="D231" s="19" t="s">
        <v>697</v>
      </c>
      <c r="E231" s="21" t="s">
        <v>366</v>
      </c>
      <c r="F231" s="22">
        <v>3</v>
      </c>
      <c r="G231" s="22">
        <v>12.02</v>
      </c>
      <c r="H231" s="22">
        <v>15.05</v>
      </c>
      <c r="I231" s="22">
        <v>45.15</v>
      </c>
      <c r="J231" s="23">
        <v>4.458467523495581E-6</v>
      </c>
    </row>
    <row r="232" spans="1:10" ht="25.5" x14ac:dyDescent="0.25">
      <c r="A232" s="19" t="s">
        <v>698</v>
      </c>
      <c r="B232" s="20" t="s">
        <v>699</v>
      </c>
      <c r="C232" s="19" t="s">
        <v>74</v>
      </c>
      <c r="D232" s="19" t="s">
        <v>700</v>
      </c>
      <c r="E232" s="21" t="s">
        <v>366</v>
      </c>
      <c r="F232" s="22">
        <v>2</v>
      </c>
      <c r="G232" s="22">
        <v>61.64</v>
      </c>
      <c r="H232" s="22">
        <v>77.180000000000007</v>
      </c>
      <c r="I232" s="22">
        <v>154.36000000000001</v>
      </c>
      <c r="J232" s="23">
        <v>1.5242725291844471E-5</v>
      </c>
    </row>
    <row r="233" spans="1:10" ht="25.5" x14ac:dyDescent="0.25">
      <c r="A233" s="19" t="s">
        <v>701</v>
      </c>
      <c r="B233" s="20" t="s">
        <v>702</v>
      </c>
      <c r="C233" s="19" t="s">
        <v>74</v>
      </c>
      <c r="D233" s="19" t="s">
        <v>703</v>
      </c>
      <c r="E233" s="21" t="s">
        <v>366</v>
      </c>
      <c r="F233" s="22">
        <v>9</v>
      </c>
      <c r="G233" s="22">
        <v>64.19</v>
      </c>
      <c r="H233" s="22">
        <v>80.37</v>
      </c>
      <c r="I233" s="22">
        <v>723.33</v>
      </c>
      <c r="J233" s="23">
        <v>7.1427315919602618E-5</v>
      </c>
    </row>
    <row r="234" spans="1:10" ht="25.5" x14ac:dyDescent="0.25">
      <c r="A234" s="19" t="s">
        <v>704</v>
      </c>
      <c r="B234" s="20" t="s">
        <v>705</v>
      </c>
      <c r="C234" s="19" t="s">
        <v>74</v>
      </c>
      <c r="D234" s="19" t="s">
        <v>706</v>
      </c>
      <c r="E234" s="21" t="s">
        <v>366</v>
      </c>
      <c r="F234" s="22">
        <v>9</v>
      </c>
      <c r="G234" s="22">
        <v>72.19</v>
      </c>
      <c r="H234" s="22">
        <v>90.39</v>
      </c>
      <c r="I234" s="22">
        <v>813.51</v>
      </c>
      <c r="J234" s="23">
        <v>8.0332401219023028E-5</v>
      </c>
    </row>
    <row r="235" spans="1:10" ht="25.5" x14ac:dyDescent="0.25">
      <c r="A235" s="19" t="s">
        <v>707</v>
      </c>
      <c r="B235" s="20" t="s">
        <v>708</v>
      </c>
      <c r="C235" s="19" t="s">
        <v>74</v>
      </c>
      <c r="D235" s="19" t="s">
        <v>709</v>
      </c>
      <c r="E235" s="21" t="s">
        <v>366</v>
      </c>
      <c r="F235" s="22">
        <v>11</v>
      </c>
      <c r="G235" s="22">
        <v>128.22</v>
      </c>
      <c r="H235" s="22">
        <v>160.55000000000001</v>
      </c>
      <c r="I235" s="22">
        <v>1766.05</v>
      </c>
      <c r="J235" s="23">
        <v>1.7439372247772693E-4</v>
      </c>
    </row>
    <row r="236" spans="1:10" ht="38.25" x14ac:dyDescent="0.25">
      <c r="A236" s="19" t="s">
        <v>710</v>
      </c>
      <c r="B236" s="20" t="s">
        <v>711</v>
      </c>
      <c r="C236" s="19" t="s">
        <v>74</v>
      </c>
      <c r="D236" s="19" t="s">
        <v>712</v>
      </c>
      <c r="E236" s="21" t="s">
        <v>366</v>
      </c>
      <c r="F236" s="22">
        <v>13</v>
      </c>
      <c r="G236" s="22">
        <v>2754.54</v>
      </c>
      <c r="H236" s="22">
        <v>3449.23</v>
      </c>
      <c r="I236" s="22">
        <v>44839.99</v>
      </c>
      <c r="J236" s="23">
        <v>4.4278546881255064E-3</v>
      </c>
    </row>
    <row r="237" spans="1:10" ht="25.5" x14ac:dyDescent="0.25">
      <c r="A237" s="19" t="s">
        <v>713</v>
      </c>
      <c r="B237" s="20" t="s">
        <v>714</v>
      </c>
      <c r="C237" s="19" t="s">
        <v>74</v>
      </c>
      <c r="D237" s="19" t="s">
        <v>715</v>
      </c>
      <c r="E237" s="21" t="s">
        <v>366</v>
      </c>
      <c r="F237" s="22">
        <v>26</v>
      </c>
      <c r="G237" s="22">
        <v>508.6</v>
      </c>
      <c r="H237" s="22">
        <v>636.86</v>
      </c>
      <c r="I237" s="22">
        <v>16558.36</v>
      </c>
      <c r="J237" s="23">
        <v>1.635103218213694E-3</v>
      </c>
    </row>
    <row r="238" spans="1:10" ht="38.25" x14ac:dyDescent="0.25">
      <c r="A238" s="14" t="s">
        <v>716</v>
      </c>
      <c r="B238" s="15" t="s">
        <v>717</v>
      </c>
      <c r="C238" s="14" t="s">
        <v>74</v>
      </c>
      <c r="D238" s="14" t="s">
        <v>718</v>
      </c>
      <c r="E238" s="16" t="s">
        <v>366</v>
      </c>
      <c r="F238" s="17">
        <v>1</v>
      </c>
      <c r="G238" s="17">
        <v>150947.21</v>
      </c>
      <c r="H238" s="17">
        <v>189016.09</v>
      </c>
      <c r="I238" s="17">
        <v>189016.09</v>
      </c>
      <c r="J238" s="18">
        <v>1.8664941277588436E-2</v>
      </c>
    </row>
    <row r="239" spans="1:10" ht="38.25" x14ac:dyDescent="0.25">
      <c r="A239" s="19" t="s">
        <v>719</v>
      </c>
      <c r="B239" s="20" t="s">
        <v>720</v>
      </c>
      <c r="C239" s="19" t="s">
        <v>74</v>
      </c>
      <c r="D239" s="19" t="s">
        <v>721</v>
      </c>
      <c r="E239" s="21" t="s">
        <v>366</v>
      </c>
      <c r="F239" s="22">
        <v>13</v>
      </c>
      <c r="G239" s="22">
        <v>108.38</v>
      </c>
      <c r="H239" s="22">
        <v>135.71</v>
      </c>
      <c r="I239" s="22">
        <v>1764.23</v>
      </c>
      <c r="J239" s="23">
        <v>1.7421400130623716E-4</v>
      </c>
    </row>
    <row r="240" spans="1:10" ht="25.5" x14ac:dyDescent="0.25">
      <c r="A240" s="19" t="s">
        <v>722</v>
      </c>
      <c r="B240" s="20" t="s">
        <v>723</v>
      </c>
      <c r="C240" s="19" t="s">
        <v>74</v>
      </c>
      <c r="D240" s="19" t="s">
        <v>724</v>
      </c>
      <c r="E240" s="21" t="s">
        <v>366</v>
      </c>
      <c r="F240" s="22">
        <v>13</v>
      </c>
      <c r="G240" s="22">
        <v>36.24</v>
      </c>
      <c r="H240" s="22">
        <v>45.37</v>
      </c>
      <c r="I240" s="22">
        <v>589.80999999999995</v>
      </c>
      <c r="J240" s="23">
        <v>5.8242496789212146E-5</v>
      </c>
    </row>
    <row r="241" spans="1:10" ht="38.25" x14ac:dyDescent="0.25">
      <c r="A241" s="19" t="s">
        <v>725</v>
      </c>
      <c r="B241" s="20" t="s">
        <v>726</v>
      </c>
      <c r="C241" s="19" t="s">
        <v>74</v>
      </c>
      <c r="D241" s="19" t="s">
        <v>727</v>
      </c>
      <c r="E241" s="21" t="s">
        <v>366</v>
      </c>
      <c r="F241" s="22">
        <v>1</v>
      </c>
      <c r="G241" s="22">
        <v>1719.32</v>
      </c>
      <c r="H241" s="22">
        <v>2152.9299999999998</v>
      </c>
      <c r="I241" s="22">
        <v>2152.9299999999998</v>
      </c>
      <c r="J241" s="23">
        <v>2.1259730864583258E-4</v>
      </c>
    </row>
    <row r="242" spans="1:10" ht="25.5" x14ac:dyDescent="0.25">
      <c r="A242" s="19" t="s">
        <v>728</v>
      </c>
      <c r="B242" s="20" t="s">
        <v>729</v>
      </c>
      <c r="C242" s="19" t="s">
        <v>74</v>
      </c>
      <c r="D242" s="19" t="s">
        <v>730</v>
      </c>
      <c r="E242" s="21" t="s">
        <v>366</v>
      </c>
      <c r="F242" s="22">
        <v>3</v>
      </c>
      <c r="G242" s="22">
        <v>48.49</v>
      </c>
      <c r="H242" s="22">
        <v>60.71</v>
      </c>
      <c r="I242" s="22">
        <v>182.13</v>
      </c>
      <c r="J242" s="23">
        <v>1.7984954375509417E-5</v>
      </c>
    </row>
    <row r="243" spans="1:10" x14ac:dyDescent="0.25">
      <c r="A243" s="5" t="s">
        <v>49</v>
      </c>
      <c r="B243" s="5"/>
      <c r="C243" s="5"/>
      <c r="D243" s="5" t="s">
        <v>50</v>
      </c>
      <c r="E243" s="5"/>
      <c r="F243" s="6"/>
      <c r="G243" s="24"/>
      <c r="H243" s="24"/>
      <c r="I243" s="6">
        <v>94960.7</v>
      </c>
      <c r="J243" s="7">
        <v>9.3771693678495419E-3</v>
      </c>
    </row>
    <row r="244" spans="1:10" ht="38.25" x14ac:dyDescent="0.25">
      <c r="A244" s="19" t="s">
        <v>731</v>
      </c>
      <c r="B244" s="20" t="s">
        <v>720</v>
      </c>
      <c r="C244" s="19" t="s">
        <v>74</v>
      </c>
      <c r="D244" s="19" t="s">
        <v>721</v>
      </c>
      <c r="E244" s="21" t="s">
        <v>366</v>
      </c>
      <c r="F244" s="22">
        <v>3</v>
      </c>
      <c r="G244" s="22">
        <v>108.38</v>
      </c>
      <c r="H244" s="22">
        <v>135.71</v>
      </c>
      <c r="I244" s="22">
        <v>407.13</v>
      </c>
      <c r="J244" s="23">
        <v>4.020323107067012E-5</v>
      </c>
    </row>
    <row r="245" spans="1:10" ht="38.25" x14ac:dyDescent="0.25">
      <c r="A245" s="14" t="s">
        <v>732</v>
      </c>
      <c r="B245" s="15" t="s">
        <v>733</v>
      </c>
      <c r="C245" s="14" t="s">
        <v>74</v>
      </c>
      <c r="D245" s="14" t="s">
        <v>734</v>
      </c>
      <c r="E245" s="16" t="s">
        <v>366</v>
      </c>
      <c r="F245" s="17">
        <v>14</v>
      </c>
      <c r="G245" s="17">
        <v>41.12</v>
      </c>
      <c r="H245" s="17">
        <v>51.49</v>
      </c>
      <c r="I245" s="17">
        <v>720.86</v>
      </c>
      <c r="J245" s="18">
        <v>7.1183408615437967E-5</v>
      </c>
    </row>
    <row r="246" spans="1:10" ht="25.5" x14ac:dyDescent="0.25">
      <c r="A246" s="19" t="s">
        <v>735</v>
      </c>
      <c r="B246" s="20" t="s">
        <v>736</v>
      </c>
      <c r="C246" s="19" t="s">
        <v>74</v>
      </c>
      <c r="D246" s="19" t="s">
        <v>737</v>
      </c>
      <c r="E246" s="21" t="s">
        <v>366</v>
      </c>
      <c r="F246" s="22">
        <v>14</v>
      </c>
      <c r="G246" s="22">
        <v>42.64</v>
      </c>
      <c r="H246" s="22">
        <v>53.39</v>
      </c>
      <c r="I246" s="22">
        <v>747.46</v>
      </c>
      <c r="J246" s="23">
        <v>7.381010266028808E-5</v>
      </c>
    </row>
    <row r="247" spans="1:10" ht="25.5" x14ac:dyDescent="0.25">
      <c r="A247" s="14" t="s">
        <v>738</v>
      </c>
      <c r="B247" s="15" t="s">
        <v>739</v>
      </c>
      <c r="C247" s="14" t="s">
        <v>74</v>
      </c>
      <c r="D247" s="14" t="s">
        <v>740</v>
      </c>
      <c r="E247" s="16" t="s">
        <v>366</v>
      </c>
      <c r="F247" s="17">
        <v>14</v>
      </c>
      <c r="G247" s="17">
        <v>2.13</v>
      </c>
      <c r="H247" s="17">
        <v>2.66</v>
      </c>
      <c r="I247" s="17">
        <v>37.24</v>
      </c>
      <c r="J247" s="18">
        <v>3.6773716627901535E-6</v>
      </c>
    </row>
    <row r="248" spans="1:10" ht="25.5" x14ac:dyDescent="0.25">
      <c r="A248" s="19" t="s">
        <v>741</v>
      </c>
      <c r="B248" s="20" t="s">
        <v>742</v>
      </c>
      <c r="C248" s="19" t="s">
        <v>235</v>
      </c>
      <c r="D248" s="19" t="s">
        <v>743</v>
      </c>
      <c r="E248" s="21" t="s">
        <v>450</v>
      </c>
      <c r="F248" s="22">
        <v>1</v>
      </c>
      <c r="G248" s="22">
        <v>470.27</v>
      </c>
      <c r="H248" s="22">
        <v>588.87</v>
      </c>
      <c r="I248" s="22">
        <v>588.87</v>
      </c>
      <c r="J248" s="23">
        <v>5.8149673766574585E-5</v>
      </c>
    </row>
    <row r="249" spans="1:10" ht="38.25" x14ac:dyDescent="0.25">
      <c r="A249" s="19" t="s">
        <v>744</v>
      </c>
      <c r="B249" s="20" t="s">
        <v>745</v>
      </c>
      <c r="C249" s="19" t="s">
        <v>74</v>
      </c>
      <c r="D249" s="19" t="s">
        <v>746</v>
      </c>
      <c r="E249" s="21" t="s">
        <v>366</v>
      </c>
      <c r="F249" s="22">
        <v>14</v>
      </c>
      <c r="G249" s="22">
        <v>16.809999999999999</v>
      </c>
      <c r="H249" s="22">
        <v>21.04</v>
      </c>
      <c r="I249" s="22">
        <v>294.56</v>
      </c>
      <c r="J249" s="23">
        <v>2.9087180370340162E-5</v>
      </c>
    </row>
    <row r="250" spans="1:10" x14ac:dyDescent="0.25">
      <c r="A250" s="19" t="s">
        <v>747</v>
      </c>
      <c r="B250" s="20" t="s">
        <v>748</v>
      </c>
      <c r="C250" s="19" t="s">
        <v>235</v>
      </c>
      <c r="D250" s="19" t="s">
        <v>749</v>
      </c>
      <c r="E250" s="21" t="s">
        <v>450</v>
      </c>
      <c r="F250" s="22">
        <v>15</v>
      </c>
      <c r="G250" s="22">
        <v>23.57</v>
      </c>
      <c r="H250" s="22">
        <v>29.51</v>
      </c>
      <c r="I250" s="22">
        <v>442.65</v>
      </c>
      <c r="J250" s="23">
        <v>4.3710756351612817E-5</v>
      </c>
    </row>
    <row r="251" spans="1:10" ht="25.5" x14ac:dyDescent="0.25">
      <c r="A251" s="14" t="s">
        <v>750</v>
      </c>
      <c r="B251" s="15" t="s">
        <v>751</v>
      </c>
      <c r="C251" s="14" t="s">
        <v>74</v>
      </c>
      <c r="D251" s="14" t="s">
        <v>752</v>
      </c>
      <c r="E251" s="16" t="s">
        <v>366</v>
      </c>
      <c r="F251" s="17">
        <v>96</v>
      </c>
      <c r="G251" s="17">
        <v>15.41</v>
      </c>
      <c r="H251" s="17">
        <v>19.29</v>
      </c>
      <c r="I251" s="17">
        <v>1851.84</v>
      </c>
      <c r="J251" s="18">
        <v>1.8286530451185065E-4</v>
      </c>
    </row>
    <row r="252" spans="1:10" ht="25.5" x14ac:dyDescent="0.25">
      <c r="A252" s="14" t="s">
        <v>753</v>
      </c>
      <c r="B252" s="15" t="s">
        <v>754</v>
      </c>
      <c r="C252" s="14" t="s">
        <v>74</v>
      </c>
      <c r="D252" s="14" t="s">
        <v>755</v>
      </c>
      <c r="E252" s="16" t="s">
        <v>366</v>
      </c>
      <c r="F252" s="17">
        <v>14</v>
      </c>
      <c r="G252" s="17">
        <v>9.99</v>
      </c>
      <c r="H252" s="17">
        <v>12.5</v>
      </c>
      <c r="I252" s="17">
        <v>175</v>
      </c>
      <c r="J252" s="18">
        <v>1.7280881874013878E-5</v>
      </c>
    </row>
    <row r="253" spans="1:10" x14ac:dyDescent="0.25">
      <c r="A253" s="19" t="s">
        <v>756</v>
      </c>
      <c r="B253" s="20" t="s">
        <v>748</v>
      </c>
      <c r="C253" s="19" t="s">
        <v>235</v>
      </c>
      <c r="D253" s="19" t="s">
        <v>749</v>
      </c>
      <c r="E253" s="21" t="s">
        <v>450</v>
      </c>
      <c r="F253" s="22">
        <v>40</v>
      </c>
      <c r="G253" s="22">
        <v>23.57</v>
      </c>
      <c r="H253" s="22">
        <v>29.51</v>
      </c>
      <c r="I253" s="22">
        <v>1180.4000000000001</v>
      </c>
      <c r="J253" s="23">
        <v>1.1656201693763418E-4</v>
      </c>
    </row>
    <row r="254" spans="1:10" ht="25.5" x14ac:dyDescent="0.25">
      <c r="A254" s="14" t="s">
        <v>757</v>
      </c>
      <c r="B254" s="15" t="s">
        <v>758</v>
      </c>
      <c r="C254" s="14" t="s">
        <v>74</v>
      </c>
      <c r="D254" s="14" t="s">
        <v>759</v>
      </c>
      <c r="E254" s="16" t="s">
        <v>366</v>
      </c>
      <c r="F254" s="17">
        <v>20</v>
      </c>
      <c r="G254" s="17">
        <v>4.03</v>
      </c>
      <c r="H254" s="17">
        <v>5.04</v>
      </c>
      <c r="I254" s="17">
        <v>100.8</v>
      </c>
      <c r="J254" s="18">
        <v>9.9537879594319939E-6</v>
      </c>
    </row>
    <row r="255" spans="1:10" ht="25.5" x14ac:dyDescent="0.25">
      <c r="A255" s="14" t="s">
        <v>760</v>
      </c>
      <c r="B255" s="15" t="s">
        <v>761</v>
      </c>
      <c r="C255" s="14" t="s">
        <v>74</v>
      </c>
      <c r="D255" s="14" t="s">
        <v>762</v>
      </c>
      <c r="E255" s="16" t="s">
        <v>366</v>
      </c>
      <c r="F255" s="17">
        <v>1</v>
      </c>
      <c r="G255" s="17">
        <v>107.59</v>
      </c>
      <c r="H255" s="17">
        <v>134.72</v>
      </c>
      <c r="I255" s="17">
        <v>134.72</v>
      </c>
      <c r="J255" s="18">
        <v>1.3303316606097999E-5</v>
      </c>
    </row>
    <row r="256" spans="1:10" ht="25.5" x14ac:dyDescent="0.25">
      <c r="A256" s="14" t="s">
        <v>763</v>
      </c>
      <c r="B256" s="15" t="s">
        <v>764</v>
      </c>
      <c r="C256" s="14" t="s">
        <v>74</v>
      </c>
      <c r="D256" s="14" t="s">
        <v>765</v>
      </c>
      <c r="E256" s="16" t="s">
        <v>766</v>
      </c>
      <c r="F256" s="17">
        <v>55</v>
      </c>
      <c r="G256" s="17">
        <v>46.01</v>
      </c>
      <c r="H256" s="17">
        <v>57.61</v>
      </c>
      <c r="I256" s="17">
        <v>3168.55</v>
      </c>
      <c r="J256" s="18">
        <v>3.1288764721089531E-4</v>
      </c>
    </row>
    <row r="257" spans="1:10" ht="25.5" x14ac:dyDescent="0.25">
      <c r="A257" s="14" t="s">
        <v>767</v>
      </c>
      <c r="B257" s="15" t="s">
        <v>768</v>
      </c>
      <c r="C257" s="14" t="s">
        <v>74</v>
      </c>
      <c r="D257" s="14" t="s">
        <v>769</v>
      </c>
      <c r="E257" s="16" t="s">
        <v>366</v>
      </c>
      <c r="F257" s="17">
        <v>280</v>
      </c>
      <c r="G257" s="17">
        <v>0.94</v>
      </c>
      <c r="H257" s="17">
        <v>1.17</v>
      </c>
      <c r="I257" s="17">
        <v>327.60000000000002</v>
      </c>
      <c r="J257" s="18">
        <v>3.2349810868153979E-5</v>
      </c>
    </row>
    <row r="258" spans="1:10" ht="25.5" x14ac:dyDescent="0.25">
      <c r="A258" s="19" t="s">
        <v>770</v>
      </c>
      <c r="B258" s="20" t="s">
        <v>771</v>
      </c>
      <c r="C258" s="19" t="s">
        <v>235</v>
      </c>
      <c r="D258" s="19" t="s">
        <v>772</v>
      </c>
      <c r="E258" s="21" t="s">
        <v>450</v>
      </c>
      <c r="F258" s="22">
        <v>480</v>
      </c>
      <c r="G258" s="22">
        <v>1.61</v>
      </c>
      <c r="H258" s="22">
        <v>2.0099999999999998</v>
      </c>
      <c r="I258" s="22">
        <v>964.8</v>
      </c>
      <c r="J258" s="23">
        <v>9.5271970468849084E-5</v>
      </c>
    </row>
    <row r="259" spans="1:10" ht="25.5" x14ac:dyDescent="0.25">
      <c r="A259" s="19" t="s">
        <v>773</v>
      </c>
      <c r="B259" s="20" t="s">
        <v>774</v>
      </c>
      <c r="C259" s="19" t="s">
        <v>235</v>
      </c>
      <c r="D259" s="19" t="s">
        <v>775</v>
      </c>
      <c r="E259" s="21" t="s">
        <v>450</v>
      </c>
      <c r="F259" s="22">
        <v>140</v>
      </c>
      <c r="G259" s="22">
        <v>39.82</v>
      </c>
      <c r="H259" s="22">
        <v>49.86</v>
      </c>
      <c r="I259" s="22">
        <v>6980.4</v>
      </c>
      <c r="J259" s="23">
        <v>6.8929981619066561E-4</v>
      </c>
    </row>
    <row r="260" spans="1:10" x14ac:dyDescent="0.25">
      <c r="A260" s="19" t="s">
        <v>776</v>
      </c>
      <c r="B260" s="20" t="s">
        <v>777</v>
      </c>
      <c r="C260" s="19" t="s">
        <v>235</v>
      </c>
      <c r="D260" s="19" t="s">
        <v>778</v>
      </c>
      <c r="E260" s="21" t="s">
        <v>450</v>
      </c>
      <c r="F260" s="22">
        <v>6</v>
      </c>
      <c r="G260" s="22">
        <v>23.6</v>
      </c>
      <c r="H260" s="22">
        <v>29.55</v>
      </c>
      <c r="I260" s="22">
        <v>177.3</v>
      </c>
      <c r="J260" s="23">
        <v>1.7508002035786632E-5</v>
      </c>
    </row>
    <row r="261" spans="1:10" ht="25.5" x14ac:dyDescent="0.25">
      <c r="A261" s="19" t="s">
        <v>779</v>
      </c>
      <c r="B261" s="20" t="s">
        <v>780</v>
      </c>
      <c r="C261" s="19" t="s">
        <v>74</v>
      </c>
      <c r="D261" s="19" t="s">
        <v>781</v>
      </c>
      <c r="E261" s="21" t="s">
        <v>86</v>
      </c>
      <c r="F261" s="22">
        <v>698.33</v>
      </c>
      <c r="G261" s="22">
        <v>53.55</v>
      </c>
      <c r="H261" s="22">
        <v>67.05</v>
      </c>
      <c r="I261" s="22">
        <v>46823.02</v>
      </c>
      <c r="J261" s="23">
        <v>4.6236747291690822E-3</v>
      </c>
    </row>
    <row r="262" spans="1:10" ht="25.5" x14ac:dyDescent="0.25">
      <c r="A262" s="19" t="s">
        <v>782</v>
      </c>
      <c r="B262" s="20" t="s">
        <v>783</v>
      </c>
      <c r="C262" s="19" t="s">
        <v>74</v>
      </c>
      <c r="D262" s="19" t="s">
        <v>784</v>
      </c>
      <c r="E262" s="21" t="s">
        <v>86</v>
      </c>
      <c r="F262" s="22">
        <v>411.2</v>
      </c>
      <c r="G262" s="22">
        <v>56.3</v>
      </c>
      <c r="H262" s="22">
        <v>70.489999999999995</v>
      </c>
      <c r="I262" s="22">
        <v>28985.48</v>
      </c>
      <c r="J262" s="23">
        <v>2.8622551768090962E-3</v>
      </c>
    </row>
    <row r="263" spans="1:10" ht="38.25" x14ac:dyDescent="0.25">
      <c r="A263" s="19" t="s">
        <v>785</v>
      </c>
      <c r="B263" s="20" t="s">
        <v>672</v>
      </c>
      <c r="C263" s="19" t="s">
        <v>74</v>
      </c>
      <c r="D263" s="19" t="s">
        <v>673</v>
      </c>
      <c r="E263" s="21" t="s">
        <v>86</v>
      </c>
      <c r="F263" s="22">
        <v>48.11</v>
      </c>
      <c r="G263" s="22">
        <v>14.15</v>
      </c>
      <c r="H263" s="22">
        <v>17.71</v>
      </c>
      <c r="I263" s="22">
        <v>852.02</v>
      </c>
      <c r="J263" s="23">
        <v>8.4135182710270314E-5</v>
      </c>
    </row>
    <row r="264" spans="1:10" x14ac:dyDescent="0.25">
      <c r="A264" s="5" t="s">
        <v>51</v>
      </c>
      <c r="B264" s="5"/>
      <c r="C264" s="5"/>
      <c r="D264" s="5" t="s">
        <v>52</v>
      </c>
      <c r="E264" s="5"/>
      <c r="F264" s="6"/>
      <c r="G264" s="24"/>
      <c r="H264" s="24"/>
      <c r="I264" s="6">
        <v>38372.949999999997</v>
      </c>
      <c r="J264" s="7">
        <v>3.7892480920425193E-3</v>
      </c>
    </row>
    <row r="265" spans="1:10" ht="25.5" x14ac:dyDescent="0.25">
      <c r="A265" s="19" t="s">
        <v>786</v>
      </c>
      <c r="B265" s="20" t="s">
        <v>787</v>
      </c>
      <c r="C265" s="19" t="s">
        <v>74</v>
      </c>
      <c r="D265" s="19" t="s">
        <v>788</v>
      </c>
      <c r="E265" s="21" t="s">
        <v>366</v>
      </c>
      <c r="F265" s="22">
        <v>2</v>
      </c>
      <c r="G265" s="22">
        <v>2414.5100000000002</v>
      </c>
      <c r="H265" s="22">
        <v>3023.44</v>
      </c>
      <c r="I265" s="22">
        <v>6046.88</v>
      </c>
      <c r="J265" s="23">
        <v>5.9711667992192591E-4</v>
      </c>
    </row>
    <row r="266" spans="1:10" ht="25.5" x14ac:dyDescent="0.25">
      <c r="A266" s="14" t="s">
        <v>789</v>
      </c>
      <c r="B266" s="15" t="s">
        <v>790</v>
      </c>
      <c r="C266" s="14" t="s">
        <v>74</v>
      </c>
      <c r="D266" s="14" t="s">
        <v>791</v>
      </c>
      <c r="E266" s="16" t="s">
        <v>86</v>
      </c>
      <c r="F266" s="17">
        <v>558</v>
      </c>
      <c r="G266" s="17">
        <v>2.78</v>
      </c>
      <c r="H266" s="17">
        <v>3.48</v>
      </c>
      <c r="I266" s="17">
        <v>1941.84</v>
      </c>
      <c r="J266" s="18">
        <v>1.9175261518991491E-4</v>
      </c>
    </row>
    <row r="267" spans="1:10" ht="25.5" x14ac:dyDescent="0.25">
      <c r="A267" s="19" t="s">
        <v>792</v>
      </c>
      <c r="B267" s="20" t="s">
        <v>793</v>
      </c>
      <c r="C267" s="19" t="s">
        <v>74</v>
      </c>
      <c r="D267" s="19" t="s">
        <v>794</v>
      </c>
      <c r="E267" s="21" t="s">
        <v>366</v>
      </c>
      <c r="F267" s="22">
        <v>10</v>
      </c>
      <c r="G267" s="22">
        <v>22.11</v>
      </c>
      <c r="H267" s="22">
        <v>27.68</v>
      </c>
      <c r="I267" s="22">
        <v>276.8</v>
      </c>
      <c r="J267" s="23">
        <v>2.733341772986881E-5</v>
      </c>
    </row>
    <row r="268" spans="1:10" x14ac:dyDescent="0.25">
      <c r="A268" s="19" t="s">
        <v>795</v>
      </c>
      <c r="B268" s="20" t="s">
        <v>663</v>
      </c>
      <c r="C268" s="19" t="s">
        <v>74</v>
      </c>
      <c r="D268" s="19" t="s">
        <v>664</v>
      </c>
      <c r="E268" s="21" t="s">
        <v>366</v>
      </c>
      <c r="F268" s="22">
        <v>39</v>
      </c>
      <c r="G268" s="22">
        <v>33.549999999999997</v>
      </c>
      <c r="H268" s="22">
        <v>42.01</v>
      </c>
      <c r="I268" s="22">
        <v>1638.39</v>
      </c>
      <c r="J268" s="23">
        <v>1.6178756602037485E-4</v>
      </c>
    </row>
    <row r="269" spans="1:10" ht="38.25" x14ac:dyDescent="0.25">
      <c r="A269" s="19" t="s">
        <v>796</v>
      </c>
      <c r="B269" s="20" t="s">
        <v>797</v>
      </c>
      <c r="C269" s="19" t="s">
        <v>74</v>
      </c>
      <c r="D269" s="19" t="s">
        <v>798</v>
      </c>
      <c r="E269" s="21" t="s">
        <v>86</v>
      </c>
      <c r="F269" s="22">
        <v>1980</v>
      </c>
      <c r="G269" s="22">
        <v>6.22</v>
      </c>
      <c r="H269" s="22">
        <v>7.78</v>
      </c>
      <c r="I269" s="22">
        <v>15404.4</v>
      </c>
      <c r="J269" s="23">
        <v>1.5211520956574822E-3</v>
      </c>
    </row>
    <row r="270" spans="1:10" ht="38.25" x14ac:dyDescent="0.25">
      <c r="A270" s="19" t="s">
        <v>799</v>
      </c>
      <c r="B270" s="20" t="s">
        <v>800</v>
      </c>
      <c r="C270" s="19" t="s">
        <v>74</v>
      </c>
      <c r="D270" s="19" t="s">
        <v>801</v>
      </c>
      <c r="E270" s="21" t="s">
        <v>366</v>
      </c>
      <c r="F270" s="22">
        <v>2</v>
      </c>
      <c r="G270" s="22">
        <v>86.02</v>
      </c>
      <c r="H270" s="22">
        <v>107.71</v>
      </c>
      <c r="I270" s="22">
        <v>215.42</v>
      </c>
      <c r="J270" s="23">
        <v>2.1272271847428969E-5</v>
      </c>
    </row>
    <row r="271" spans="1:10" ht="38.25" x14ac:dyDescent="0.25">
      <c r="A271" s="19" t="s">
        <v>802</v>
      </c>
      <c r="B271" s="20" t="s">
        <v>803</v>
      </c>
      <c r="C271" s="19" t="s">
        <v>74</v>
      </c>
      <c r="D271" s="19" t="s">
        <v>804</v>
      </c>
      <c r="E271" s="21" t="s">
        <v>366</v>
      </c>
      <c r="F271" s="22">
        <v>1</v>
      </c>
      <c r="G271" s="22">
        <v>158.72999999999999</v>
      </c>
      <c r="H271" s="22">
        <v>198.76</v>
      </c>
      <c r="I271" s="22">
        <v>198.76</v>
      </c>
      <c r="J271" s="23">
        <v>1.962713189302285E-5</v>
      </c>
    </row>
    <row r="272" spans="1:10" ht="25.5" x14ac:dyDescent="0.25">
      <c r="A272" s="19" t="s">
        <v>805</v>
      </c>
      <c r="B272" s="20" t="s">
        <v>806</v>
      </c>
      <c r="C272" s="19" t="s">
        <v>74</v>
      </c>
      <c r="D272" s="19" t="s">
        <v>807</v>
      </c>
      <c r="E272" s="21" t="s">
        <v>366</v>
      </c>
      <c r="F272" s="22">
        <v>49</v>
      </c>
      <c r="G272" s="22">
        <v>10.43</v>
      </c>
      <c r="H272" s="22">
        <v>13.06</v>
      </c>
      <c r="I272" s="22">
        <v>639.94000000000005</v>
      </c>
      <c r="J272" s="23">
        <v>6.3192728836893955E-5</v>
      </c>
    </row>
    <row r="273" spans="1:10" ht="25.5" x14ac:dyDescent="0.25">
      <c r="A273" s="14" t="s">
        <v>808</v>
      </c>
      <c r="B273" s="15" t="s">
        <v>809</v>
      </c>
      <c r="C273" s="14" t="s">
        <v>74</v>
      </c>
      <c r="D273" s="14" t="s">
        <v>810</v>
      </c>
      <c r="E273" s="16" t="s">
        <v>366</v>
      </c>
      <c r="F273" s="17">
        <v>98</v>
      </c>
      <c r="G273" s="17">
        <v>7.87</v>
      </c>
      <c r="H273" s="17">
        <v>9.85</v>
      </c>
      <c r="I273" s="17">
        <v>965.3</v>
      </c>
      <c r="J273" s="18">
        <v>9.532134441706055E-5</v>
      </c>
    </row>
    <row r="274" spans="1:10" x14ac:dyDescent="0.25">
      <c r="A274" s="19" t="s">
        <v>811</v>
      </c>
      <c r="B274" s="20" t="s">
        <v>812</v>
      </c>
      <c r="C274" s="19" t="s">
        <v>235</v>
      </c>
      <c r="D274" s="19" t="s">
        <v>813</v>
      </c>
      <c r="E274" s="21" t="s">
        <v>450</v>
      </c>
      <c r="F274" s="22">
        <v>2</v>
      </c>
      <c r="G274" s="22">
        <v>470.4</v>
      </c>
      <c r="H274" s="22">
        <v>589.03</v>
      </c>
      <c r="I274" s="22">
        <v>1178.06</v>
      </c>
      <c r="J274" s="23">
        <v>1.1633094686000451E-4</v>
      </c>
    </row>
    <row r="275" spans="1:10" x14ac:dyDescent="0.25">
      <c r="A275" s="19" t="s">
        <v>814</v>
      </c>
      <c r="B275" s="20" t="s">
        <v>815</v>
      </c>
      <c r="C275" s="19" t="s">
        <v>235</v>
      </c>
      <c r="D275" s="19" t="s">
        <v>816</v>
      </c>
      <c r="E275" s="21" t="s">
        <v>450</v>
      </c>
      <c r="F275" s="22">
        <v>2</v>
      </c>
      <c r="G275" s="22">
        <v>2430.9499999999998</v>
      </c>
      <c r="H275" s="22">
        <v>3044.03</v>
      </c>
      <c r="I275" s="22">
        <v>6088.06</v>
      </c>
      <c r="J275" s="23">
        <v>6.0118311829662253E-4</v>
      </c>
    </row>
    <row r="276" spans="1:10" ht="38.25" x14ac:dyDescent="0.25">
      <c r="A276" s="19" t="s">
        <v>817</v>
      </c>
      <c r="B276" s="20" t="s">
        <v>818</v>
      </c>
      <c r="C276" s="19" t="s">
        <v>74</v>
      </c>
      <c r="D276" s="19" t="s">
        <v>819</v>
      </c>
      <c r="E276" s="21" t="s">
        <v>86</v>
      </c>
      <c r="F276" s="22">
        <v>255</v>
      </c>
      <c r="G276" s="22">
        <v>11.84</v>
      </c>
      <c r="H276" s="22">
        <v>14.82</v>
      </c>
      <c r="I276" s="22">
        <v>3779.1</v>
      </c>
      <c r="J276" s="23">
        <v>3.7317817537191913E-4</v>
      </c>
    </row>
    <row r="277" spans="1:10" x14ac:dyDescent="0.25">
      <c r="A277" s="5" t="s">
        <v>53</v>
      </c>
      <c r="B277" s="5"/>
      <c r="C277" s="5"/>
      <c r="D277" s="5" t="s">
        <v>54</v>
      </c>
      <c r="E277" s="5"/>
      <c r="F277" s="6"/>
      <c r="G277" s="24"/>
      <c r="H277" s="24"/>
      <c r="I277" s="6">
        <v>92443.59</v>
      </c>
      <c r="J277" s="7">
        <v>9.1286100502844039E-3</v>
      </c>
    </row>
    <row r="278" spans="1:10" ht="51" x14ac:dyDescent="0.25">
      <c r="A278" s="19" t="s">
        <v>820</v>
      </c>
      <c r="B278" s="20" t="s">
        <v>821</v>
      </c>
      <c r="C278" s="19" t="s">
        <v>74</v>
      </c>
      <c r="D278" s="19" t="s">
        <v>822</v>
      </c>
      <c r="E278" s="21" t="s">
        <v>86</v>
      </c>
      <c r="F278" s="22">
        <v>210</v>
      </c>
      <c r="G278" s="22">
        <v>25.45</v>
      </c>
      <c r="H278" s="22">
        <v>31.86</v>
      </c>
      <c r="I278" s="22">
        <v>6690.6</v>
      </c>
      <c r="J278" s="23">
        <v>6.6068267580729858E-4</v>
      </c>
    </row>
    <row r="279" spans="1:10" ht="51" x14ac:dyDescent="0.25">
      <c r="A279" s="19" t="s">
        <v>823</v>
      </c>
      <c r="B279" s="20" t="s">
        <v>824</v>
      </c>
      <c r="C279" s="19" t="s">
        <v>74</v>
      </c>
      <c r="D279" s="19" t="s">
        <v>825</v>
      </c>
      <c r="E279" s="21" t="s">
        <v>86</v>
      </c>
      <c r="F279" s="22">
        <v>210</v>
      </c>
      <c r="G279" s="22">
        <v>55.74</v>
      </c>
      <c r="H279" s="22">
        <v>69.790000000000006</v>
      </c>
      <c r="I279" s="22">
        <v>14655.9</v>
      </c>
      <c r="J279" s="23">
        <v>1.4472392951849144E-3</v>
      </c>
    </row>
    <row r="280" spans="1:10" ht="51" x14ac:dyDescent="0.25">
      <c r="A280" s="19" t="s">
        <v>826</v>
      </c>
      <c r="B280" s="20" t="s">
        <v>827</v>
      </c>
      <c r="C280" s="19" t="s">
        <v>74</v>
      </c>
      <c r="D280" s="19" t="s">
        <v>828</v>
      </c>
      <c r="E280" s="21" t="s">
        <v>86</v>
      </c>
      <c r="F280" s="22">
        <v>389</v>
      </c>
      <c r="G280" s="22">
        <v>44.57</v>
      </c>
      <c r="H280" s="22">
        <v>55.81</v>
      </c>
      <c r="I280" s="22">
        <v>21710.09</v>
      </c>
      <c r="J280" s="23">
        <v>2.1438257186526285E-3</v>
      </c>
    </row>
    <row r="281" spans="1:10" ht="51" x14ac:dyDescent="0.25">
      <c r="A281" s="19" t="s">
        <v>829</v>
      </c>
      <c r="B281" s="20" t="s">
        <v>830</v>
      </c>
      <c r="C281" s="19" t="s">
        <v>74</v>
      </c>
      <c r="D281" s="19" t="s">
        <v>831</v>
      </c>
      <c r="E281" s="21" t="s">
        <v>86</v>
      </c>
      <c r="F281" s="22">
        <v>389</v>
      </c>
      <c r="G281" s="22">
        <v>67.650000000000006</v>
      </c>
      <c r="H281" s="22">
        <v>84.71</v>
      </c>
      <c r="I281" s="22">
        <v>32952.19</v>
      </c>
      <c r="J281" s="23">
        <v>3.2539594450289224E-3</v>
      </c>
    </row>
    <row r="282" spans="1:10" ht="63.75" x14ac:dyDescent="0.25">
      <c r="A282" s="19" t="s">
        <v>832</v>
      </c>
      <c r="B282" s="20" t="s">
        <v>525</v>
      </c>
      <c r="C282" s="19" t="s">
        <v>74</v>
      </c>
      <c r="D282" s="19" t="s">
        <v>526</v>
      </c>
      <c r="E282" s="21" t="s">
        <v>86</v>
      </c>
      <c r="F282" s="22">
        <v>285.3</v>
      </c>
      <c r="G282" s="22">
        <v>34.42</v>
      </c>
      <c r="H282" s="22">
        <v>43.1</v>
      </c>
      <c r="I282" s="22">
        <v>12296.43</v>
      </c>
      <c r="J282" s="23">
        <v>1.2142465960118885E-3</v>
      </c>
    </row>
    <row r="283" spans="1:10" x14ac:dyDescent="0.25">
      <c r="A283" s="14" t="s">
        <v>833</v>
      </c>
      <c r="B283" s="15" t="s">
        <v>834</v>
      </c>
      <c r="C283" s="14" t="s">
        <v>235</v>
      </c>
      <c r="D283" s="14" t="s">
        <v>835</v>
      </c>
      <c r="E283" s="16" t="s">
        <v>434</v>
      </c>
      <c r="F283" s="17">
        <v>554</v>
      </c>
      <c r="G283" s="17">
        <v>5.97</v>
      </c>
      <c r="H283" s="17">
        <v>7.47</v>
      </c>
      <c r="I283" s="17">
        <v>4138.38</v>
      </c>
      <c r="J283" s="18">
        <v>4.0865631959875173E-4</v>
      </c>
    </row>
    <row r="284" spans="1:10" x14ac:dyDescent="0.25">
      <c r="A284" s="5" t="s">
        <v>55</v>
      </c>
      <c r="B284" s="5"/>
      <c r="C284" s="5"/>
      <c r="D284" s="5" t="s">
        <v>56</v>
      </c>
      <c r="E284" s="5"/>
      <c r="F284" s="6"/>
      <c r="G284" s="24"/>
      <c r="H284" s="24"/>
      <c r="I284" s="6">
        <v>102980.2</v>
      </c>
      <c r="J284" s="7">
        <v>1.016907812321328E-2</v>
      </c>
    </row>
    <row r="285" spans="1:10" x14ac:dyDescent="0.25">
      <c r="A285" s="19" t="s">
        <v>836</v>
      </c>
      <c r="B285" s="20" t="s">
        <v>837</v>
      </c>
      <c r="C285" s="19" t="s">
        <v>235</v>
      </c>
      <c r="D285" s="19" t="s">
        <v>838</v>
      </c>
      <c r="E285" s="21" t="s">
        <v>450</v>
      </c>
      <c r="F285" s="22">
        <v>2</v>
      </c>
      <c r="G285" s="22">
        <v>256.91000000000003</v>
      </c>
      <c r="H285" s="22">
        <v>321.7</v>
      </c>
      <c r="I285" s="22">
        <v>643.4</v>
      </c>
      <c r="J285" s="23">
        <v>6.3534396558517312E-5</v>
      </c>
    </row>
    <row r="286" spans="1:10" ht="38.25" x14ac:dyDescent="0.25">
      <c r="A286" s="14" t="s">
        <v>839</v>
      </c>
      <c r="B286" s="15" t="s">
        <v>840</v>
      </c>
      <c r="C286" s="14" t="s">
        <v>74</v>
      </c>
      <c r="D286" s="14" t="s">
        <v>841</v>
      </c>
      <c r="E286" s="16" t="s">
        <v>366</v>
      </c>
      <c r="F286" s="17">
        <v>1</v>
      </c>
      <c r="G286" s="17">
        <v>51076.25</v>
      </c>
      <c r="H286" s="17">
        <v>63957.68</v>
      </c>
      <c r="I286" s="17">
        <v>63957.68</v>
      </c>
      <c r="J286" s="18">
        <v>6.3156863600913144E-3</v>
      </c>
    </row>
    <row r="287" spans="1:10" ht="25.5" x14ac:dyDescent="0.25">
      <c r="A287" s="19" t="s">
        <v>842</v>
      </c>
      <c r="B287" s="20" t="s">
        <v>843</v>
      </c>
      <c r="C287" s="19" t="s">
        <v>74</v>
      </c>
      <c r="D287" s="19" t="s">
        <v>844</v>
      </c>
      <c r="E287" s="21" t="s">
        <v>366</v>
      </c>
      <c r="F287" s="22">
        <v>3</v>
      </c>
      <c r="G287" s="22">
        <v>71.13</v>
      </c>
      <c r="H287" s="22">
        <v>89.06</v>
      </c>
      <c r="I287" s="22">
        <v>267.18</v>
      </c>
      <c r="J287" s="23">
        <v>2.6383462966280162E-5</v>
      </c>
    </row>
    <row r="288" spans="1:10" ht="25.5" x14ac:dyDescent="0.25">
      <c r="A288" s="19" t="s">
        <v>845</v>
      </c>
      <c r="B288" s="20" t="s">
        <v>846</v>
      </c>
      <c r="C288" s="19" t="s">
        <v>74</v>
      </c>
      <c r="D288" s="19" t="s">
        <v>847</v>
      </c>
      <c r="E288" s="21" t="s">
        <v>366</v>
      </c>
      <c r="F288" s="22">
        <v>3</v>
      </c>
      <c r="G288" s="22">
        <v>22.67</v>
      </c>
      <c r="H288" s="22">
        <v>28.38</v>
      </c>
      <c r="I288" s="22">
        <v>85.14</v>
      </c>
      <c r="J288" s="23">
        <v>8.4073959014488102E-6</v>
      </c>
    </row>
    <row r="289" spans="1:10" x14ac:dyDescent="0.25">
      <c r="A289" s="19" t="s">
        <v>848</v>
      </c>
      <c r="B289" s="20" t="s">
        <v>849</v>
      </c>
      <c r="C289" s="19" t="s">
        <v>235</v>
      </c>
      <c r="D289" s="19" t="s">
        <v>850</v>
      </c>
      <c r="E289" s="21" t="s">
        <v>450</v>
      </c>
      <c r="F289" s="22">
        <v>3</v>
      </c>
      <c r="G289" s="22">
        <v>14.79</v>
      </c>
      <c r="H289" s="22">
        <v>18.52</v>
      </c>
      <c r="I289" s="22">
        <v>55.56</v>
      </c>
      <c r="J289" s="23">
        <v>5.4864331252583496E-6</v>
      </c>
    </row>
    <row r="290" spans="1:10" x14ac:dyDescent="0.25">
      <c r="A290" s="19" t="s">
        <v>851</v>
      </c>
      <c r="B290" s="20" t="s">
        <v>852</v>
      </c>
      <c r="C290" s="19" t="s">
        <v>235</v>
      </c>
      <c r="D290" s="19" t="s">
        <v>853</v>
      </c>
      <c r="E290" s="21" t="s">
        <v>450</v>
      </c>
      <c r="F290" s="22">
        <v>6</v>
      </c>
      <c r="G290" s="22">
        <v>32.1</v>
      </c>
      <c r="H290" s="22">
        <v>40.19</v>
      </c>
      <c r="I290" s="22">
        <v>241.14</v>
      </c>
      <c r="J290" s="23">
        <v>2.3812067743426894E-5</v>
      </c>
    </row>
    <row r="291" spans="1:10" ht="25.5" x14ac:dyDescent="0.25">
      <c r="A291" s="14" t="s">
        <v>854</v>
      </c>
      <c r="B291" s="15" t="s">
        <v>761</v>
      </c>
      <c r="C291" s="14" t="s">
        <v>74</v>
      </c>
      <c r="D291" s="14" t="s">
        <v>762</v>
      </c>
      <c r="E291" s="16" t="s">
        <v>366</v>
      </c>
      <c r="F291" s="17">
        <v>3</v>
      </c>
      <c r="G291" s="17">
        <v>107.59</v>
      </c>
      <c r="H291" s="17">
        <v>134.72</v>
      </c>
      <c r="I291" s="17">
        <v>404.16</v>
      </c>
      <c r="J291" s="18">
        <v>3.9909949818293996E-5</v>
      </c>
    </row>
    <row r="292" spans="1:10" ht="25.5" x14ac:dyDescent="0.25">
      <c r="A292" s="19" t="s">
        <v>855</v>
      </c>
      <c r="B292" s="20" t="s">
        <v>783</v>
      </c>
      <c r="C292" s="19" t="s">
        <v>74</v>
      </c>
      <c r="D292" s="19" t="s">
        <v>784</v>
      </c>
      <c r="E292" s="21" t="s">
        <v>86</v>
      </c>
      <c r="F292" s="22">
        <v>30</v>
      </c>
      <c r="G292" s="22">
        <v>56.3</v>
      </c>
      <c r="H292" s="22">
        <v>70.489999999999995</v>
      </c>
      <c r="I292" s="22">
        <v>2114.6999999999998</v>
      </c>
      <c r="J292" s="23">
        <v>2.0882217656558371E-4</v>
      </c>
    </row>
    <row r="293" spans="1:10" x14ac:dyDescent="0.25">
      <c r="A293" s="14" t="s">
        <v>856</v>
      </c>
      <c r="B293" s="15" t="s">
        <v>857</v>
      </c>
      <c r="C293" s="14" t="s">
        <v>74</v>
      </c>
      <c r="D293" s="14" t="s">
        <v>858</v>
      </c>
      <c r="E293" s="16" t="s">
        <v>128</v>
      </c>
      <c r="F293" s="17">
        <v>75</v>
      </c>
      <c r="G293" s="17">
        <v>46.33</v>
      </c>
      <c r="H293" s="17">
        <v>58.01</v>
      </c>
      <c r="I293" s="17">
        <v>4350.75</v>
      </c>
      <c r="J293" s="18">
        <v>4.2962741036209074E-4</v>
      </c>
    </row>
    <row r="294" spans="1:10" ht="38.25" x14ac:dyDescent="0.25">
      <c r="A294" s="19" t="s">
        <v>859</v>
      </c>
      <c r="B294" s="20" t="s">
        <v>860</v>
      </c>
      <c r="C294" s="19" t="s">
        <v>74</v>
      </c>
      <c r="D294" s="19" t="s">
        <v>861</v>
      </c>
      <c r="E294" s="21" t="s">
        <v>86</v>
      </c>
      <c r="F294" s="22">
        <v>240</v>
      </c>
      <c r="G294" s="22">
        <v>69.44</v>
      </c>
      <c r="H294" s="22">
        <v>86.95</v>
      </c>
      <c r="I294" s="22">
        <v>20868</v>
      </c>
      <c r="J294" s="23">
        <v>2.0606711025538378E-3</v>
      </c>
    </row>
    <row r="295" spans="1:10" ht="38.25" x14ac:dyDescent="0.25">
      <c r="A295" s="19" t="s">
        <v>862</v>
      </c>
      <c r="B295" s="20" t="s">
        <v>863</v>
      </c>
      <c r="C295" s="19" t="s">
        <v>74</v>
      </c>
      <c r="D295" s="19" t="s">
        <v>864</v>
      </c>
      <c r="E295" s="21" t="s">
        <v>86</v>
      </c>
      <c r="F295" s="22">
        <v>120</v>
      </c>
      <c r="G295" s="22">
        <v>35.17</v>
      </c>
      <c r="H295" s="22">
        <v>44.03</v>
      </c>
      <c r="I295" s="22">
        <v>5283.6</v>
      </c>
      <c r="J295" s="23">
        <v>5.2174438554022701E-4</v>
      </c>
    </row>
    <row r="296" spans="1:10" ht="38.25" x14ac:dyDescent="0.25">
      <c r="A296" s="14" t="s">
        <v>865</v>
      </c>
      <c r="B296" s="15" t="s">
        <v>866</v>
      </c>
      <c r="C296" s="14" t="s">
        <v>74</v>
      </c>
      <c r="D296" s="14" t="s">
        <v>867</v>
      </c>
      <c r="E296" s="16" t="s">
        <v>366</v>
      </c>
      <c r="F296" s="17">
        <v>3</v>
      </c>
      <c r="G296" s="17">
        <v>36.08</v>
      </c>
      <c r="H296" s="17">
        <v>45.17</v>
      </c>
      <c r="I296" s="17">
        <v>135.51</v>
      </c>
      <c r="J296" s="18">
        <v>1.3381327444272119E-5</v>
      </c>
    </row>
    <row r="297" spans="1:10" x14ac:dyDescent="0.25">
      <c r="A297" s="14" t="s">
        <v>868</v>
      </c>
      <c r="B297" s="15" t="s">
        <v>869</v>
      </c>
      <c r="C297" s="14" t="s">
        <v>74</v>
      </c>
      <c r="D297" s="14" t="s">
        <v>870</v>
      </c>
      <c r="E297" s="16" t="s">
        <v>86</v>
      </c>
      <c r="F297" s="17">
        <v>28</v>
      </c>
      <c r="G297" s="17">
        <v>66.17</v>
      </c>
      <c r="H297" s="17">
        <v>82.85</v>
      </c>
      <c r="I297" s="17">
        <v>2319.8000000000002</v>
      </c>
      <c r="J297" s="18">
        <v>2.2907537012192798E-4</v>
      </c>
    </row>
    <row r="298" spans="1:10" ht="25.5" x14ac:dyDescent="0.25">
      <c r="A298" s="14" t="s">
        <v>871</v>
      </c>
      <c r="B298" s="15" t="s">
        <v>872</v>
      </c>
      <c r="C298" s="14" t="s">
        <v>74</v>
      </c>
      <c r="D298" s="14" t="s">
        <v>873</v>
      </c>
      <c r="E298" s="16" t="s">
        <v>366</v>
      </c>
      <c r="F298" s="17">
        <v>0.5</v>
      </c>
      <c r="G298" s="17">
        <v>77.33</v>
      </c>
      <c r="H298" s="17">
        <v>96.83</v>
      </c>
      <c r="I298" s="17">
        <v>48.41</v>
      </c>
      <c r="J298" s="18">
        <v>4.7803856658343537E-6</v>
      </c>
    </row>
    <row r="299" spans="1:10" ht="25.5" x14ac:dyDescent="0.25">
      <c r="A299" s="19" t="s">
        <v>874</v>
      </c>
      <c r="B299" s="20" t="s">
        <v>729</v>
      </c>
      <c r="C299" s="19" t="s">
        <v>74</v>
      </c>
      <c r="D299" s="19" t="s">
        <v>730</v>
      </c>
      <c r="E299" s="21" t="s">
        <v>366</v>
      </c>
      <c r="F299" s="22">
        <v>3</v>
      </c>
      <c r="G299" s="22">
        <v>48.49</v>
      </c>
      <c r="H299" s="22">
        <v>60.71</v>
      </c>
      <c r="I299" s="22">
        <v>182.13</v>
      </c>
      <c r="J299" s="23">
        <v>1.7984954375509417E-5</v>
      </c>
    </row>
    <row r="300" spans="1:10" x14ac:dyDescent="0.25">
      <c r="A300" s="14" t="s">
        <v>875</v>
      </c>
      <c r="B300" s="15" t="s">
        <v>876</v>
      </c>
      <c r="C300" s="14" t="s">
        <v>74</v>
      </c>
      <c r="D300" s="14" t="s">
        <v>877</v>
      </c>
      <c r="E300" s="16" t="s">
        <v>366</v>
      </c>
      <c r="F300" s="17">
        <v>3</v>
      </c>
      <c r="G300" s="17">
        <v>12.74</v>
      </c>
      <c r="H300" s="17">
        <v>15.95</v>
      </c>
      <c r="I300" s="17">
        <v>47.85</v>
      </c>
      <c r="J300" s="18">
        <v>4.7250868438375094E-6</v>
      </c>
    </row>
    <row r="301" spans="1:10" ht="25.5" x14ac:dyDescent="0.25">
      <c r="A301" s="19" t="s">
        <v>878</v>
      </c>
      <c r="B301" s="20" t="s">
        <v>736</v>
      </c>
      <c r="C301" s="19" t="s">
        <v>74</v>
      </c>
      <c r="D301" s="19" t="s">
        <v>737</v>
      </c>
      <c r="E301" s="21" t="s">
        <v>366</v>
      </c>
      <c r="F301" s="22">
        <v>3</v>
      </c>
      <c r="G301" s="22">
        <v>42.64</v>
      </c>
      <c r="H301" s="22">
        <v>53.39</v>
      </c>
      <c r="I301" s="22">
        <v>160.16999999999999</v>
      </c>
      <c r="J301" s="23">
        <v>1.5816450570061732E-5</v>
      </c>
    </row>
    <row r="302" spans="1:10" ht="25.5" x14ac:dyDescent="0.25">
      <c r="A302" s="19" t="s">
        <v>879</v>
      </c>
      <c r="B302" s="20" t="s">
        <v>880</v>
      </c>
      <c r="C302" s="19" t="s">
        <v>235</v>
      </c>
      <c r="D302" s="19" t="s">
        <v>881</v>
      </c>
      <c r="E302" s="21" t="s">
        <v>882</v>
      </c>
      <c r="F302" s="22">
        <v>1</v>
      </c>
      <c r="G302" s="22">
        <v>585.1</v>
      </c>
      <c r="H302" s="22">
        <v>732.66</v>
      </c>
      <c r="I302" s="22">
        <v>732.66</v>
      </c>
      <c r="J302" s="23">
        <v>7.2348633793228626E-5</v>
      </c>
    </row>
    <row r="303" spans="1:10" ht="25.5" x14ac:dyDescent="0.25">
      <c r="A303" s="19" t="s">
        <v>883</v>
      </c>
      <c r="B303" s="20" t="s">
        <v>884</v>
      </c>
      <c r="C303" s="19" t="s">
        <v>74</v>
      </c>
      <c r="D303" s="19" t="s">
        <v>885</v>
      </c>
      <c r="E303" s="21" t="s">
        <v>366</v>
      </c>
      <c r="F303" s="22">
        <v>1</v>
      </c>
      <c r="G303" s="22">
        <v>864.37</v>
      </c>
      <c r="H303" s="22">
        <v>1082.3599999999999</v>
      </c>
      <c r="I303" s="22">
        <v>1082.3599999999999</v>
      </c>
      <c r="J303" s="23">
        <v>1.068807731723295E-4</v>
      </c>
    </row>
    <row r="304" spans="1:10" x14ac:dyDescent="0.25">
      <c r="A304" s="5" t="s">
        <v>57</v>
      </c>
      <c r="B304" s="5"/>
      <c r="C304" s="5"/>
      <c r="D304" s="5" t="s">
        <v>58</v>
      </c>
      <c r="E304" s="5"/>
      <c r="F304" s="6"/>
      <c r="G304" s="24"/>
      <c r="H304" s="24"/>
      <c r="I304" s="6">
        <v>101704.07</v>
      </c>
      <c r="J304" s="7">
        <v>1.0043062970151078E-2</v>
      </c>
    </row>
    <row r="305" spans="1:10" ht="51" x14ac:dyDescent="0.25">
      <c r="A305" s="14" t="s">
        <v>886</v>
      </c>
      <c r="B305" s="15" t="s">
        <v>887</v>
      </c>
      <c r="C305" s="14" t="s">
        <v>74</v>
      </c>
      <c r="D305" s="14" t="s">
        <v>888</v>
      </c>
      <c r="E305" s="16" t="s">
        <v>366</v>
      </c>
      <c r="F305" s="17">
        <v>155</v>
      </c>
      <c r="G305" s="17">
        <v>18.309999999999999</v>
      </c>
      <c r="H305" s="17">
        <v>22.92</v>
      </c>
      <c r="I305" s="17">
        <v>3552.6</v>
      </c>
      <c r="J305" s="18">
        <v>3.5081177683212404E-4</v>
      </c>
    </row>
    <row r="306" spans="1:10" ht="25.5" x14ac:dyDescent="0.25">
      <c r="A306" s="19" t="s">
        <v>889</v>
      </c>
      <c r="B306" s="20" t="s">
        <v>890</v>
      </c>
      <c r="C306" s="19" t="s">
        <v>235</v>
      </c>
      <c r="D306" s="19" t="s">
        <v>891</v>
      </c>
      <c r="E306" s="21" t="s">
        <v>450</v>
      </c>
      <c r="F306" s="22">
        <v>35</v>
      </c>
      <c r="G306" s="22">
        <v>139.68</v>
      </c>
      <c r="H306" s="22">
        <v>174.9</v>
      </c>
      <c r="I306" s="22">
        <v>6121.5</v>
      </c>
      <c r="J306" s="23">
        <v>6.0448524795300544E-4</v>
      </c>
    </row>
    <row r="307" spans="1:10" ht="25.5" x14ac:dyDescent="0.25">
      <c r="A307" s="19" t="s">
        <v>892</v>
      </c>
      <c r="B307" s="20" t="s">
        <v>893</v>
      </c>
      <c r="C307" s="19" t="s">
        <v>74</v>
      </c>
      <c r="D307" s="19" t="s">
        <v>894</v>
      </c>
      <c r="E307" s="21" t="s">
        <v>366</v>
      </c>
      <c r="F307" s="22">
        <v>28</v>
      </c>
      <c r="G307" s="22">
        <v>22.12</v>
      </c>
      <c r="H307" s="22">
        <v>27.69</v>
      </c>
      <c r="I307" s="22">
        <v>775.32</v>
      </c>
      <c r="J307" s="23">
        <v>7.6561219054631084E-5</v>
      </c>
    </row>
    <row r="308" spans="1:10" ht="25.5" x14ac:dyDescent="0.25">
      <c r="A308" s="19" t="s">
        <v>895</v>
      </c>
      <c r="B308" s="20" t="s">
        <v>896</v>
      </c>
      <c r="C308" s="19" t="s">
        <v>74</v>
      </c>
      <c r="D308" s="19" t="s">
        <v>897</v>
      </c>
      <c r="E308" s="21" t="s">
        <v>366</v>
      </c>
      <c r="F308" s="22">
        <v>16</v>
      </c>
      <c r="G308" s="22">
        <v>844.17</v>
      </c>
      <c r="H308" s="22">
        <v>1057.06</v>
      </c>
      <c r="I308" s="22">
        <v>16912.96</v>
      </c>
      <c r="J308" s="23">
        <v>1.6701192222852673E-3</v>
      </c>
    </row>
    <row r="309" spans="1:10" ht="38.25" x14ac:dyDescent="0.25">
      <c r="A309" s="19" t="s">
        <v>898</v>
      </c>
      <c r="B309" s="20" t="s">
        <v>899</v>
      </c>
      <c r="C309" s="19" t="s">
        <v>74</v>
      </c>
      <c r="D309" s="19" t="s">
        <v>900</v>
      </c>
      <c r="E309" s="21" t="s">
        <v>366</v>
      </c>
      <c r="F309" s="22">
        <v>10</v>
      </c>
      <c r="G309" s="22">
        <v>257.86</v>
      </c>
      <c r="H309" s="22">
        <v>322.89</v>
      </c>
      <c r="I309" s="22">
        <v>3228.9</v>
      </c>
      <c r="J309" s="23">
        <v>3.1884708276001952E-4</v>
      </c>
    </row>
    <row r="310" spans="1:10" ht="25.5" x14ac:dyDescent="0.25">
      <c r="A310" s="19" t="s">
        <v>901</v>
      </c>
      <c r="B310" s="20" t="s">
        <v>902</v>
      </c>
      <c r="C310" s="19" t="s">
        <v>235</v>
      </c>
      <c r="D310" s="19" t="s">
        <v>903</v>
      </c>
      <c r="E310" s="21" t="s">
        <v>904</v>
      </c>
      <c r="F310" s="22">
        <v>1</v>
      </c>
      <c r="G310" s="22">
        <v>8849.94</v>
      </c>
      <c r="H310" s="22">
        <v>11081.89</v>
      </c>
      <c r="I310" s="22">
        <v>11081.89</v>
      </c>
      <c r="J310" s="23">
        <v>1.0943133258903752E-3</v>
      </c>
    </row>
    <row r="311" spans="1:10" ht="51" x14ac:dyDescent="0.25">
      <c r="A311" s="19" t="s">
        <v>905</v>
      </c>
      <c r="B311" s="20" t="s">
        <v>906</v>
      </c>
      <c r="C311" s="19" t="s">
        <v>74</v>
      </c>
      <c r="D311" s="19" t="s">
        <v>907</v>
      </c>
      <c r="E311" s="21" t="s">
        <v>366</v>
      </c>
      <c r="F311" s="22">
        <v>7</v>
      </c>
      <c r="G311" s="22">
        <v>1508.51</v>
      </c>
      <c r="H311" s="22">
        <v>1888.95</v>
      </c>
      <c r="I311" s="22">
        <v>13222.65</v>
      </c>
      <c r="J311" s="23">
        <v>1.3057088726367407E-3</v>
      </c>
    </row>
    <row r="312" spans="1:10" ht="38.25" x14ac:dyDescent="0.25">
      <c r="A312" s="19" t="s">
        <v>908</v>
      </c>
      <c r="B312" s="20" t="s">
        <v>909</v>
      </c>
      <c r="C312" s="19" t="s">
        <v>74</v>
      </c>
      <c r="D312" s="19" t="s">
        <v>910</v>
      </c>
      <c r="E312" s="21" t="s">
        <v>86</v>
      </c>
      <c r="F312" s="22">
        <v>189.33</v>
      </c>
      <c r="G312" s="22">
        <v>146.84</v>
      </c>
      <c r="H312" s="22">
        <v>183.87</v>
      </c>
      <c r="I312" s="22">
        <v>34812.1</v>
      </c>
      <c r="J312" s="23">
        <v>3.4376216450649061E-3</v>
      </c>
    </row>
    <row r="313" spans="1:10" ht="25.5" x14ac:dyDescent="0.25">
      <c r="A313" s="19" t="s">
        <v>911</v>
      </c>
      <c r="B313" s="20" t="s">
        <v>912</v>
      </c>
      <c r="C313" s="19" t="s">
        <v>74</v>
      </c>
      <c r="D313" s="19" t="s">
        <v>913</v>
      </c>
      <c r="E313" s="21" t="s">
        <v>366</v>
      </c>
      <c r="F313" s="22">
        <v>5</v>
      </c>
      <c r="G313" s="22">
        <v>332.69</v>
      </c>
      <c r="H313" s="22">
        <v>416.59</v>
      </c>
      <c r="I313" s="22">
        <v>2082.9499999999998</v>
      </c>
      <c r="J313" s="23">
        <v>2.0568693085415548E-4</v>
      </c>
    </row>
    <row r="314" spans="1:10" ht="38.25" x14ac:dyDescent="0.25">
      <c r="A314" s="19" t="s">
        <v>914</v>
      </c>
      <c r="B314" s="20" t="s">
        <v>915</v>
      </c>
      <c r="C314" s="19" t="s">
        <v>74</v>
      </c>
      <c r="D314" s="19" t="s">
        <v>916</v>
      </c>
      <c r="E314" s="21" t="s">
        <v>366</v>
      </c>
      <c r="F314" s="22">
        <v>6</v>
      </c>
      <c r="G314" s="22">
        <v>215.9</v>
      </c>
      <c r="H314" s="22">
        <v>270.33999999999997</v>
      </c>
      <c r="I314" s="22">
        <v>1622.04</v>
      </c>
      <c r="J314" s="23">
        <v>1.6017303791385985E-4</v>
      </c>
    </row>
    <row r="315" spans="1:10" ht="38.25" x14ac:dyDescent="0.25">
      <c r="A315" s="19" t="s">
        <v>917</v>
      </c>
      <c r="B315" s="20" t="s">
        <v>918</v>
      </c>
      <c r="C315" s="19" t="s">
        <v>74</v>
      </c>
      <c r="D315" s="19" t="s">
        <v>919</v>
      </c>
      <c r="E315" s="21" t="s">
        <v>366</v>
      </c>
      <c r="F315" s="22">
        <v>5</v>
      </c>
      <c r="G315" s="22">
        <v>196.28</v>
      </c>
      <c r="H315" s="22">
        <v>245.78</v>
      </c>
      <c r="I315" s="22">
        <v>1228.9000000000001</v>
      </c>
      <c r="J315" s="23">
        <v>1.213512899141466E-4</v>
      </c>
    </row>
    <row r="316" spans="1:10" ht="25.5" x14ac:dyDescent="0.25">
      <c r="A316" s="19" t="s">
        <v>920</v>
      </c>
      <c r="B316" s="20" t="s">
        <v>921</v>
      </c>
      <c r="C316" s="19" t="s">
        <v>74</v>
      </c>
      <c r="D316" s="19" t="s">
        <v>922</v>
      </c>
      <c r="E316" s="21" t="s">
        <v>366</v>
      </c>
      <c r="F316" s="22">
        <v>4</v>
      </c>
      <c r="G316" s="22">
        <v>480.73</v>
      </c>
      <c r="H316" s="22">
        <v>601.97</v>
      </c>
      <c r="I316" s="22">
        <v>2407.88</v>
      </c>
      <c r="J316" s="23">
        <v>2.3777308483886021E-4</v>
      </c>
    </row>
    <row r="317" spans="1:10" ht="25.5" x14ac:dyDescent="0.25">
      <c r="A317" s="19" t="s">
        <v>923</v>
      </c>
      <c r="B317" s="20" t="s">
        <v>924</v>
      </c>
      <c r="C317" s="19" t="s">
        <v>74</v>
      </c>
      <c r="D317" s="19" t="s">
        <v>925</v>
      </c>
      <c r="E317" s="21" t="s">
        <v>366</v>
      </c>
      <c r="F317" s="22">
        <v>1</v>
      </c>
      <c r="G317" s="22">
        <v>125.97</v>
      </c>
      <c r="H317" s="22">
        <v>157.72999999999999</v>
      </c>
      <c r="I317" s="22">
        <v>157.72999999999999</v>
      </c>
      <c r="J317" s="23">
        <v>1.5575505702789766E-5</v>
      </c>
    </row>
    <row r="318" spans="1:10" ht="25.5" x14ac:dyDescent="0.25">
      <c r="A318" s="19" t="s">
        <v>926</v>
      </c>
      <c r="B318" s="20" t="s">
        <v>924</v>
      </c>
      <c r="C318" s="19" t="s">
        <v>74</v>
      </c>
      <c r="D318" s="19" t="s">
        <v>925</v>
      </c>
      <c r="E318" s="21" t="s">
        <v>366</v>
      </c>
      <c r="F318" s="22">
        <v>1</v>
      </c>
      <c r="G318" s="22">
        <v>125.97</v>
      </c>
      <c r="H318" s="22">
        <v>157.72999999999999</v>
      </c>
      <c r="I318" s="22">
        <v>157.72999999999999</v>
      </c>
      <c r="J318" s="23">
        <v>1.5575505702789766E-5</v>
      </c>
    </row>
    <row r="319" spans="1:10" ht="25.5" x14ac:dyDescent="0.25">
      <c r="A319" s="19" t="s">
        <v>927</v>
      </c>
      <c r="B319" s="20" t="s">
        <v>928</v>
      </c>
      <c r="C319" s="19" t="s">
        <v>74</v>
      </c>
      <c r="D319" s="19" t="s">
        <v>929</v>
      </c>
      <c r="E319" s="21" t="s">
        <v>366</v>
      </c>
      <c r="F319" s="22">
        <v>1</v>
      </c>
      <c r="G319" s="22">
        <v>336.29</v>
      </c>
      <c r="H319" s="22">
        <v>421.1</v>
      </c>
      <c r="I319" s="22">
        <v>421.1</v>
      </c>
      <c r="J319" s="23">
        <v>4.158273918369854E-5</v>
      </c>
    </row>
    <row r="320" spans="1:10" ht="38.25" x14ac:dyDescent="0.25">
      <c r="A320" s="19" t="s">
        <v>930</v>
      </c>
      <c r="B320" s="20" t="s">
        <v>931</v>
      </c>
      <c r="C320" s="19" t="s">
        <v>74</v>
      </c>
      <c r="D320" s="19" t="s">
        <v>932</v>
      </c>
      <c r="E320" s="21" t="s">
        <v>366</v>
      </c>
      <c r="F320" s="22">
        <v>1</v>
      </c>
      <c r="G320" s="22">
        <v>521.51</v>
      </c>
      <c r="H320" s="22">
        <v>653.03</v>
      </c>
      <c r="I320" s="22">
        <v>653.03</v>
      </c>
      <c r="J320" s="23">
        <v>6.4485338801070197E-5</v>
      </c>
    </row>
    <row r="321" spans="1:10" x14ac:dyDescent="0.25">
      <c r="A321" s="19" t="s">
        <v>933</v>
      </c>
      <c r="B321" s="20" t="s">
        <v>934</v>
      </c>
      <c r="C321" s="19" t="s">
        <v>235</v>
      </c>
      <c r="D321" s="19" t="s">
        <v>935</v>
      </c>
      <c r="E321" s="21" t="s">
        <v>450</v>
      </c>
      <c r="F321" s="22">
        <v>7</v>
      </c>
      <c r="G321" s="22">
        <v>138.56</v>
      </c>
      <c r="H321" s="22">
        <v>173.5</v>
      </c>
      <c r="I321" s="22">
        <v>1214.5</v>
      </c>
      <c r="J321" s="23">
        <v>1.1992932020565633E-4</v>
      </c>
    </row>
    <row r="322" spans="1:10" ht="25.5" x14ac:dyDescent="0.25">
      <c r="A322" s="19" t="s">
        <v>936</v>
      </c>
      <c r="B322" s="20" t="s">
        <v>937</v>
      </c>
      <c r="C322" s="19" t="s">
        <v>235</v>
      </c>
      <c r="D322" s="19" t="s">
        <v>938</v>
      </c>
      <c r="E322" s="21" t="s">
        <v>450</v>
      </c>
      <c r="F322" s="22">
        <v>1</v>
      </c>
      <c r="G322" s="22">
        <v>374.31</v>
      </c>
      <c r="H322" s="22">
        <v>468.71</v>
      </c>
      <c r="I322" s="22">
        <v>468.71</v>
      </c>
      <c r="J322" s="23">
        <v>4.6284126532394547E-5</v>
      </c>
    </row>
    <row r="323" spans="1:10" x14ac:dyDescent="0.25">
      <c r="A323" s="19" t="s">
        <v>939</v>
      </c>
      <c r="B323" s="20" t="s">
        <v>940</v>
      </c>
      <c r="C323" s="19" t="s">
        <v>235</v>
      </c>
      <c r="D323" s="19" t="s">
        <v>941</v>
      </c>
      <c r="E323" s="21" t="s">
        <v>450</v>
      </c>
      <c r="F323" s="22">
        <v>7</v>
      </c>
      <c r="G323" s="22">
        <v>180.44</v>
      </c>
      <c r="H323" s="22">
        <v>225.94</v>
      </c>
      <c r="I323" s="22">
        <v>1581.58</v>
      </c>
      <c r="J323" s="23">
        <v>1.5617769802458783E-4</v>
      </c>
    </row>
    <row r="324" spans="1:10" x14ac:dyDescent="0.25">
      <c r="A324" s="5" t="s">
        <v>59</v>
      </c>
      <c r="B324" s="5"/>
      <c r="C324" s="5"/>
      <c r="D324" s="5" t="s">
        <v>60</v>
      </c>
      <c r="E324" s="5"/>
      <c r="F324" s="6"/>
      <c r="G324" s="24"/>
      <c r="H324" s="24"/>
      <c r="I324" s="6">
        <v>300306.58</v>
      </c>
      <c r="J324" s="7">
        <v>2.965464305696628E-2</v>
      </c>
    </row>
    <row r="325" spans="1:10" ht="51" x14ac:dyDescent="0.25">
      <c r="A325" s="19" t="s">
        <v>942</v>
      </c>
      <c r="B325" s="20" t="s">
        <v>943</v>
      </c>
      <c r="C325" s="19" t="s">
        <v>375</v>
      </c>
      <c r="D325" s="19" t="s">
        <v>944</v>
      </c>
      <c r="E325" s="21" t="s">
        <v>377</v>
      </c>
      <c r="F325" s="22">
        <v>1</v>
      </c>
      <c r="G325" s="22">
        <v>104030.62</v>
      </c>
      <c r="H325" s="22">
        <v>130267.14</v>
      </c>
      <c r="I325" s="22">
        <v>130267.14</v>
      </c>
      <c r="J325" s="23">
        <v>1.2863606048032161E-2</v>
      </c>
    </row>
    <row r="326" spans="1:10" x14ac:dyDescent="0.25">
      <c r="A326" s="19" t="s">
        <v>945</v>
      </c>
      <c r="B326" s="20" t="s">
        <v>946</v>
      </c>
      <c r="C326" s="19" t="s">
        <v>235</v>
      </c>
      <c r="D326" s="19" t="s">
        <v>947</v>
      </c>
      <c r="E326" s="21" t="s">
        <v>450</v>
      </c>
      <c r="F326" s="22">
        <v>10</v>
      </c>
      <c r="G326" s="22">
        <v>708.64</v>
      </c>
      <c r="H326" s="22">
        <v>887.35</v>
      </c>
      <c r="I326" s="22">
        <v>8873.5</v>
      </c>
      <c r="J326" s="23">
        <v>8.762394589089266E-4</v>
      </c>
    </row>
    <row r="327" spans="1:10" ht="25.5" x14ac:dyDescent="0.25">
      <c r="A327" s="19" t="s">
        <v>948</v>
      </c>
      <c r="B327" s="20" t="s">
        <v>949</v>
      </c>
      <c r="C327" s="19" t="s">
        <v>74</v>
      </c>
      <c r="D327" s="19" t="s">
        <v>950</v>
      </c>
      <c r="E327" s="21" t="s">
        <v>366</v>
      </c>
      <c r="F327" s="22">
        <v>6</v>
      </c>
      <c r="G327" s="22">
        <v>217.11</v>
      </c>
      <c r="H327" s="22">
        <v>271.86</v>
      </c>
      <c r="I327" s="22">
        <v>1631.16</v>
      </c>
      <c r="J327" s="23">
        <v>1.6107361872923703E-4</v>
      </c>
    </row>
    <row r="328" spans="1:10" ht="25.5" x14ac:dyDescent="0.25">
      <c r="A328" s="19" t="s">
        <v>951</v>
      </c>
      <c r="B328" s="20" t="s">
        <v>952</v>
      </c>
      <c r="C328" s="19" t="s">
        <v>74</v>
      </c>
      <c r="D328" s="19" t="s">
        <v>953</v>
      </c>
      <c r="E328" s="21" t="s">
        <v>366</v>
      </c>
      <c r="F328" s="22">
        <v>6</v>
      </c>
      <c r="G328" s="22">
        <v>389.33</v>
      </c>
      <c r="H328" s="22">
        <v>487.51</v>
      </c>
      <c r="I328" s="22">
        <v>2925.06</v>
      </c>
      <c r="J328" s="23">
        <v>2.8884352191087449E-4</v>
      </c>
    </row>
    <row r="329" spans="1:10" x14ac:dyDescent="0.25">
      <c r="A329" s="19" t="s">
        <v>954</v>
      </c>
      <c r="B329" s="20" t="s">
        <v>955</v>
      </c>
      <c r="C329" s="19" t="s">
        <v>74</v>
      </c>
      <c r="D329" s="19" t="s">
        <v>956</v>
      </c>
      <c r="E329" s="21" t="s">
        <v>366</v>
      </c>
      <c r="F329" s="22">
        <v>20</v>
      </c>
      <c r="G329" s="22">
        <v>82.49</v>
      </c>
      <c r="H329" s="22">
        <v>103.29</v>
      </c>
      <c r="I329" s="22">
        <v>2065.8000000000002</v>
      </c>
      <c r="J329" s="23">
        <v>2.0399340443050213E-4</v>
      </c>
    </row>
    <row r="330" spans="1:10" ht="25.5" x14ac:dyDescent="0.25">
      <c r="A330" s="19" t="s">
        <v>957</v>
      </c>
      <c r="B330" s="20" t="s">
        <v>958</v>
      </c>
      <c r="C330" s="19" t="s">
        <v>74</v>
      </c>
      <c r="D330" s="19" t="s">
        <v>959</v>
      </c>
      <c r="E330" s="21" t="s">
        <v>76</v>
      </c>
      <c r="F330" s="22">
        <v>107.57</v>
      </c>
      <c r="G330" s="22">
        <v>17.18</v>
      </c>
      <c r="H330" s="22">
        <v>21.51</v>
      </c>
      <c r="I330" s="22">
        <v>2313.83</v>
      </c>
      <c r="J330" s="23">
        <v>2.2848584518028305E-4</v>
      </c>
    </row>
    <row r="331" spans="1:10" x14ac:dyDescent="0.25">
      <c r="A331" s="19" t="s">
        <v>960</v>
      </c>
      <c r="B331" s="20" t="s">
        <v>961</v>
      </c>
      <c r="C331" s="19" t="s">
        <v>74</v>
      </c>
      <c r="D331" s="19" t="s">
        <v>962</v>
      </c>
      <c r="E331" s="21" t="s">
        <v>76</v>
      </c>
      <c r="F331" s="22">
        <v>11.84</v>
      </c>
      <c r="G331" s="22">
        <v>116.96</v>
      </c>
      <c r="H331" s="22">
        <v>146.44999999999999</v>
      </c>
      <c r="I331" s="22">
        <v>1733.96</v>
      </c>
      <c r="J331" s="23">
        <v>1.7122490248151488E-4</v>
      </c>
    </row>
    <row r="332" spans="1:10" ht="38.25" x14ac:dyDescent="0.25">
      <c r="A332" s="19" t="s">
        <v>963</v>
      </c>
      <c r="B332" s="20" t="s">
        <v>964</v>
      </c>
      <c r="C332" s="19" t="s">
        <v>235</v>
      </c>
      <c r="D332" s="19" t="s">
        <v>965</v>
      </c>
      <c r="E332" s="21" t="s">
        <v>434</v>
      </c>
      <c r="F332" s="22">
        <v>53.3</v>
      </c>
      <c r="G332" s="22">
        <v>665.98</v>
      </c>
      <c r="H332" s="22">
        <v>833.94</v>
      </c>
      <c r="I332" s="22">
        <v>44449</v>
      </c>
      <c r="J332" s="23">
        <v>4.3892452481031023E-3</v>
      </c>
    </row>
    <row r="333" spans="1:10" ht="25.5" x14ac:dyDescent="0.25">
      <c r="A333" s="19" t="s">
        <v>966</v>
      </c>
      <c r="B333" s="20" t="s">
        <v>967</v>
      </c>
      <c r="C333" s="19" t="s">
        <v>74</v>
      </c>
      <c r="D333" s="19" t="s">
        <v>968</v>
      </c>
      <c r="E333" s="21" t="s">
        <v>86</v>
      </c>
      <c r="F333" s="22">
        <v>26.81</v>
      </c>
      <c r="G333" s="22">
        <v>1222.1500000000001</v>
      </c>
      <c r="H333" s="22">
        <v>1530.37</v>
      </c>
      <c r="I333" s="22">
        <v>41029.21</v>
      </c>
      <c r="J333" s="23">
        <v>4.0515481793949081E-3</v>
      </c>
    </row>
    <row r="334" spans="1:10" x14ac:dyDescent="0.25">
      <c r="A334" s="19" t="s">
        <v>969</v>
      </c>
      <c r="B334" s="20" t="s">
        <v>970</v>
      </c>
      <c r="C334" s="19" t="s">
        <v>235</v>
      </c>
      <c r="D334" s="19" t="s">
        <v>971</v>
      </c>
      <c r="E334" s="21" t="s">
        <v>76</v>
      </c>
      <c r="F334" s="22">
        <v>3700</v>
      </c>
      <c r="G334" s="22">
        <v>2.0099999999999998</v>
      </c>
      <c r="H334" s="22">
        <v>2.5099999999999998</v>
      </c>
      <c r="I334" s="22">
        <v>9287</v>
      </c>
      <c r="J334" s="23">
        <v>9.1707171407981079E-4</v>
      </c>
    </row>
    <row r="335" spans="1:10" x14ac:dyDescent="0.25">
      <c r="A335" s="19" t="s">
        <v>972</v>
      </c>
      <c r="B335" s="20" t="s">
        <v>973</v>
      </c>
      <c r="C335" s="19" t="s">
        <v>235</v>
      </c>
      <c r="D335" s="19" t="s">
        <v>974</v>
      </c>
      <c r="E335" s="21" t="s">
        <v>434</v>
      </c>
      <c r="F335" s="22">
        <v>38</v>
      </c>
      <c r="G335" s="22">
        <v>347.65</v>
      </c>
      <c r="H335" s="22">
        <v>435.32</v>
      </c>
      <c r="I335" s="22">
        <v>16542.16</v>
      </c>
      <c r="J335" s="23">
        <v>1.6335035022916424E-3</v>
      </c>
    </row>
    <row r="336" spans="1:10" ht="63.75" x14ac:dyDescent="0.25">
      <c r="A336" s="19" t="s">
        <v>975</v>
      </c>
      <c r="B336" s="20" t="s">
        <v>976</v>
      </c>
      <c r="C336" s="19" t="s">
        <v>375</v>
      </c>
      <c r="D336" s="19" t="s">
        <v>977</v>
      </c>
      <c r="E336" s="21" t="s">
        <v>76</v>
      </c>
      <c r="F336" s="22">
        <v>54.2</v>
      </c>
      <c r="G336" s="22">
        <v>577.41999999999996</v>
      </c>
      <c r="H336" s="22">
        <v>723.04</v>
      </c>
      <c r="I336" s="22">
        <v>39188.76</v>
      </c>
      <c r="J336" s="23">
        <v>3.869807613423315E-3</v>
      </c>
    </row>
    <row r="337" spans="1:10" x14ac:dyDescent="0.25">
      <c r="A337" s="8"/>
      <c r="B337" s="8"/>
      <c r="C337" s="8"/>
      <c r="D337" s="8"/>
      <c r="E337" s="8"/>
      <c r="F337" s="8"/>
      <c r="G337" s="8"/>
      <c r="H337" s="8"/>
      <c r="I337" s="8"/>
      <c r="J337" s="8"/>
    </row>
    <row r="338" spans="1:10" x14ac:dyDescent="0.25">
      <c r="A338" s="172"/>
      <c r="B338" s="172"/>
      <c r="C338" s="172"/>
      <c r="D338" s="10"/>
      <c r="E338" s="9"/>
      <c r="F338" s="171" t="s">
        <v>61</v>
      </c>
      <c r="G338" s="172"/>
      <c r="H338" s="173">
        <v>8087912.0800000001</v>
      </c>
      <c r="I338" s="172"/>
      <c r="J338" s="172"/>
    </row>
    <row r="339" spans="1:10" x14ac:dyDescent="0.25">
      <c r="A339" s="172"/>
      <c r="B339" s="172"/>
      <c r="C339" s="172"/>
      <c r="D339" s="10"/>
      <c r="E339" s="9"/>
      <c r="F339" s="171" t="s">
        <v>62</v>
      </c>
      <c r="G339" s="172"/>
      <c r="H339" s="173">
        <v>2038885.92</v>
      </c>
      <c r="I339" s="172"/>
      <c r="J339" s="172"/>
    </row>
    <row r="340" spans="1:10" x14ac:dyDescent="0.25">
      <c r="A340" s="172"/>
      <c r="B340" s="172"/>
      <c r="C340" s="172"/>
      <c r="D340" s="10"/>
      <c r="E340" s="9"/>
      <c r="F340" s="171" t="s">
        <v>63</v>
      </c>
      <c r="G340" s="172"/>
      <c r="H340" s="173">
        <v>10126798</v>
      </c>
      <c r="I340" s="172"/>
      <c r="J340" s="172"/>
    </row>
    <row r="341" spans="1:10" x14ac:dyDescent="0.25">
      <c r="A341" s="11"/>
      <c r="B341" s="11"/>
      <c r="C341" s="11"/>
      <c r="D341" s="11"/>
      <c r="E341" s="11"/>
      <c r="F341" s="11"/>
      <c r="G341" s="11"/>
      <c r="H341" s="11"/>
      <c r="I341" s="11"/>
      <c r="J341" s="11"/>
    </row>
  </sheetData>
  <mergeCells count="16">
    <mergeCell ref="A340:C340"/>
    <mergeCell ref="F340:G340"/>
    <mergeCell ref="H340:J340"/>
    <mergeCell ref="A3:J3"/>
    <mergeCell ref="A338:C338"/>
    <mergeCell ref="F338:G338"/>
    <mergeCell ref="H338:J338"/>
    <mergeCell ref="A339:C339"/>
    <mergeCell ref="F339:G339"/>
    <mergeCell ref="H339:J339"/>
    <mergeCell ref="E1:F1"/>
    <mergeCell ref="G1:H1"/>
    <mergeCell ref="I1:J1"/>
    <mergeCell ref="E2:F2"/>
    <mergeCell ref="G2:H2"/>
    <mergeCell ref="I2:J2"/>
  </mergeCells>
  <pageMargins left="0.511811024" right="0.511811024" top="0.78740157499999996" bottom="0.78740157499999996" header="0.31496062000000002" footer="0.31496062000000002"/>
  <pageSetup paperSize="9" scale="5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91"/>
  <sheetViews>
    <sheetView topLeftCell="A178" workbookViewId="0">
      <selection activeCell="F190" sqref="F190"/>
    </sheetView>
  </sheetViews>
  <sheetFormatPr defaultColWidth="8.85546875" defaultRowHeight="15" x14ac:dyDescent="0.25"/>
  <cols>
    <col min="1" max="1" width="8.85546875" style="79"/>
    <col min="2" max="2" width="42.5703125" style="79" customWidth="1"/>
    <col min="3" max="3" width="9.7109375" style="79" customWidth="1"/>
    <col min="4" max="4" width="9.5703125" style="79" customWidth="1"/>
    <col min="5" max="5" width="10.42578125" style="79" customWidth="1"/>
    <col min="6" max="6" width="9.28515625" style="79" customWidth="1"/>
    <col min="7" max="7" width="9.42578125" style="79" bestFit="1" customWidth="1"/>
    <col min="8" max="16384" width="8.85546875" style="79"/>
  </cols>
  <sheetData>
    <row r="1" spans="1:9" ht="18.75" x14ac:dyDescent="0.25">
      <c r="A1" s="279" t="str">
        <f>'[2]REPROGRAMAÇÃO 01'!A1</f>
        <v>ESTADO DA PARAÍBA</v>
      </c>
      <c r="B1" s="280"/>
      <c r="C1" s="280"/>
      <c r="D1" s="280"/>
      <c r="E1" s="280"/>
      <c r="F1" s="280"/>
      <c r="G1" s="280"/>
      <c r="H1" s="280"/>
      <c r="I1" s="281"/>
    </row>
    <row r="2" spans="1:9" ht="18.75" x14ac:dyDescent="0.25">
      <c r="A2" s="279" t="str">
        <f>'[2]REPROGRAMAÇÃO 01'!A2</f>
        <v>PREFEITURA MUNICIPAL DE SOUSA</v>
      </c>
      <c r="B2" s="280"/>
      <c r="C2" s="280"/>
      <c r="D2" s="280"/>
      <c r="E2" s="280"/>
      <c r="F2" s="280"/>
      <c r="G2" s="280"/>
      <c r="H2" s="280"/>
      <c r="I2" s="281"/>
    </row>
    <row r="3" spans="1:9" x14ac:dyDescent="0.25">
      <c r="A3" s="282" t="s">
        <v>64</v>
      </c>
      <c r="B3" s="283"/>
      <c r="C3" s="283"/>
      <c r="D3" s="283"/>
      <c r="E3" s="283"/>
      <c r="F3" s="283"/>
      <c r="G3" s="283"/>
      <c r="H3" s="283"/>
      <c r="I3" s="284"/>
    </row>
    <row r="4" spans="1:9" ht="27.6" customHeight="1" x14ac:dyDescent="0.25">
      <c r="A4" s="262" t="s">
        <v>1035</v>
      </c>
      <c r="B4" s="262"/>
      <c r="C4" s="262"/>
      <c r="D4" s="262"/>
      <c r="E4" s="262"/>
      <c r="F4" s="262"/>
      <c r="G4" s="262"/>
      <c r="H4" s="262"/>
      <c r="I4" s="262"/>
    </row>
    <row r="5" spans="1:9" x14ac:dyDescent="0.25">
      <c r="A5" s="263" t="s">
        <v>1036</v>
      </c>
      <c r="B5" s="263" t="s">
        <v>1037</v>
      </c>
      <c r="C5" s="264" t="s">
        <v>1038</v>
      </c>
      <c r="D5" s="264"/>
      <c r="E5" s="264"/>
      <c r="F5" s="264"/>
      <c r="G5" s="264" t="s">
        <v>1039</v>
      </c>
      <c r="H5" s="264"/>
      <c r="I5" s="265" t="s">
        <v>1040</v>
      </c>
    </row>
    <row r="6" spans="1:9" ht="30" x14ac:dyDescent="0.25">
      <c r="A6" s="263"/>
      <c r="B6" s="263"/>
      <c r="C6" s="80" t="s">
        <v>1041</v>
      </c>
      <c r="D6" s="80" t="s">
        <v>1042</v>
      </c>
      <c r="E6" s="80" t="s">
        <v>1043</v>
      </c>
      <c r="F6" s="80" t="s">
        <v>1044</v>
      </c>
      <c r="G6" s="80" t="s">
        <v>1045</v>
      </c>
      <c r="H6" s="80" t="s">
        <v>1046</v>
      </c>
      <c r="I6" s="265"/>
    </row>
    <row r="7" spans="1:9" x14ac:dyDescent="0.25">
      <c r="A7" s="85" t="str">
        <f>BM_01!A18</f>
        <v xml:space="preserve"> 1 </v>
      </c>
      <c r="B7" s="267" t="str">
        <f>BM_01!B18</f>
        <v>SERVIÇOS PRELIMINARES</v>
      </c>
      <c r="C7" s="268"/>
      <c r="D7" s="268"/>
      <c r="E7" s="268"/>
      <c r="F7" s="268"/>
      <c r="G7" s="268"/>
      <c r="H7" s="268"/>
      <c r="I7" s="269"/>
    </row>
    <row r="8" spans="1:9" ht="27.75" customHeight="1" x14ac:dyDescent="0.25">
      <c r="A8" s="86" t="str">
        <f>Memorial!A12</f>
        <v xml:space="preserve"> 1.1 </v>
      </c>
      <c r="B8" s="278" t="str">
        <f>Memorial!B12</f>
        <v>PLACA DE OBRA (PARA CONSTRUCAO CIVIL) EM CHAPA GALVANIZADA *N. 22*, ADESIVADA, DE *2,4 X 1,2* M (SEM POSTES PARA FIXACAO)</v>
      </c>
      <c r="C8" s="271"/>
      <c r="D8" s="271"/>
      <c r="E8" s="271"/>
      <c r="F8" s="271"/>
      <c r="G8" s="271"/>
      <c r="H8" s="87">
        <f>ROUND(SUM(H9:H10),2)</f>
        <v>6</v>
      </c>
      <c r="I8" s="88" t="s">
        <v>1106</v>
      </c>
    </row>
    <row r="9" spans="1:9" x14ac:dyDescent="0.25">
      <c r="A9" s="89"/>
      <c r="B9" s="94" t="s">
        <v>1105</v>
      </c>
      <c r="C9" s="91">
        <v>1</v>
      </c>
      <c r="D9" s="91">
        <v>3</v>
      </c>
      <c r="E9" s="91">
        <v>2</v>
      </c>
      <c r="F9" s="91"/>
      <c r="G9" s="91">
        <f>E9*D9</f>
        <v>6</v>
      </c>
      <c r="H9" s="91">
        <f>G9*C9</f>
        <v>6</v>
      </c>
      <c r="I9" s="91"/>
    </row>
    <row r="10" spans="1:9" x14ac:dyDescent="0.25">
      <c r="A10" s="93"/>
      <c r="B10" s="94"/>
      <c r="C10" s="91"/>
      <c r="D10" s="91"/>
      <c r="E10" s="91"/>
      <c r="F10" s="91"/>
      <c r="G10"/>
      <c r="H10" s="91"/>
      <c r="I10" s="91"/>
    </row>
    <row r="11" spans="1:9" x14ac:dyDescent="0.25">
      <c r="A11" s="86" t="str">
        <f>BM_01!A20</f>
        <v xml:space="preserve"> 1.2 </v>
      </c>
      <c r="B11" s="278" t="str">
        <f>BM_01!B20</f>
        <v>EXECUÇÃO DE ALMOXARIFADO EM CANTEIRO DE OBRA EM ALVENARIA, INCLUSO PRATELEIRAS. AF_02/2016</v>
      </c>
      <c r="C11" s="271"/>
      <c r="D11" s="271"/>
      <c r="E11" s="271"/>
      <c r="F11" s="271"/>
      <c r="G11" s="271"/>
      <c r="H11" s="87">
        <f>ROUND(SUM(H12:H13),2)</f>
        <v>9</v>
      </c>
      <c r="I11" s="88" t="s">
        <v>1106</v>
      </c>
    </row>
    <row r="12" spans="1:9" x14ac:dyDescent="0.25">
      <c r="A12" s="89"/>
      <c r="B12" s="94" t="s">
        <v>1105</v>
      </c>
      <c r="C12" s="91">
        <v>1</v>
      </c>
      <c r="D12" s="91">
        <v>3</v>
      </c>
      <c r="E12" s="91">
        <v>3</v>
      </c>
      <c r="F12" s="91"/>
      <c r="G12" s="91">
        <f>E12*D12</f>
        <v>9</v>
      </c>
      <c r="H12" s="91">
        <f>G12*C12</f>
        <v>9</v>
      </c>
      <c r="I12" s="91"/>
    </row>
    <row r="13" spans="1:9" x14ac:dyDescent="0.25">
      <c r="A13" s="118"/>
      <c r="B13" s="119"/>
      <c r="C13" s="120"/>
      <c r="D13" s="120"/>
      <c r="E13" s="120"/>
      <c r="F13" s="120"/>
      <c r="G13" s="120"/>
      <c r="H13" s="120"/>
      <c r="I13" s="121"/>
    </row>
    <row r="14" spans="1:9" ht="24" customHeight="1" x14ac:dyDescent="0.25">
      <c r="A14" s="86" t="str">
        <f>BM_01!A21</f>
        <v xml:space="preserve"> 1.3 </v>
      </c>
      <c r="B14" s="278" t="str">
        <f>BM_01!B21</f>
        <v>EXECUÇÃO DE ESCRITÓRIO EM CANTEIRO DE OBRA EM ALVENARIA, NÃO INCLUSO MOBILIÁRIO E EQUIPAMENTOS. AF_02/2016</v>
      </c>
      <c r="C14" s="271"/>
      <c r="D14" s="271"/>
      <c r="E14" s="271"/>
      <c r="F14" s="271"/>
      <c r="G14" s="271"/>
      <c r="H14" s="87">
        <f>ROUND(SUM(H15:H16),2)</f>
        <v>6</v>
      </c>
      <c r="I14" s="88" t="s">
        <v>1106</v>
      </c>
    </row>
    <row r="15" spans="1:9" x14ac:dyDescent="0.25">
      <c r="A15" s="89"/>
      <c r="B15" s="94" t="s">
        <v>1105</v>
      </c>
      <c r="C15" s="91">
        <v>1</v>
      </c>
      <c r="D15" s="91">
        <v>3</v>
      </c>
      <c r="E15" s="91">
        <v>2</v>
      </c>
      <c r="F15" s="91"/>
      <c r="G15" s="91">
        <f>E15*D15</f>
        <v>6</v>
      </c>
      <c r="H15" s="91">
        <f>G15*C15</f>
        <v>6</v>
      </c>
      <c r="I15" s="91"/>
    </row>
    <row r="16" spans="1:9" x14ac:dyDescent="0.25">
      <c r="A16" s="118"/>
      <c r="B16" s="119"/>
      <c r="C16" s="120"/>
      <c r="D16" s="120"/>
      <c r="E16" s="120"/>
      <c r="F16" s="120"/>
      <c r="G16" s="120"/>
      <c r="H16" s="120"/>
      <c r="I16" s="121"/>
    </row>
    <row r="17" spans="1:9" ht="24.75" customHeight="1" x14ac:dyDescent="0.25">
      <c r="A17" s="86" t="str">
        <f>BM_01!A23</f>
        <v xml:space="preserve"> 1.5 </v>
      </c>
      <c r="B17" s="278" t="str">
        <f>BM_01!B23</f>
        <v>LIMPEZA MECANIZADA DE CAMADA VEGETAL, VEGETAÇÃO E PEQUENAS ÁRVORES (DIÂMETRO DE TRONCO MENOR QUE 0,20 M), COM TRATOR DE ESTEIRAS.AF_05/2018</v>
      </c>
      <c r="C17" s="271"/>
      <c r="D17" s="271"/>
      <c r="E17" s="271"/>
      <c r="F17" s="271"/>
      <c r="G17" s="271"/>
      <c r="H17" s="87">
        <f>ROUND(SUM(H18:H19),2)</f>
        <v>3729.02</v>
      </c>
      <c r="I17" s="88" t="s">
        <v>1106</v>
      </c>
    </row>
    <row r="18" spans="1:9" x14ac:dyDescent="0.25">
      <c r="A18" s="89"/>
      <c r="B18" s="94" t="s">
        <v>1105</v>
      </c>
      <c r="C18" s="91">
        <v>1</v>
      </c>
      <c r="D18" s="91">
        <v>105</v>
      </c>
      <c r="E18" s="91">
        <v>71.028999999999996</v>
      </c>
      <c r="F18" s="91"/>
      <c r="G18" s="91">
        <f>(D18*E18)/2</f>
        <v>3729.0225</v>
      </c>
      <c r="H18" s="91">
        <f>G18*C18</f>
        <v>3729.0225</v>
      </c>
      <c r="I18" s="91"/>
    </row>
    <row r="19" spans="1:9" x14ac:dyDescent="0.25">
      <c r="A19" s="118"/>
      <c r="B19" s="119"/>
      <c r="C19" s="120"/>
      <c r="D19" s="120"/>
      <c r="E19" s="120"/>
      <c r="F19" s="120"/>
      <c r="G19" s="120"/>
      <c r="H19" s="120"/>
      <c r="I19" s="121"/>
    </row>
    <row r="20" spans="1:9" x14ac:dyDescent="0.25">
      <c r="A20" s="85" t="str">
        <f>BM_01!A28</f>
        <v xml:space="preserve"> 3 </v>
      </c>
      <c r="B20" s="267" t="str">
        <f>BM_01!B28</f>
        <v>MOVIMENTO DE TERRA</v>
      </c>
      <c r="C20" s="268"/>
      <c r="D20" s="268"/>
      <c r="E20" s="268"/>
      <c r="F20" s="268"/>
      <c r="G20" s="268"/>
      <c r="H20" s="268"/>
      <c r="I20" s="269"/>
    </row>
    <row r="21" spans="1:9" ht="51.75" customHeight="1" x14ac:dyDescent="0.25">
      <c r="A21" s="86" t="s">
        <v>1110</v>
      </c>
      <c r="B21" s="270" t="str">
        <f>BM_01!B34</f>
        <v>ESCAVAÇÃO VERTICAL A CÉU ABERTO, EM OBRAS DE EDIFICAÇÃO, INCLUINDO CARGA, DESCARGA E TRANSPORTE, EM SOLO DE 1ª CATEGORIA COM ESCAVADEIRA HIDRÁULICA (CAÇAMBA: 0,8 M³ / 111 HP), FROTA DE 4 CAMINHÕES BASCULANTES D
E 14 M³, DMT DE 2 KM E VELOCIDADE MÉDIA 19KM/H. AF_05/2020</v>
      </c>
      <c r="C21" s="271"/>
      <c r="D21" s="271"/>
      <c r="E21" s="271"/>
      <c r="F21" s="271"/>
      <c r="G21" s="271"/>
      <c r="H21" s="87">
        <f>ROUND(SUM(H22:H23),2)</f>
        <v>339.43</v>
      </c>
      <c r="I21" s="88" t="s">
        <v>1053</v>
      </c>
    </row>
    <row r="22" spans="1:9" x14ac:dyDescent="0.25">
      <c r="A22" s="89"/>
      <c r="B22" s="94" t="s">
        <v>1069</v>
      </c>
      <c r="C22" s="91">
        <v>0</v>
      </c>
      <c r="D22" s="91"/>
      <c r="E22" s="91"/>
      <c r="F22" s="91"/>
      <c r="G22" s="91">
        <v>853.87</v>
      </c>
      <c r="H22" s="91">
        <f>G22*C22</f>
        <v>0</v>
      </c>
      <c r="I22" s="91"/>
    </row>
    <row r="23" spans="1:9" x14ac:dyDescent="0.25">
      <c r="A23" s="93"/>
      <c r="B23" s="94" t="s">
        <v>1070</v>
      </c>
      <c r="C23" s="91">
        <v>1</v>
      </c>
      <c r="D23" s="91">
        <v>49.7</v>
      </c>
      <c r="E23" s="91">
        <v>45.53</v>
      </c>
      <c r="F23" s="91">
        <v>0.3</v>
      </c>
      <c r="G23">
        <f>((D23*E23)/2)*F23</f>
        <v>339.42615000000006</v>
      </c>
      <c r="H23" s="91">
        <f>G23*C23</f>
        <v>339.42615000000006</v>
      </c>
      <c r="I23" s="91"/>
    </row>
    <row r="24" spans="1:9" x14ac:dyDescent="0.25">
      <c r="A24" s="93"/>
      <c r="B24" s="94"/>
      <c r="C24" s="95"/>
      <c r="D24" s="95"/>
      <c r="E24" s="95"/>
      <c r="F24" s="95"/>
      <c r="G24" s="95"/>
      <c r="H24" s="95"/>
      <c r="I24" s="96"/>
    </row>
    <row r="25" spans="1:9" x14ac:dyDescent="0.25">
      <c r="A25" s="86" t="s">
        <v>1111</v>
      </c>
      <c r="B25" s="270" t="str">
        <f>BM_01!B35</f>
        <v>ATERRO C/COMPACTAÇÃO MECÂNICA E CONTROLE, MAT. DE AQUISIÇÃO</v>
      </c>
      <c r="C25" s="271"/>
      <c r="D25" s="271"/>
      <c r="E25" s="271"/>
      <c r="F25" s="271"/>
      <c r="G25" s="271"/>
      <c r="H25" s="87">
        <f>SUM(H26:H27)</f>
        <v>1481.1586500000001</v>
      </c>
      <c r="I25" s="88" t="s">
        <v>1053</v>
      </c>
    </row>
    <row r="26" spans="1:9" x14ac:dyDescent="0.25">
      <c r="A26" s="89"/>
      <c r="B26" s="94" t="s">
        <v>1071</v>
      </c>
      <c r="C26" s="91">
        <v>71</v>
      </c>
      <c r="D26" s="91">
        <v>43.5</v>
      </c>
      <c r="E26" s="91">
        <v>37.5</v>
      </c>
      <c r="F26" s="91">
        <v>0.5</v>
      </c>
      <c r="G26" s="91">
        <f>((C26+D26)/2)*E26*F26</f>
        <v>1073.4375</v>
      </c>
      <c r="H26" s="91">
        <f>G26</f>
        <v>1073.4375</v>
      </c>
      <c r="I26" s="91"/>
    </row>
    <row r="27" spans="1:9" x14ac:dyDescent="0.25">
      <c r="A27" s="93"/>
      <c r="B27" s="94" t="s">
        <v>1072</v>
      </c>
      <c r="C27" s="91">
        <v>1</v>
      </c>
      <c r="D27" s="91">
        <v>59.7</v>
      </c>
      <c r="E27" s="91">
        <v>45.53</v>
      </c>
      <c r="F27" s="91">
        <v>0.3</v>
      </c>
      <c r="G27" s="109">
        <f>((D27*E27)/2)*F27</f>
        <v>407.72115000000002</v>
      </c>
      <c r="H27" s="91">
        <f>G27*C27</f>
        <v>407.72115000000002</v>
      </c>
      <c r="I27" s="96"/>
    </row>
    <row r="28" spans="1:9" x14ac:dyDescent="0.25">
      <c r="A28" s="93"/>
      <c r="B28" s="94"/>
      <c r="C28" s="95"/>
      <c r="D28" s="95"/>
      <c r="E28" s="95"/>
      <c r="F28" s="95"/>
      <c r="G28" s="95"/>
      <c r="H28" s="95"/>
      <c r="I28" s="96"/>
    </row>
    <row r="29" spans="1:9" x14ac:dyDescent="0.25">
      <c r="A29" s="86" t="s">
        <v>1112</v>
      </c>
      <c r="B29" s="270" t="str">
        <f>BM_01!B36</f>
        <v>Aterro de áreas sem aquisição de material, com espalhamento mecânico, sem compactação e sem transporte</v>
      </c>
      <c r="C29" s="271"/>
      <c r="D29" s="271"/>
      <c r="E29" s="271"/>
      <c r="F29" s="271"/>
      <c r="G29" s="271"/>
      <c r="H29" s="87">
        <f>ROUND(SUM(H30:H31),2)</f>
        <v>1481.16</v>
      </c>
      <c r="I29" s="88" t="s">
        <v>1053</v>
      </c>
    </row>
    <row r="30" spans="1:9" x14ac:dyDescent="0.25">
      <c r="A30" s="89"/>
      <c r="B30" s="94" t="s">
        <v>1071</v>
      </c>
      <c r="C30" s="91">
        <v>71</v>
      </c>
      <c r="D30" s="91">
        <v>43.5</v>
      </c>
      <c r="E30" s="91">
        <v>37.5</v>
      </c>
      <c r="F30" s="91">
        <v>0.5</v>
      </c>
      <c r="G30" s="91">
        <f>((C30+D30)/2)*E30*F30</f>
        <v>1073.4375</v>
      </c>
      <c r="H30" s="91">
        <f>G30</f>
        <v>1073.4375</v>
      </c>
      <c r="I30" s="91"/>
    </row>
    <row r="31" spans="1:9" x14ac:dyDescent="0.25">
      <c r="B31" s="94" t="s">
        <v>1072</v>
      </c>
      <c r="C31" s="91">
        <v>1</v>
      </c>
      <c r="D31" s="91">
        <v>59.7</v>
      </c>
      <c r="E31" s="91">
        <v>45.53</v>
      </c>
      <c r="F31" s="91">
        <v>0.3</v>
      </c>
      <c r="G31" s="110">
        <f>((D31*E31)/2)*F31</f>
        <v>407.72115000000002</v>
      </c>
      <c r="H31" s="91">
        <f>G31*C31</f>
        <v>407.72115000000002</v>
      </c>
    </row>
    <row r="32" spans="1:9" x14ac:dyDescent="0.25">
      <c r="A32" s="118"/>
      <c r="B32" s="119"/>
      <c r="C32" s="120"/>
      <c r="D32" s="120"/>
      <c r="E32" s="120"/>
      <c r="F32" s="120"/>
      <c r="G32" s="120"/>
      <c r="H32" s="120"/>
      <c r="I32" s="121"/>
    </row>
    <row r="33" spans="1:11" x14ac:dyDescent="0.25">
      <c r="A33" s="118"/>
      <c r="B33" s="119"/>
      <c r="C33" s="120"/>
      <c r="D33" s="120"/>
      <c r="E33" s="120"/>
      <c r="F33" s="120"/>
      <c r="G33" s="120"/>
      <c r="H33" s="120"/>
      <c r="I33" s="121"/>
    </row>
    <row r="34" spans="1:11" x14ac:dyDescent="0.25">
      <c r="A34" s="81">
        <v>26</v>
      </c>
      <c r="B34" s="82" t="s">
        <v>1047</v>
      </c>
      <c r="C34" s="83"/>
      <c r="D34" s="83"/>
      <c r="E34" s="83"/>
      <c r="F34" s="83"/>
      <c r="G34" s="83"/>
      <c r="H34" s="83"/>
      <c r="I34" s="84"/>
    </row>
    <row r="35" spans="1:11" ht="30" customHeight="1" x14ac:dyDescent="0.25">
      <c r="A35" s="85" t="s">
        <v>1086</v>
      </c>
      <c r="B35" s="267" t="str">
        <f>'[3]Itens Novos'!D7</f>
        <v>PEDRA ARGAMASSADA COM CIMENTO E AREIA 1:3, 40% DE ARGAMASSA EM VOLUME - AREIA E PEDRA DE MÃO COMERCIAIS - FORNECIMENTO E ASSENTAMENTO. AF_08/2022</v>
      </c>
      <c r="C35" s="268"/>
      <c r="D35" s="268"/>
      <c r="E35" s="268"/>
      <c r="F35" s="268"/>
      <c r="G35" s="268"/>
      <c r="H35" s="268"/>
      <c r="I35" s="269"/>
    </row>
    <row r="36" spans="1:11" x14ac:dyDescent="0.25">
      <c r="A36" s="86"/>
      <c r="B36" s="270"/>
      <c r="C36" s="271"/>
      <c r="D36" s="271"/>
      <c r="E36" s="271"/>
      <c r="F36" s="271"/>
      <c r="G36" s="271"/>
      <c r="H36" s="87">
        <f>SUM(H37:H46)</f>
        <v>43.209599999999995</v>
      </c>
      <c r="I36" s="88" t="str">
        <f>'[3]Itens Novos'!E7</f>
        <v>M3</v>
      </c>
    </row>
    <row r="37" spans="1:11" x14ac:dyDescent="0.25">
      <c r="A37" s="89"/>
      <c r="B37" s="90" t="s">
        <v>1048</v>
      </c>
      <c r="C37" s="91">
        <v>0</v>
      </c>
      <c r="D37" s="91">
        <v>71.010000000000005</v>
      </c>
      <c r="E37" s="91">
        <v>0.3</v>
      </c>
      <c r="F37" s="91">
        <v>0.7</v>
      </c>
      <c r="G37" s="91">
        <f>F37*E37*D37</f>
        <v>14.912100000000001</v>
      </c>
      <c r="H37" s="91">
        <f>C37*G37</f>
        <v>0</v>
      </c>
      <c r="I37" s="91"/>
      <c r="K37" s="92"/>
    </row>
    <row r="38" spans="1:11" x14ac:dyDescent="0.25">
      <c r="A38" s="93"/>
      <c r="B38" s="90" t="s">
        <v>1049</v>
      </c>
      <c r="C38" s="91">
        <v>1</v>
      </c>
      <c r="D38" s="91">
        <v>19.28</v>
      </c>
      <c r="E38" s="91">
        <v>0.3</v>
      </c>
      <c r="F38" s="91">
        <v>0.6</v>
      </c>
      <c r="G38" s="91">
        <f t="shared" ref="G38:G46" si="0">F38*E38*D38</f>
        <v>3.4704000000000002</v>
      </c>
      <c r="H38" s="91">
        <f t="shared" ref="H38:H46" si="1">C38*G38</f>
        <v>3.4704000000000002</v>
      </c>
      <c r="I38" s="91"/>
      <c r="K38" s="92"/>
    </row>
    <row r="39" spans="1:11" x14ac:dyDescent="0.25">
      <c r="A39" s="93"/>
      <c r="B39" s="90"/>
      <c r="C39" s="91">
        <v>1</v>
      </c>
      <c r="D39" s="91">
        <v>8.6300000000000008</v>
      </c>
      <c r="E39" s="91">
        <v>0.3</v>
      </c>
      <c r="F39" s="91">
        <v>0.6</v>
      </c>
      <c r="G39" s="91">
        <f t="shared" si="0"/>
        <v>1.5534000000000001</v>
      </c>
      <c r="H39" s="91">
        <f t="shared" si="1"/>
        <v>1.5534000000000001</v>
      </c>
      <c r="I39" s="91"/>
      <c r="K39" s="92"/>
    </row>
    <row r="40" spans="1:11" x14ac:dyDescent="0.25">
      <c r="A40" s="93"/>
      <c r="B40" s="90"/>
      <c r="C40" s="91">
        <v>1</v>
      </c>
      <c r="D40" s="91">
        <v>30.11</v>
      </c>
      <c r="E40" s="91">
        <v>0.3</v>
      </c>
      <c r="F40" s="91">
        <v>0.7</v>
      </c>
      <c r="G40" s="91">
        <f t="shared" si="0"/>
        <v>6.3230999999999993</v>
      </c>
      <c r="H40" s="91">
        <f t="shared" si="1"/>
        <v>6.3230999999999993</v>
      </c>
      <c r="I40" s="91"/>
      <c r="K40" s="92"/>
    </row>
    <row r="41" spans="1:11" x14ac:dyDescent="0.25">
      <c r="A41" s="93"/>
      <c r="B41" s="90" t="s">
        <v>1050</v>
      </c>
      <c r="C41" s="91">
        <v>1</v>
      </c>
      <c r="D41" s="91">
        <v>22.03</v>
      </c>
      <c r="E41" s="91">
        <v>0.3</v>
      </c>
      <c r="F41" s="91">
        <v>0.75</v>
      </c>
      <c r="G41" s="91">
        <f t="shared" si="0"/>
        <v>4.9567499999999995</v>
      </c>
      <c r="H41" s="91">
        <f t="shared" si="1"/>
        <v>4.9567499999999995</v>
      </c>
      <c r="I41" s="91"/>
      <c r="K41" s="92"/>
    </row>
    <row r="42" spans="1:11" x14ac:dyDescent="0.25">
      <c r="A42" s="93"/>
      <c r="B42" s="90"/>
      <c r="C42" s="91">
        <v>1</v>
      </c>
      <c r="D42" s="91">
        <v>17.98</v>
      </c>
      <c r="E42" s="91">
        <v>0.3</v>
      </c>
      <c r="F42" s="91">
        <v>0.6</v>
      </c>
      <c r="G42" s="91">
        <f t="shared" si="0"/>
        <v>3.2364000000000002</v>
      </c>
      <c r="H42" s="91">
        <f t="shared" si="1"/>
        <v>3.2364000000000002</v>
      </c>
      <c r="I42" s="91"/>
      <c r="K42" s="92"/>
    </row>
    <row r="43" spans="1:11" x14ac:dyDescent="0.25">
      <c r="A43" s="93"/>
      <c r="B43" s="90" t="s">
        <v>1051</v>
      </c>
      <c r="C43" s="91">
        <v>1</v>
      </c>
      <c r="D43" s="91">
        <v>45.81</v>
      </c>
      <c r="E43" s="91">
        <v>0.3</v>
      </c>
      <c r="F43" s="91">
        <v>0.55000000000000004</v>
      </c>
      <c r="G43" s="91">
        <f t="shared" si="0"/>
        <v>7.558650000000001</v>
      </c>
      <c r="H43" s="91">
        <f t="shared" si="1"/>
        <v>7.558650000000001</v>
      </c>
      <c r="I43" s="91"/>
      <c r="K43" s="92"/>
    </row>
    <row r="44" spans="1:11" x14ac:dyDescent="0.25">
      <c r="A44" s="93"/>
      <c r="B44" s="90" t="s">
        <v>1052</v>
      </c>
      <c r="C44" s="91">
        <v>1</v>
      </c>
      <c r="D44" s="91">
        <v>36.46</v>
      </c>
      <c r="E44" s="91">
        <v>0.3</v>
      </c>
      <c r="F44" s="91">
        <v>0.8</v>
      </c>
      <c r="G44" s="91">
        <f t="shared" si="0"/>
        <v>8.7503999999999991</v>
      </c>
      <c r="H44" s="91">
        <f t="shared" si="1"/>
        <v>8.7503999999999991</v>
      </c>
      <c r="I44" s="91"/>
      <c r="K44" s="92"/>
    </row>
    <row r="45" spans="1:11" x14ac:dyDescent="0.25">
      <c r="A45" s="93"/>
      <c r="B45" s="90"/>
      <c r="C45" s="91">
        <v>1</v>
      </c>
      <c r="D45" s="91">
        <v>26.07</v>
      </c>
      <c r="E45" s="91">
        <v>0.3</v>
      </c>
      <c r="F45" s="91">
        <v>0.5</v>
      </c>
      <c r="G45" s="91">
        <f t="shared" si="0"/>
        <v>3.9104999999999999</v>
      </c>
      <c r="H45" s="91">
        <f t="shared" si="1"/>
        <v>3.9104999999999999</v>
      </c>
      <c r="I45" s="91"/>
      <c r="K45" s="92"/>
    </row>
    <row r="46" spans="1:11" x14ac:dyDescent="0.25">
      <c r="A46" s="93"/>
      <c r="B46" s="90"/>
      <c r="C46" s="91">
        <v>1</v>
      </c>
      <c r="D46" s="91">
        <v>23</v>
      </c>
      <c r="E46" s="91">
        <v>0.3</v>
      </c>
      <c r="F46" s="91">
        <v>0.5</v>
      </c>
      <c r="G46" s="91">
        <f t="shared" si="0"/>
        <v>3.4499999999999997</v>
      </c>
      <c r="H46" s="91">
        <f t="shared" si="1"/>
        <v>3.4499999999999997</v>
      </c>
      <c r="I46" s="91"/>
      <c r="K46" s="92"/>
    </row>
    <row r="47" spans="1:11" x14ac:dyDescent="0.25">
      <c r="A47" s="93"/>
      <c r="B47" s="90"/>
      <c r="C47" s="91"/>
      <c r="D47" s="91"/>
      <c r="E47" s="91"/>
      <c r="F47" s="91"/>
      <c r="G47" s="91"/>
      <c r="H47" s="91"/>
      <c r="I47" s="91"/>
      <c r="K47" s="92"/>
    </row>
    <row r="48" spans="1:11" ht="40.5" customHeight="1" x14ac:dyDescent="0.25">
      <c r="A48" s="85" t="s">
        <v>1087</v>
      </c>
      <c r="B48" s="267" t="str">
        <f>'[3]Itens Novos'!D8</f>
        <v>ESCAVAÇÃO MECANIZADA DE VALA COM PROFUNDIDADE ATÉ 1,5 M (MÉDIA MONTANTE E JUSANTE/UMA COMPOSIÇÃO POR TRECHO), RETROESCAV. (0,26 M3), LARGURA DE 0,8 M A 1,5 M, EM SOLO DE 1A CATEGORIA, LOCAIS COM BAIXO NÍVEL DE
INTERFERÊNCIA. AF_02/2021</v>
      </c>
      <c r="C48" s="268"/>
      <c r="D48" s="268"/>
      <c r="E48" s="268"/>
      <c r="F48" s="268"/>
      <c r="G48" s="268"/>
      <c r="H48" s="268"/>
      <c r="I48" s="269"/>
    </row>
    <row r="49" spans="1:11" x14ac:dyDescent="0.25">
      <c r="A49" s="86"/>
      <c r="B49" s="270"/>
      <c r="C49" s="271"/>
      <c r="D49" s="271"/>
      <c r="E49" s="271"/>
      <c r="F49" s="271"/>
      <c r="G49" s="271"/>
      <c r="H49" s="87">
        <f>ROUND(SUM(H50:H54),2)</f>
        <v>58.73</v>
      </c>
      <c r="I49" s="88" t="str">
        <f>'[3]Itens Novos'!E22</f>
        <v>M3</v>
      </c>
      <c r="K49" s="92"/>
    </row>
    <row r="50" spans="1:11" x14ac:dyDescent="0.25">
      <c r="A50" s="89"/>
      <c r="B50" s="90" t="s">
        <v>1048</v>
      </c>
      <c r="C50" s="91">
        <v>21</v>
      </c>
      <c r="D50" s="91">
        <v>0.9</v>
      </c>
      <c r="E50" s="91">
        <v>0.9</v>
      </c>
      <c r="F50" s="91">
        <v>1</v>
      </c>
      <c r="G50" s="91">
        <f>F50*E50*D50</f>
        <v>0.81</v>
      </c>
      <c r="H50" s="91">
        <f>C50*G50</f>
        <v>17.010000000000002</v>
      </c>
      <c r="I50" s="91"/>
      <c r="K50" s="92"/>
    </row>
    <row r="51" spans="1:11" x14ac:dyDescent="0.25">
      <c r="A51" s="93"/>
      <c r="B51" s="90" t="s">
        <v>1049</v>
      </c>
      <c r="C51" s="91">
        <v>13</v>
      </c>
      <c r="D51" s="91">
        <v>0.9</v>
      </c>
      <c r="E51" s="91">
        <v>0.9</v>
      </c>
      <c r="F51" s="91">
        <v>0.8</v>
      </c>
      <c r="G51" s="91">
        <f t="shared" ref="G51:G54" si="2">F51*E51*D51</f>
        <v>0.64800000000000013</v>
      </c>
      <c r="H51" s="91">
        <f t="shared" ref="H51:H54" si="3">C51*G51</f>
        <v>8.4240000000000013</v>
      </c>
      <c r="I51" s="91"/>
      <c r="K51" s="92"/>
    </row>
    <row r="52" spans="1:11" x14ac:dyDescent="0.25">
      <c r="A52" s="93"/>
      <c r="B52" s="90" t="s">
        <v>1050</v>
      </c>
      <c r="C52" s="91">
        <v>25</v>
      </c>
      <c r="D52" s="91">
        <v>0.9</v>
      </c>
      <c r="E52" s="91">
        <v>0.9</v>
      </c>
      <c r="F52" s="91">
        <v>0.5</v>
      </c>
      <c r="G52" s="91">
        <f t="shared" si="2"/>
        <v>0.40500000000000003</v>
      </c>
      <c r="H52" s="91">
        <f t="shared" si="3"/>
        <v>10.125</v>
      </c>
      <c r="I52" s="91"/>
      <c r="K52" s="92"/>
    </row>
    <row r="53" spans="1:11" x14ac:dyDescent="0.25">
      <c r="A53" s="93"/>
      <c r="B53" s="90" t="s">
        <v>1051</v>
      </c>
      <c r="C53" s="91">
        <v>16</v>
      </c>
      <c r="D53" s="91">
        <v>0.9</v>
      </c>
      <c r="E53" s="91">
        <v>0.9</v>
      </c>
      <c r="F53" s="91">
        <v>0.7</v>
      </c>
      <c r="G53" s="91">
        <f t="shared" si="2"/>
        <v>0.56700000000000006</v>
      </c>
      <c r="H53" s="91">
        <f t="shared" si="3"/>
        <v>9.072000000000001</v>
      </c>
      <c r="I53" s="91"/>
      <c r="K53" s="92"/>
    </row>
    <row r="54" spans="1:11" x14ac:dyDescent="0.25">
      <c r="A54" s="93"/>
      <c r="B54" s="90" t="s">
        <v>1052</v>
      </c>
      <c r="C54" s="91">
        <v>29</v>
      </c>
      <c r="D54" s="91">
        <v>0.9</v>
      </c>
      <c r="E54" s="91">
        <v>0.9</v>
      </c>
      <c r="F54" s="91">
        <v>0.6</v>
      </c>
      <c r="G54" s="91">
        <f t="shared" si="2"/>
        <v>0.48600000000000004</v>
      </c>
      <c r="H54" s="91">
        <f t="shared" si="3"/>
        <v>14.094000000000001</v>
      </c>
      <c r="I54" s="91"/>
      <c r="K54" s="92"/>
    </row>
    <row r="55" spans="1:11" x14ac:dyDescent="0.25">
      <c r="A55" s="93"/>
      <c r="B55" s="90"/>
      <c r="C55" s="91"/>
      <c r="D55" s="91"/>
      <c r="E55" s="91"/>
      <c r="F55" s="91"/>
      <c r="G55" s="91"/>
      <c r="H55" s="91"/>
      <c r="I55" s="91"/>
      <c r="K55" s="92"/>
    </row>
    <row r="56" spans="1:11" x14ac:dyDescent="0.25">
      <c r="A56" s="93"/>
      <c r="B56" s="94"/>
      <c r="C56" s="95"/>
      <c r="D56" s="95"/>
      <c r="E56" s="95"/>
      <c r="F56" s="95"/>
      <c r="G56" s="95"/>
      <c r="H56" s="95"/>
      <c r="I56" s="96"/>
      <c r="K56" s="92"/>
    </row>
    <row r="57" spans="1:11" x14ac:dyDescent="0.25">
      <c r="A57" s="85" t="s">
        <v>1088</v>
      </c>
      <c r="B57" s="267" t="str">
        <f>'[3]Itens Novos'!D9</f>
        <v>REATERRO MANUAL DE VALAS COM COMPACTAÇÃO MECANIZADA. AF_04/2016</v>
      </c>
      <c r="C57" s="268"/>
      <c r="D57" s="268"/>
      <c r="E57" s="268"/>
      <c r="F57" s="268"/>
      <c r="G57" s="268"/>
      <c r="H57" s="268"/>
      <c r="I57" s="269"/>
    </row>
    <row r="58" spans="1:11" x14ac:dyDescent="0.25">
      <c r="A58" s="86"/>
      <c r="B58" s="270"/>
      <c r="C58" s="271"/>
      <c r="D58" s="271"/>
      <c r="E58" s="271"/>
      <c r="F58" s="271"/>
      <c r="G58" s="271"/>
      <c r="H58" s="87">
        <f>ROUND(SUM(H59:H63),2)</f>
        <v>13.03</v>
      </c>
      <c r="I58" s="88" t="s">
        <v>1053</v>
      </c>
    </row>
    <row r="59" spans="1:11" x14ac:dyDescent="0.25">
      <c r="A59" s="97"/>
      <c r="B59" s="98" t="s">
        <v>1048</v>
      </c>
      <c r="C59" s="91">
        <v>0</v>
      </c>
      <c r="D59" s="99">
        <v>0.7</v>
      </c>
      <c r="E59" s="99">
        <v>0.7</v>
      </c>
      <c r="F59" s="99">
        <v>0.7</v>
      </c>
      <c r="G59" s="91">
        <f>F59*E59*D59</f>
        <v>0.34299999999999992</v>
      </c>
      <c r="H59" s="91">
        <f>C59*G59</f>
        <v>0</v>
      </c>
      <c r="I59" s="100"/>
    </row>
    <row r="60" spans="1:11" x14ac:dyDescent="0.25">
      <c r="A60" s="97"/>
      <c r="B60" s="98" t="s">
        <v>1049</v>
      </c>
      <c r="C60" s="91">
        <v>13</v>
      </c>
      <c r="D60" s="99">
        <v>0.7</v>
      </c>
      <c r="E60" s="99">
        <v>0.7</v>
      </c>
      <c r="F60" s="99">
        <v>0.5</v>
      </c>
      <c r="G60" s="91">
        <f t="shared" ref="G60:G63" si="4">F60*E60*D60</f>
        <v>0.24499999999999997</v>
      </c>
      <c r="H60" s="91">
        <f t="shared" ref="H60:H63" si="5">C60*G60</f>
        <v>3.1849999999999996</v>
      </c>
      <c r="I60" s="100"/>
    </row>
    <row r="61" spans="1:11" x14ac:dyDescent="0.25">
      <c r="A61" s="97"/>
      <c r="B61" s="98" t="s">
        <v>1050</v>
      </c>
      <c r="C61" s="91">
        <v>25</v>
      </c>
      <c r="D61" s="99">
        <v>0.7</v>
      </c>
      <c r="E61" s="99">
        <v>0.7</v>
      </c>
      <c r="F61" s="99">
        <v>0.2</v>
      </c>
      <c r="G61" s="91">
        <f t="shared" si="4"/>
        <v>9.799999999999999E-2</v>
      </c>
      <c r="H61" s="91">
        <f t="shared" si="5"/>
        <v>2.4499999999999997</v>
      </c>
      <c r="I61" s="100"/>
    </row>
    <row r="62" spans="1:11" x14ac:dyDescent="0.25">
      <c r="A62" s="97"/>
      <c r="B62" s="98" t="s">
        <v>1051</v>
      </c>
      <c r="C62" s="91">
        <v>16</v>
      </c>
      <c r="D62" s="99">
        <v>0.7</v>
      </c>
      <c r="E62" s="99">
        <v>0.7</v>
      </c>
      <c r="F62" s="99">
        <v>0.4</v>
      </c>
      <c r="G62" s="91">
        <f t="shared" si="4"/>
        <v>0.19599999999999998</v>
      </c>
      <c r="H62" s="91">
        <f t="shared" si="5"/>
        <v>3.1359999999999997</v>
      </c>
      <c r="I62" s="100"/>
    </row>
    <row r="63" spans="1:11" x14ac:dyDescent="0.25">
      <c r="A63" s="97"/>
      <c r="B63" s="98" t="s">
        <v>1052</v>
      </c>
      <c r="C63" s="91">
        <v>29</v>
      </c>
      <c r="D63" s="99">
        <v>0.7</v>
      </c>
      <c r="E63" s="99">
        <v>0.7</v>
      </c>
      <c r="F63" s="99">
        <v>0.3</v>
      </c>
      <c r="G63" s="91">
        <f t="shared" si="4"/>
        <v>0.14699999999999999</v>
      </c>
      <c r="H63" s="91">
        <f t="shared" si="5"/>
        <v>4.2629999999999999</v>
      </c>
      <c r="I63" s="100"/>
    </row>
    <row r="64" spans="1:11" x14ac:dyDescent="0.25">
      <c r="A64" s="97"/>
      <c r="B64" s="101"/>
      <c r="C64" s="101"/>
      <c r="D64" s="101"/>
      <c r="E64" s="101"/>
      <c r="F64" s="101"/>
      <c r="G64" s="101"/>
      <c r="H64" s="102"/>
      <c r="I64" s="103"/>
    </row>
    <row r="65" spans="1:11" ht="14.45" customHeight="1" x14ac:dyDescent="0.25">
      <c r="A65" s="85" t="s">
        <v>1089</v>
      </c>
      <c r="B65" s="267" t="str">
        <f>'[3]Itens Novos'!D10</f>
        <v>PREPARO DE FUNDO DE VALA COM LARGURA MENOR QUE 1,5 M (ACERTO DO SOLO NATURAL). AF_08/2020</v>
      </c>
      <c r="C65" s="268"/>
      <c r="D65" s="268"/>
      <c r="E65" s="268"/>
      <c r="F65" s="268"/>
      <c r="G65" s="268"/>
      <c r="H65" s="268"/>
      <c r="I65" s="269"/>
      <c r="K65" s="92"/>
    </row>
    <row r="66" spans="1:11" ht="14.45" customHeight="1" x14ac:dyDescent="0.25">
      <c r="A66" s="86"/>
      <c r="B66" s="270"/>
      <c r="C66" s="271"/>
      <c r="D66" s="271"/>
      <c r="E66" s="271"/>
      <c r="F66" s="271"/>
      <c r="G66" s="271"/>
      <c r="H66" s="87">
        <f>ROUND(SUM(H67:H72),2)</f>
        <v>84.24</v>
      </c>
      <c r="I66" s="88" t="str">
        <f>'[2]REPROGRAMAÇÃO 01'!E22</f>
        <v>M³</v>
      </c>
      <c r="K66" s="92"/>
    </row>
    <row r="67" spans="1:11" ht="14.45" customHeight="1" x14ac:dyDescent="0.25">
      <c r="A67" s="89"/>
      <c r="B67" s="94" t="s">
        <v>1048</v>
      </c>
      <c r="C67" s="91">
        <v>21</v>
      </c>
      <c r="D67" s="91">
        <v>0.9</v>
      </c>
      <c r="E67" s="91">
        <v>0.9</v>
      </c>
      <c r="F67" s="91"/>
      <c r="G67" s="91">
        <f>E67*D67</f>
        <v>0.81</v>
      </c>
      <c r="H67" s="91">
        <f t="shared" ref="H67:H71" si="6">C67*G67</f>
        <v>17.010000000000002</v>
      </c>
      <c r="I67" s="91"/>
      <c r="K67" s="92"/>
    </row>
    <row r="68" spans="1:11" ht="14.45" customHeight="1" x14ac:dyDescent="0.25">
      <c r="A68" s="89"/>
      <c r="B68" s="94" t="s">
        <v>1049</v>
      </c>
      <c r="C68" s="91">
        <v>13</v>
      </c>
      <c r="D68" s="91">
        <v>0.9</v>
      </c>
      <c r="E68" s="91">
        <v>0.9</v>
      </c>
      <c r="F68" s="91"/>
      <c r="G68" s="91">
        <f t="shared" ref="G68:G71" si="7">E68*D68</f>
        <v>0.81</v>
      </c>
      <c r="H68" s="91">
        <f t="shared" si="6"/>
        <v>10.530000000000001</v>
      </c>
      <c r="I68" s="91"/>
      <c r="K68" s="92"/>
    </row>
    <row r="69" spans="1:11" ht="14.45" customHeight="1" x14ac:dyDescent="0.25">
      <c r="A69" s="89"/>
      <c r="B69" s="94" t="s">
        <v>1050</v>
      </c>
      <c r="C69" s="91">
        <v>25</v>
      </c>
      <c r="D69" s="91">
        <v>0.9</v>
      </c>
      <c r="E69" s="91">
        <v>0.9</v>
      </c>
      <c r="F69" s="91"/>
      <c r="G69" s="91">
        <f t="shared" si="7"/>
        <v>0.81</v>
      </c>
      <c r="H69" s="91">
        <f t="shared" si="6"/>
        <v>20.25</v>
      </c>
      <c r="I69" s="91"/>
      <c r="K69" s="92"/>
    </row>
    <row r="70" spans="1:11" ht="14.45" customHeight="1" x14ac:dyDescent="0.25">
      <c r="A70" s="89"/>
      <c r="B70" s="94" t="s">
        <v>1051</v>
      </c>
      <c r="C70" s="91">
        <v>16</v>
      </c>
      <c r="D70" s="91">
        <v>0.9</v>
      </c>
      <c r="E70" s="91">
        <v>0.9</v>
      </c>
      <c r="F70" s="91"/>
      <c r="G70" s="91">
        <f t="shared" si="7"/>
        <v>0.81</v>
      </c>
      <c r="H70" s="91">
        <f t="shared" si="6"/>
        <v>12.96</v>
      </c>
      <c r="I70" s="91"/>
      <c r="K70" s="92"/>
    </row>
    <row r="71" spans="1:11" ht="14.45" customHeight="1" x14ac:dyDescent="0.25">
      <c r="A71" s="89"/>
      <c r="B71" s="94" t="s">
        <v>1052</v>
      </c>
      <c r="C71" s="91">
        <v>29</v>
      </c>
      <c r="D71" s="91">
        <v>0.9</v>
      </c>
      <c r="E71" s="91">
        <v>0.9</v>
      </c>
      <c r="F71" s="91"/>
      <c r="G71" s="91">
        <f t="shared" si="7"/>
        <v>0.81</v>
      </c>
      <c r="H71" s="91">
        <f t="shared" si="6"/>
        <v>23.490000000000002</v>
      </c>
      <c r="I71" s="91"/>
      <c r="K71" s="92"/>
    </row>
    <row r="72" spans="1:11" ht="14.45" customHeight="1" x14ac:dyDescent="0.25">
      <c r="A72" s="89"/>
      <c r="B72" s="94"/>
      <c r="C72" s="91"/>
      <c r="D72" s="91"/>
      <c r="E72" s="91"/>
      <c r="F72" s="91"/>
      <c r="G72" s="91"/>
      <c r="H72" s="91"/>
      <c r="I72" s="91"/>
      <c r="K72" s="92"/>
    </row>
    <row r="73" spans="1:11" ht="14.45" customHeight="1" x14ac:dyDescent="0.25">
      <c r="A73" s="85" t="s">
        <v>1090</v>
      </c>
      <c r="B73" s="267" t="str">
        <f>'[3]Itens Novos'!D11</f>
        <v>LASTRO DE CONCRETO MAGRO, APLICADO EM PISOS, LAJES SOBRE SOLO OU RADIERS, ESPESSURA DE 5 CM. AF_07/2016</v>
      </c>
      <c r="C73" s="268"/>
      <c r="D73" s="268"/>
      <c r="E73" s="268"/>
      <c r="F73" s="268"/>
      <c r="G73" s="268"/>
      <c r="H73" s="268"/>
      <c r="I73" s="269"/>
      <c r="K73" s="92"/>
    </row>
    <row r="74" spans="1:11" ht="14.45" customHeight="1" x14ac:dyDescent="0.25">
      <c r="A74" s="86"/>
      <c r="B74" s="270"/>
      <c r="C74" s="271"/>
      <c r="D74" s="271"/>
      <c r="E74" s="271"/>
      <c r="F74" s="271"/>
      <c r="G74" s="271"/>
      <c r="H74" s="87">
        <f>ROUND(SUM(H75:H79),2)</f>
        <v>37.44</v>
      </c>
      <c r="I74" s="88" t="s">
        <v>1054</v>
      </c>
      <c r="K74" s="92"/>
    </row>
    <row r="75" spans="1:11" x14ac:dyDescent="0.25">
      <c r="A75" s="89"/>
      <c r="B75" s="90" t="s">
        <v>1048</v>
      </c>
      <c r="C75" s="91">
        <v>21</v>
      </c>
      <c r="D75" s="91">
        <v>0.6</v>
      </c>
      <c r="E75" s="91">
        <v>0.6</v>
      </c>
      <c r="F75" s="91"/>
      <c r="G75" s="91">
        <f>E75*D75</f>
        <v>0.36</v>
      </c>
      <c r="H75" s="91">
        <f>C75*G75</f>
        <v>7.56</v>
      </c>
      <c r="I75" s="91"/>
      <c r="K75" s="92"/>
    </row>
    <row r="76" spans="1:11" x14ac:dyDescent="0.25">
      <c r="A76" s="93"/>
      <c r="B76" s="90" t="s">
        <v>1049</v>
      </c>
      <c r="C76" s="91">
        <v>13</v>
      </c>
      <c r="D76" s="91">
        <v>0.6</v>
      </c>
      <c r="E76" s="91">
        <v>0.6</v>
      </c>
      <c r="F76" s="91"/>
      <c r="G76" s="91">
        <f t="shared" ref="G76:G79" si="8">E76*D76</f>
        <v>0.36</v>
      </c>
      <c r="H76" s="91">
        <f t="shared" ref="H76:H79" si="9">C76*G76</f>
        <v>4.68</v>
      </c>
      <c r="I76" s="91"/>
      <c r="K76" s="92"/>
    </row>
    <row r="77" spans="1:11" x14ac:dyDescent="0.25">
      <c r="A77" s="93"/>
      <c r="B77" s="90" t="s">
        <v>1050</v>
      </c>
      <c r="C77" s="91">
        <v>25</v>
      </c>
      <c r="D77" s="91">
        <v>0.6</v>
      </c>
      <c r="E77" s="91">
        <v>0.6</v>
      </c>
      <c r="F77" s="91"/>
      <c r="G77" s="91">
        <f t="shared" si="8"/>
        <v>0.36</v>
      </c>
      <c r="H77" s="91">
        <f t="shared" si="9"/>
        <v>9</v>
      </c>
      <c r="I77" s="91"/>
      <c r="K77" s="92"/>
    </row>
    <row r="78" spans="1:11" x14ac:dyDescent="0.25">
      <c r="A78" s="93"/>
      <c r="B78" s="90" t="s">
        <v>1051</v>
      </c>
      <c r="C78" s="91">
        <v>16</v>
      </c>
      <c r="D78" s="91">
        <v>0.6</v>
      </c>
      <c r="E78" s="91">
        <v>0.6</v>
      </c>
      <c r="F78" s="91"/>
      <c r="G78" s="91">
        <f t="shared" si="8"/>
        <v>0.36</v>
      </c>
      <c r="H78" s="91">
        <f t="shared" si="9"/>
        <v>5.76</v>
      </c>
      <c r="I78" s="91"/>
      <c r="K78" s="92"/>
    </row>
    <row r="79" spans="1:11" x14ac:dyDescent="0.25">
      <c r="A79" s="93"/>
      <c r="B79" s="90" t="s">
        <v>1052</v>
      </c>
      <c r="C79" s="91">
        <v>29</v>
      </c>
      <c r="D79" s="91">
        <v>0.6</v>
      </c>
      <c r="E79" s="91">
        <v>0.6</v>
      </c>
      <c r="F79" s="91"/>
      <c r="G79" s="91">
        <f t="shared" si="8"/>
        <v>0.36</v>
      </c>
      <c r="H79" s="91">
        <f t="shared" si="9"/>
        <v>10.44</v>
      </c>
      <c r="I79" s="91"/>
      <c r="K79" s="92"/>
    </row>
    <row r="80" spans="1:11" x14ac:dyDescent="0.25">
      <c r="A80" s="93"/>
      <c r="B80" s="94"/>
      <c r="C80" s="95"/>
      <c r="D80" s="95"/>
      <c r="E80" s="95"/>
      <c r="F80" s="95"/>
      <c r="G80" s="95"/>
      <c r="H80" s="95"/>
      <c r="I80" s="96"/>
      <c r="K80" s="92"/>
    </row>
    <row r="81" spans="1:11" ht="25.5" customHeight="1" x14ac:dyDescent="0.25">
      <c r="A81" s="85" t="s">
        <v>1091</v>
      </c>
      <c r="B81" s="267" t="str">
        <f>'[3]Itens Novos'!D12</f>
        <v>ALVENARIA DE TIJOLO CERÂMICO FURADO (9x19x19)cm C/ARGAMASSA MISTA DE CAL HIDRATADA ESP=20 cm</v>
      </c>
      <c r="C81" s="268"/>
      <c r="D81" s="268"/>
      <c r="E81" s="268"/>
      <c r="F81" s="268"/>
      <c r="G81" s="268"/>
      <c r="H81" s="268"/>
      <c r="I81" s="269"/>
      <c r="K81" s="92"/>
    </row>
    <row r="82" spans="1:11" x14ac:dyDescent="0.25">
      <c r="A82" s="86"/>
      <c r="B82" s="270"/>
      <c r="C82" s="271"/>
      <c r="D82" s="271"/>
      <c r="E82" s="271"/>
      <c r="F82" s="271"/>
      <c r="G82" s="271"/>
      <c r="H82" s="87">
        <f>ROUND(SUM(H83:H85),2)</f>
        <v>47.93</v>
      </c>
      <c r="I82" s="88" t="s">
        <v>1054</v>
      </c>
      <c r="K82" s="92"/>
    </row>
    <row r="83" spans="1:11" x14ac:dyDescent="0.25">
      <c r="A83" s="89"/>
      <c r="B83" s="90" t="s">
        <v>1048</v>
      </c>
      <c r="C83" s="91">
        <v>0</v>
      </c>
      <c r="D83" s="91">
        <v>71</v>
      </c>
      <c r="E83" s="91">
        <v>0.2</v>
      </c>
      <c r="F83" s="91"/>
      <c r="G83" s="91">
        <f>E83*D83</f>
        <v>14.200000000000001</v>
      </c>
      <c r="H83" s="91">
        <f>C83*G83</f>
        <v>0</v>
      </c>
      <c r="I83" s="91"/>
      <c r="K83" s="92"/>
    </row>
    <row r="84" spans="1:11" x14ac:dyDescent="0.25">
      <c r="A84" s="93"/>
      <c r="B84" s="90" t="s">
        <v>1050</v>
      </c>
      <c r="C84" s="91">
        <v>1</v>
      </c>
      <c r="D84" s="91">
        <v>74.31</v>
      </c>
      <c r="E84" s="91">
        <v>0.3</v>
      </c>
      <c r="F84" s="91"/>
      <c r="G84" s="91">
        <f t="shared" ref="G84:G85" si="10">E84*D84</f>
        <v>22.292999999999999</v>
      </c>
      <c r="H84" s="91">
        <f t="shared" ref="H84:H85" si="11">C84*G84</f>
        <v>22.292999999999999</v>
      </c>
      <c r="I84" s="91"/>
      <c r="K84" s="92"/>
    </row>
    <row r="85" spans="1:11" x14ac:dyDescent="0.25">
      <c r="A85" s="93"/>
      <c r="B85" s="90" t="s">
        <v>1052</v>
      </c>
      <c r="C85" s="91">
        <v>1</v>
      </c>
      <c r="D85" s="91">
        <v>85.44</v>
      </c>
      <c r="E85" s="91">
        <v>0.3</v>
      </c>
      <c r="F85" s="91"/>
      <c r="G85" s="91">
        <f t="shared" si="10"/>
        <v>25.631999999999998</v>
      </c>
      <c r="H85" s="91">
        <f t="shared" si="11"/>
        <v>25.631999999999998</v>
      </c>
      <c r="I85" s="91"/>
      <c r="K85" s="92"/>
    </row>
    <row r="86" spans="1:11" x14ac:dyDescent="0.25">
      <c r="A86" s="93"/>
      <c r="B86" s="94"/>
      <c r="C86" s="95"/>
      <c r="D86" s="95"/>
      <c r="E86" s="95"/>
      <c r="F86" s="95"/>
      <c r="G86" s="95"/>
      <c r="H86" s="95"/>
      <c r="I86" s="96"/>
      <c r="K86" s="92"/>
    </row>
    <row r="87" spans="1:11" ht="28.9" customHeight="1" x14ac:dyDescent="0.25">
      <c r="A87" s="85" t="s">
        <v>1092</v>
      </c>
      <c r="B87" s="267" t="str">
        <f>'[3]Itens Novos'!D13</f>
        <v>ALVENARIA DE VEDAÇÃO DE BLOCOS CERÂMICOS FURADOS NA HORIZONTAL DE 9X19X19 CM (ESPESSURA 9 CM) E ARGAMASSA DE ASSENTAMENTO COM PREPARO EM BETONEIRA. AF_12/2021</v>
      </c>
      <c r="C87" s="268"/>
      <c r="D87" s="268"/>
      <c r="E87" s="268"/>
      <c r="F87" s="268"/>
      <c r="G87" s="268"/>
      <c r="H87" s="268"/>
      <c r="I87" s="269"/>
      <c r="K87" s="92"/>
    </row>
    <row r="88" spans="1:11" ht="14.45" customHeight="1" x14ac:dyDescent="0.25">
      <c r="A88" s="86"/>
      <c r="B88" s="270"/>
      <c r="C88" s="271"/>
      <c r="D88" s="271"/>
      <c r="E88" s="271"/>
      <c r="F88" s="271"/>
      <c r="G88" s="271"/>
      <c r="H88" s="87">
        <f>ROUND(SUM(H89:H95),2)</f>
        <v>0</v>
      </c>
      <c r="I88" s="88" t="str">
        <f>'[2]REPROGRAMAÇÃO 01'!E26</f>
        <v>M²</v>
      </c>
      <c r="K88" s="92"/>
    </row>
    <row r="89" spans="1:11" x14ac:dyDescent="0.25">
      <c r="A89" s="104"/>
      <c r="B89" s="105" t="s">
        <v>1048</v>
      </c>
      <c r="C89" s="91">
        <v>0</v>
      </c>
      <c r="D89" s="91">
        <v>61</v>
      </c>
      <c r="E89" s="91">
        <v>0.5</v>
      </c>
      <c r="F89" s="91"/>
      <c r="G89" s="91">
        <f>E89*D89</f>
        <v>30.5</v>
      </c>
      <c r="H89" s="91">
        <f>C89*G89</f>
        <v>0</v>
      </c>
      <c r="I89" s="96"/>
      <c r="K89" s="92"/>
    </row>
    <row r="90" spans="1:11" x14ac:dyDescent="0.25">
      <c r="A90" s="104"/>
      <c r="B90" s="105" t="s">
        <v>1049</v>
      </c>
      <c r="C90" s="91">
        <v>0</v>
      </c>
      <c r="D90" s="91">
        <v>37.57</v>
      </c>
      <c r="E90" s="91">
        <v>0.5</v>
      </c>
      <c r="F90" s="91"/>
      <c r="G90" s="91">
        <f t="shared" ref="G90:G95" si="12">E90*D90</f>
        <v>18.785</v>
      </c>
      <c r="H90" s="91">
        <f t="shared" ref="H90:H93" si="13">C90*G90</f>
        <v>0</v>
      </c>
      <c r="I90" s="96"/>
      <c r="K90" s="92"/>
    </row>
    <row r="91" spans="1:11" x14ac:dyDescent="0.25">
      <c r="A91" s="104"/>
      <c r="B91" s="105" t="s">
        <v>1050</v>
      </c>
      <c r="C91" s="91">
        <v>0</v>
      </c>
      <c r="D91" s="91">
        <v>73.989999999999995</v>
      </c>
      <c r="E91" s="91">
        <v>0.5</v>
      </c>
      <c r="F91" s="91"/>
      <c r="G91" s="91">
        <f t="shared" si="12"/>
        <v>36.994999999999997</v>
      </c>
      <c r="H91" s="91">
        <f t="shared" si="13"/>
        <v>0</v>
      </c>
      <c r="I91" s="96"/>
      <c r="K91" s="92"/>
    </row>
    <row r="92" spans="1:11" x14ac:dyDescent="0.25">
      <c r="A92" s="104"/>
      <c r="B92" s="105" t="s">
        <v>1051</v>
      </c>
      <c r="C92" s="91">
        <v>0</v>
      </c>
      <c r="D92" s="91">
        <v>45.81</v>
      </c>
      <c r="E92" s="91">
        <v>2.2999999999999998</v>
      </c>
      <c r="F92" s="91"/>
      <c r="G92" s="91">
        <f t="shared" si="12"/>
        <v>105.363</v>
      </c>
      <c r="H92" s="91">
        <f t="shared" si="13"/>
        <v>0</v>
      </c>
      <c r="I92" s="96"/>
      <c r="K92" s="92"/>
    </row>
    <row r="93" spans="1:11" x14ac:dyDescent="0.25">
      <c r="A93" s="104"/>
      <c r="B93" s="105" t="s">
        <v>1052</v>
      </c>
      <c r="C93" s="91">
        <v>0</v>
      </c>
      <c r="D93" s="91">
        <v>85.44</v>
      </c>
      <c r="E93" s="91">
        <v>2.2999999999999998</v>
      </c>
      <c r="F93" s="91"/>
      <c r="G93" s="91">
        <f t="shared" si="12"/>
        <v>196.51199999999997</v>
      </c>
      <c r="H93" s="91">
        <f t="shared" si="13"/>
        <v>0</v>
      </c>
      <c r="I93" s="96"/>
      <c r="K93" s="92"/>
    </row>
    <row r="94" spans="1:11" x14ac:dyDescent="0.25">
      <c r="A94" s="104"/>
      <c r="B94" s="105" t="s">
        <v>1055</v>
      </c>
      <c r="C94" s="91">
        <v>0</v>
      </c>
      <c r="D94" s="91">
        <v>0.2</v>
      </c>
      <c r="E94" s="91">
        <v>0.5</v>
      </c>
      <c r="F94" s="91"/>
      <c r="G94" s="91">
        <f t="shared" si="12"/>
        <v>0.1</v>
      </c>
      <c r="H94" s="91">
        <f>-C94*G94</f>
        <v>0</v>
      </c>
      <c r="I94" s="96"/>
      <c r="K94" s="92"/>
    </row>
    <row r="95" spans="1:11" x14ac:dyDescent="0.25">
      <c r="A95" s="104"/>
      <c r="B95" s="105" t="s">
        <v>1056</v>
      </c>
      <c r="C95" s="91">
        <v>0</v>
      </c>
      <c r="D95" s="91">
        <v>0.2</v>
      </c>
      <c r="E95" s="91">
        <v>2.2999999999999998</v>
      </c>
      <c r="F95" s="91"/>
      <c r="G95" s="91">
        <f t="shared" si="12"/>
        <v>0.45999999999999996</v>
      </c>
      <c r="H95" s="91">
        <f>-C95*G95</f>
        <v>0</v>
      </c>
      <c r="I95" s="96"/>
      <c r="K95" s="92"/>
    </row>
    <row r="96" spans="1:11" x14ac:dyDescent="0.25">
      <c r="A96" s="104"/>
      <c r="B96" s="105"/>
      <c r="C96" s="91"/>
      <c r="D96" s="91"/>
      <c r="E96" s="91"/>
      <c r="F96" s="91"/>
      <c r="G96" s="91"/>
      <c r="H96" s="91"/>
      <c r="I96" s="96"/>
      <c r="K96" s="92"/>
    </row>
    <row r="97" spans="1:11" ht="28.9" customHeight="1" x14ac:dyDescent="0.25">
      <c r="A97" s="85" t="s">
        <v>1093</v>
      </c>
      <c r="B97" s="267" t="str">
        <f>'[3]Itens Novos'!D14</f>
        <v>FABRICAÇÃO, MONTAGEM E DESMONTAGEM DE FÔRMA PARA SAPATA, EM CHAPA DE MADEIRA COMPENSADA RESINADA, E=17 MM, 4 UTILIZAÇÕES. AF_06/2017</v>
      </c>
      <c r="C97" s="268"/>
      <c r="D97" s="268"/>
      <c r="E97" s="268"/>
      <c r="F97" s="268"/>
      <c r="G97" s="268"/>
      <c r="H97" s="268"/>
      <c r="I97" s="269"/>
      <c r="K97" s="92"/>
    </row>
    <row r="98" spans="1:11" ht="14.45" customHeight="1" x14ac:dyDescent="0.25">
      <c r="A98" s="86"/>
      <c r="B98" s="270"/>
      <c r="C98" s="271"/>
      <c r="D98" s="271"/>
      <c r="E98" s="271"/>
      <c r="F98" s="271"/>
      <c r="G98" s="271"/>
      <c r="H98" s="87">
        <f>ROUND(SUM(H99:H103),2)</f>
        <v>62.4</v>
      </c>
      <c r="I98" s="88" t="str">
        <f>'[2]REPROGRAMAÇÃO 01'!E29</f>
        <v>M³</v>
      </c>
      <c r="K98" s="92"/>
    </row>
    <row r="99" spans="1:11" x14ac:dyDescent="0.25">
      <c r="A99" s="89"/>
      <c r="B99" s="90" t="s">
        <v>1048</v>
      </c>
      <c r="C99" s="91">
        <v>21</v>
      </c>
      <c r="D99" s="91">
        <v>2.4</v>
      </c>
      <c r="E99" s="91">
        <v>0.25</v>
      </c>
      <c r="F99" s="91"/>
      <c r="G99" s="91">
        <f>E99*D99</f>
        <v>0.6</v>
      </c>
      <c r="H99" s="91">
        <f>C99*G99</f>
        <v>12.6</v>
      </c>
      <c r="I99" s="91"/>
      <c r="K99" s="92"/>
    </row>
    <row r="100" spans="1:11" x14ac:dyDescent="0.25">
      <c r="A100" s="93"/>
      <c r="B100" s="90" t="s">
        <v>1049</v>
      </c>
      <c r="C100" s="91">
        <v>13</v>
      </c>
      <c r="D100" s="91">
        <v>2.4</v>
      </c>
      <c r="E100" s="91">
        <v>0.25</v>
      </c>
      <c r="F100" s="91"/>
      <c r="G100" s="91">
        <f t="shared" ref="G100:G103" si="14">E100*D100</f>
        <v>0.6</v>
      </c>
      <c r="H100" s="91">
        <f t="shared" ref="H100:H103" si="15">C100*G100</f>
        <v>7.8</v>
      </c>
      <c r="I100" s="91"/>
      <c r="K100" s="92"/>
    </row>
    <row r="101" spans="1:11" x14ac:dyDescent="0.25">
      <c r="A101" s="93"/>
      <c r="B101" s="90" t="s">
        <v>1050</v>
      </c>
      <c r="C101" s="91">
        <v>25</v>
      </c>
      <c r="D101" s="91">
        <v>2.4</v>
      </c>
      <c r="E101" s="91">
        <v>0.25</v>
      </c>
      <c r="F101" s="91"/>
      <c r="G101" s="91">
        <f t="shared" si="14"/>
        <v>0.6</v>
      </c>
      <c r="H101" s="91">
        <f t="shared" si="15"/>
        <v>15</v>
      </c>
      <c r="I101" s="91"/>
      <c r="K101" s="92"/>
    </row>
    <row r="102" spans="1:11" x14ac:dyDescent="0.25">
      <c r="A102" s="93"/>
      <c r="B102" s="90" t="s">
        <v>1051</v>
      </c>
      <c r="C102" s="91">
        <v>16</v>
      </c>
      <c r="D102" s="91">
        <v>2.4</v>
      </c>
      <c r="E102" s="91">
        <v>0.25</v>
      </c>
      <c r="F102" s="91"/>
      <c r="G102" s="91">
        <f t="shared" si="14"/>
        <v>0.6</v>
      </c>
      <c r="H102" s="91">
        <f t="shared" si="15"/>
        <v>9.6</v>
      </c>
      <c r="I102" s="91"/>
      <c r="K102" s="92"/>
    </row>
    <row r="103" spans="1:11" x14ac:dyDescent="0.25">
      <c r="A103" s="93"/>
      <c r="B103" s="90" t="s">
        <v>1052</v>
      </c>
      <c r="C103" s="91">
        <v>29</v>
      </c>
      <c r="D103" s="91">
        <v>2.4</v>
      </c>
      <c r="E103" s="91">
        <v>0.25</v>
      </c>
      <c r="F103" s="91"/>
      <c r="G103" s="91">
        <f t="shared" si="14"/>
        <v>0.6</v>
      </c>
      <c r="H103" s="91">
        <f t="shared" si="15"/>
        <v>17.399999999999999</v>
      </c>
      <c r="I103" s="91"/>
      <c r="K103" s="92"/>
    </row>
    <row r="104" spans="1:11" x14ac:dyDescent="0.25">
      <c r="A104" s="93"/>
      <c r="B104" s="90"/>
      <c r="C104" s="91"/>
      <c r="D104" s="91"/>
      <c r="E104" s="91"/>
      <c r="F104" s="91"/>
      <c r="G104" s="91"/>
      <c r="H104" s="91"/>
      <c r="I104" s="91"/>
      <c r="K104" s="92"/>
    </row>
    <row r="105" spans="1:11" ht="26.25" customHeight="1" x14ac:dyDescent="0.25">
      <c r="A105" s="85" t="s">
        <v>1094</v>
      </c>
      <c r="B105" s="267" t="str">
        <f>'[3]Itens Novos'!D15</f>
        <v>FABRICAÇÃO, MONTAGEM E DESMONTAGEM DE FÔRMA PARA VIGA BALDRAME, EM CHAPA DE MADEIRA COMPENSADA RESINADA, E=17 MM, 4 UTILIZAÇÕES. AF_06/2017</v>
      </c>
      <c r="C105" s="268"/>
      <c r="D105" s="268"/>
      <c r="E105" s="268"/>
      <c r="F105" s="268"/>
      <c r="G105" s="268"/>
      <c r="H105" s="268"/>
      <c r="I105" s="269"/>
      <c r="K105" s="92"/>
    </row>
    <row r="106" spans="1:11" x14ac:dyDescent="0.25">
      <c r="A106" s="86"/>
      <c r="B106" s="270"/>
      <c r="C106" s="271"/>
      <c r="D106" s="271"/>
      <c r="E106" s="271"/>
      <c r="F106" s="271"/>
      <c r="G106" s="271"/>
      <c r="H106" s="87">
        <f>ROUND(SUM(H107:H108),2)</f>
        <v>0</v>
      </c>
      <c r="I106" s="88" t="str">
        <f>'[2]REPROGRAMAÇÃO 01'!E37</f>
        <v>M²</v>
      </c>
      <c r="K106" s="92"/>
    </row>
    <row r="107" spans="1:11" x14ac:dyDescent="0.25">
      <c r="A107" s="89"/>
      <c r="B107" s="90" t="s">
        <v>1051</v>
      </c>
      <c r="C107" s="91">
        <v>0</v>
      </c>
      <c r="D107" s="91">
        <v>45.81</v>
      </c>
      <c r="E107" s="91">
        <v>0.4</v>
      </c>
      <c r="F107" s="91"/>
      <c r="G107" s="91">
        <f>E107*D107</f>
        <v>18.324000000000002</v>
      </c>
      <c r="H107" s="91">
        <f>C107*G107</f>
        <v>0</v>
      </c>
      <c r="I107" s="91"/>
      <c r="K107" s="92"/>
    </row>
    <row r="108" spans="1:11" x14ac:dyDescent="0.25">
      <c r="A108" s="93"/>
      <c r="B108" s="90" t="s">
        <v>1052</v>
      </c>
      <c r="C108" s="91">
        <v>0</v>
      </c>
      <c r="D108" s="91">
        <v>85.44</v>
      </c>
      <c r="E108" s="91">
        <v>0.4</v>
      </c>
      <c r="F108" s="91"/>
      <c r="G108" s="91">
        <f t="shared" ref="G108" si="16">E108*D108</f>
        <v>34.176000000000002</v>
      </c>
      <c r="H108" s="91">
        <f t="shared" ref="H108" si="17">C108*G108</f>
        <v>0</v>
      </c>
      <c r="I108" s="91"/>
      <c r="K108" s="92"/>
    </row>
    <row r="109" spans="1:11" x14ac:dyDescent="0.25">
      <c r="A109" s="93"/>
      <c r="B109" s="90"/>
      <c r="C109" s="91"/>
      <c r="D109" s="91"/>
      <c r="E109" s="91"/>
      <c r="F109" s="91"/>
      <c r="G109" s="91"/>
      <c r="H109" s="91"/>
      <c r="I109" s="91"/>
      <c r="K109" s="92"/>
    </row>
    <row r="110" spans="1:11" x14ac:dyDescent="0.25">
      <c r="A110" s="93"/>
      <c r="B110" s="90"/>
      <c r="C110" s="91"/>
      <c r="D110" s="91"/>
      <c r="E110" s="91"/>
      <c r="F110" s="91"/>
      <c r="G110" s="91"/>
      <c r="H110" s="91"/>
      <c r="I110" s="91"/>
      <c r="K110" s="92"/>
    </row>
    <row r="111" spans="1:11" ht="32.25" customHeight="1" x14ac:dyDescent="0.25">
      <c r="A111" s="85" t="s">
        <v>1095</v>
      </c>
      <c r="B111" s="267" t="str">
        <f>'[3]Itens Novos'!D16</f>
        <v>MONTAGEM E DESMONTAGEM DE FÔRMA DE PILARES RETANGULARES E ESTRUTURAS SIMILARES, PÉ-DIREITO SIMPLES, EM CHAPA DE MADEIRA COMPENSADA RESINADA, 6 UTILIZAÇÕES. AF_09/2020</v>
      </c>
      <c r="C111" s="268"/>
      <c r="D111" s="268"/>
      <c r="E111" s="268"/>
      <c r="F111" s="268"/>
      <c r="G111" s="268"/>
      <c r="H111" s="268"/>
      <c r="I111" s="269"/>
      <c r="K111" s="92"/>
    </row>
    <row r="112" spans="1:11" ht="14.45" customHeight="1" x14ac:dyDescent="0.25">
      <c r="A112" s="86"/>
      <c r="B112" s="270"/>
      <c r="C112" s="271"/>
      <c r="D112" s="271"/>
      <c r="E112" s="271"/>
      <c r="F112" s="271"/>
      <c r="G112" s="271"/>
      <c r="H112" s="87">
        <f>ROUND(SUM(H113:H124),2)</f>
        <v>33.04</v>
      </c>
      <c r="I112" s="88" t="str">
        <f>'[2]REPROGRAMAÇÃO 01'!E30</f>
        <v>M²</v>
      </c>
      <c r="K112" s="92"/>
    </row>
    <row r="113" spans="1:11" x14ac:dyDescent="0.25">
      <c r="A113" s="89"/>
      <c r="B113" s="90" t="s">
        <v>1057</v>
      </c>
      <c r="C113" s="91"/>
      <c r="D113" s="91"/>
      <c r="E113" s="91"/>
      <c r="F113" s="91"/>
      <c r="G113" s="91"/>
      <c r="H113" s="91"/>
      <c r="I113" s="91"/>
      <c r="K113" s="92"/>
    </row>
    <row r="114" spans="1:11" x14ac:dyDescent="0.25">
      <c r="A114" s="93"/>
      <c r="B114" s="90" t="s">
        <v>1048</v>
      </c>
      <c r="C114" s="91">
        <v>21</v>
      </c>
      <c r="D114" s="91">
        <v>0.8</v>
      </c>
      <c r="E114" s="91">
        <v>0.7</v>
      </c>
      <c r="F114" s="91"/>
      <c r="G114" s="91">
        <f>E114*D114</f>
        <v>0.55999999999999994</v>
      </c>
      <c r="H114" s="91">
        <f>G114*C114</f>
        <v>11.759999999999998</v>
      </c>
      <c r="I114" s="91"/>
      <c r="K114" s="92"/>
    </row>
    <row r="115" spans="1:11" x14ac:dyDescent="0.25">
      <c r="A115" s="93"/>
      <c r="B115" s="90" t="s">
        <v>1049</v>
      </c>
      <c r="C115" s="91">
        <v>13</v>
      </c>
      <c r="D115" s="91">
        <v>0.8</v>
      </c>
      <c r="E115" s="91">
        <v>0.5</v>
      </c>
      <c r="F115" s="91"/>
      <c r="G115" s="91">
        <f t="shared" ref="G115:G118" si="18">E115*D115</f>
        <v>0.4</v>
      </c>
      <c r="H115" s="91">
        <f t="shared" ref="H115:H118" si="19">G115*C115</f>
        <v>5.2</v>
      </c>
      <c r="I115" s="91"/>
      <c r="K115" s="92"/>
    </row>
    <row r="116" spans="1:11" x14ac:dyDescent="0.25">
      <c r="A116" s="93"/>
      <c r="B116" s="90" t="s">
        <v>1050</v>
      </c>
      <c r="C116" s="91">
        <v>25</v>
      </c>
      <c r="D116" s="91">
        <v>0.8</v>
      </c>
      <c r="E116" s="91">
        <v>0.2</v>
      </c>
      <c r="F116" s="91"/>
      <c r="G116" s="91">
        <f t="shared" si="18"/>
        <v>0.16000000000000003</v>
      </c>
      <c r="H116" s="91">
        <f t="shared" si="19"/>
        <v>4.0000000000000009</v>
      </c>
      <c r="I116" s="91"/>
      <c r="K116" s="92"/>
    </row>
    <row r="117" spans="1:11" x14ac:dyDescent="0.25">
      <c r="A117" s="93"/>
      <c r="B117" s="90" t="s">
        <v>1051</v>
      </c>
      <c r="C117" s="91">
        <v>16</v>
      </c>
      <c r="D117" s="91">
        <v>0.8</v>
      </c>
      <c r="E117" s="91">
        <v>0.4</v>
      </c>
      <c r="F117" s="91"/>
      <c r="G117" s="91">
        <f t="shared" si="18"/>
        <v>0.32000000000000006</v>
      </c>
      <c r="H117" s="91">
        <f t="shared" si="19"/>
        <v>5.120000000000001</v>
      </c>
      <c r="I117" s="91"/>
      <c r="K117" s="92"/>
    </row>
    <row r="118" spans="1:11" x14ac:dyDescent="0.25">
      <c r="A118" s="93"/>
      <c r="B118" s="90" t="s">
        <v>1052</v>
      </c>
      <c r="C118" s="91">
        <v>29</v>
      </c>
      <c r="D118" s="91">
        <v>0.8</v>
      </c>
      <c r="E118" s="91">
        <v>0.3</v>
      </c>
      <c r="F118" s="91"/>
      <c r="G118" s="91">
        <f t="shared" si="18"/>
        <v>0.24</v>
      </c>
      <c r="H118" s="91">
        <f t="shared" si="19"/>
        <v>6.96</v>
      </c>
      <c r="I118" s="91"/>
      <c r="K118" s="92"/>
    </row>
    <row r="119" spans="1:11" x14ac:dyDescent="0.25">
      <c r="A119" s="93"/>
      <c r="B119" s="90" t="s">
        <v>1058</v>
      </c>
      <c r="C119" s="91"/>
      <c r="D119" s="91"/>
      <c r="E119" s="91"/>
      <c r="F119" s="91"/>
      <c r="G119" s="91"/>
      <c r="H119" s="91"/>
      <c r="I119" s="91"/>
      <c r="K119" s="92"/>
    </row>
    <row r="120" spans="1:11" x14ac:dyDescent="0.25">
      <c r="A120" s="93"/>
      <c r="B120" s="90" t="s">
        <v>1048</v>
      </c>
      <c r="C120" s="91">
        <v>0</v>
      </c>
      <c r="D120" s="91">
        <v>0.8</v>
      </c>
      <c r="E120" s="91">
        <v>0.6</v>
      </c>
      <c r="F120" s="91"/>
      <c r="G120" s="91">
        <f>E120*D120</f>
        <v>0.48</v>
      </c>
      <c r="H120" s="91">
        <f>G120*C120</f>
        <v>0</v>
      </c>
      <c r="I120" s="91"/>
      <c r="K120" s="92"/>
    </row>
    <row r="121" spans="1:11" x14ac:dyDescent="0.25">
      <c r="A121" s="93"/>
      <c r="B121" s="90" t="s">
        <v>1049</v>
      </c>
      <c r="C121" s="91">
        <v>0</v>
      </c>
      <c r="D121" s="91">
        <v>0.8</v>
      </c>
      <c r="E121" s="91">
        <v>0.6</v>
      </c>
      <c r="F121" s="91"/>
      <c r="G121" s="91">
        <f t="shared" ref="G121:G124" si="20">E121*D121</f>
        <v>0.48</v>
      </c>
      <c r="H121" s="91">
        <f t="shared" ref="H121:H124" si="21">G121*C121</f>
        <v>0</v>
      </c>
      <c r="I121" s="91"/>
      <c r="K121" s="92"/>
    </row>
    <row r="122" spans="1:11" x14ac:dyDescent="0.25">
      <c r="A122" s="93"/>
      <c r="B122" s="90" t="s">
        <v>1050</v>
      </c>
      <c r="C122" s="91">
        <v>0</v>
      </c>
      <c r="D122" s="91">
        <v>0.8</v>
      </c>
      <c r="E122" s="91">
        <v>0.6</v>
      </c>
      <c r="F122" s="91"/>
      <c r="G122" s="91">
        <f t="shared" si="20"/>
        <v>0.48</v>
      </c>
      <c r="H122" s="91">
        <f t="shared" si="21"/>
        <v>0</v>
      </c>
      <c r="I122" s="91"/>
      <c r="K122" s="92"/>
    </row>
    <row r="123" spans="1:11" x14ac:dyDescent="0.25">
      <c r="A123" s="93"/>
      <c r="B123" s="90" t="s">
        <v>1051</v>
      </c>
      <c r="C123" s="91">
        <v>0</v>
      </c>
      <c r="D123" s="91">
        <v>0.8</v>
      </c>
      <c r="E123" s="91">
        <v>0.7</v>
      </c>
      <c r="F123" s="91"/>
      <c r="G123" s="91">
        <f t="shared" si="20"/>
        <v>0.55999999999999994</v>
      </c>
      <c r="H123" s="91">
        <f t="shared" si="21"/>
        <v>0</v>
      </c>
      <c r="I123" s="91"/>
      <c r="K123" s="92"/>
    </row>
    <row r="124" spans="1:11" x14ac:dyDescent="0.25">
      <c r="A124" s="93"/>
      <c r="B124" s="90" t="s">
        <v>1052</v>
      </c>
      <c r="C124" s="91">
        <v>0</v>
      </c>
      <c r="D124" s="91">
        <v>0.8</v>
      </c>
      <c r="E124" s="91">
        <v>0.7</v>
      </c>
      <c r="F124" s="91"/>
      <c r="G124" s="91">
        <f t="shared" si="20"/>
        <v>0.55999999999999994</v>
      </c>
      <c r="H124" s="91">
        <f t="shared" si="21"/>
        <v>0</v>
      </c>
      <c r="I124" s="91"/>
      <c r="K124" s="92"/>
    </row>
    <row r="125" spans="1:11" x14ac:dyDescent="0.25">
      <c r="A125" s="93"/>
      <c r="B125" s="90"/>
      <c r="C125" s="91"/>
      <c r="D125" s="91"/>
      <c r="E125" s="91"/>
      <c r="F125" s="91"/>
      <c r="G125" s="91"/>
      <c r="H125" s="91"/>
      <c r="I125" s="91"/>
      <c r="K125" s="92"/>
    </row>
    <row r="126" spans="1:11" ht="30.75" customHeight="1" x14ac:dyDescent="0.25">
      <c r="A126" s="85" t="s">
        <v>1096</v>
      </c>
      <c r="B126" s="267" t="str">
        <f>'[3]Itens Novos'!D17</f>
        <v>MONTAGEM E DESMONTAGEM DE FÔRMA DE VIGA, ESCORAMENTO METÁLICO, PÉ-DIREITO SIMPLES, EM CHAPA DE MADEIRA RESINADA, 6 UTILIZAÇÕES. AF_09/2020</v>
      </c>
      <c r="C126" s="268"/>
      <c r="D126" s="268"/>
      <c r="E126" s="268"/>
      <c r="F126" s="268"/>
      <c r="G126" s="268"/>
      <c r="H126" s="268"/>
      <c r="I126" s="269"/>
      <c r="K126" s="92"/>
    </row>
    <row r="127" spans="1:11" x14ac:dyDescent="0.25">
      <c r="A127" s="86"/>
      <c r="B127" s="270"/>
      <c r="C127" s="271"/>
      <c r="D127" s="271"/>
      <c r="E127" s="271"/>
      <c r="F127" s="271"/>
      <c r="G127" s="271"/>
      <c r="H127" s="87">
        <f>ROUND(SUM(H128:H132),2)</f>
        <v>0</v>
      </c>
      <c r="I127" s="88" t="str">
        <f>'[2]REPROGRAMAÇÃO 01'!E32</f>
        <v>M³</v>
      </c>
      <c r="K127" s="92"/>
    </row>
    <row r="128" spans="1:11" x14ac:dyDescent="0.25">
      <c r="A128" s="93"/>
      <c r="B128" s="90" t="s">
        <v>1048</v>
      </c>
      <c r="C128" s="91">
        <v>0</v>
      </c>
      <c r="D128" s="91">
        <v>61.01</v>
      </c>
      <c r="E128" s="91">
        <v>0.2</v>
      </c>
      <c r="F128" s="91"/>
      <c r="G128" s="91">
        <f>E128*D128</f>
        <v>12.202</v>
      </c>
      <c r="H128" s="91">
        <f t="shared" ref="H128:H132" si="22">G128*C128</f>
        <v>0</v>
      </c>
      <c r="I128" s="91"/>
      <c r="K128" s="92"/>
    </row>
    <row r="129" spans="1:11" x14ac:dyDescent="0.25">
      <c r="A129" s="93"/>
      <c r="B129" s="90" t="s">
        <v>1049</v>
      </c>
      <c r="C129" s="91">
        <v>0</v>
      </c>
      <c r="D129" s="91">
        <v>37.479999999999997</v>
      </c>
      <c r="E129" s="91">
        <v>0.2</v>
      </c>
      <c r="F129" s="91"/>
      <c r="G129" s="91">
        <f t="shared" ref="G129:G132" si="23">E129*D129</f>
        <v>7.4959999999999996</v>
      </c>
      <c r="H129" s="91">
        <f t="shared" si="22"/>
        <v>0</v>
      </c>
      <c r="I129" s="91"/>
      <c r="K129" s="92"/>
    </row>
    <row r="130" spans="1:11" x14ac:dyDescent="0.25">
      <c r="A130" s="89"/>
      <c r="B130" s="90" t="s">
        <v>1050</v>
      </c>
      <c r="C130" s="91">
        <v>0</v>
      </c>
      <c r="D130" s="91">
        <v>74.31</v>
      </c>
      <c r="E130" s="91">
        <v>0.2</v>
      </c>
      <c r="F130" s="91"/>
      <c r="G130" s="91">
        <f t="shared" si="23"/>
        <v>14.862000000000002</v>
      </c>
      <c r="H130" s="91">
        <f t="shared" si="22"/>
        <v>0</v>
      </c>
      <c r="I130" s="91"/>
      <c r="K130" s="92"/>
    </row>
    <row r="131" spans="1:11" x14ac:dyDescent="0.25">
      <c r="A131" s="106"/>
      <c r="B131" s="106" t="s">
        <v>1051</v>
      </c>
      <c r="C131" s="91">
        <v>0</v>
      </c>
      <c r="D131" s="107">
        <v>45.81</v>
      </c>
      <c r="E131" s="107">
        <v>0.2</v>
      </c>
      <c r="F131" s="106"/>
      <c r="G131" s="91">
        <f t="shared" si="23"/>
        <v>9.1620000000000008</v>
      </c>
      <c r="H131" s="91">
        <f t="shared" si="22"/>
        <v>0</v>
      </c>
      <c r="I131" s="106"/>
      <c r="K131" s="92"/>
    </row>
    <row r="132" spans="1:11" ht="14.45" customHeight="1" x14ac:dyDescent="0.25">
      <c r="A132" s="106"/>
      <c r="B132" s="106" t="s">
        <v>1052</v>
      </c>
      <c r="C132" s="91">
        <v>0</v>
      </c>
      <c r="D132" s="107">
        <v>85.44</v>
      </c>
      <c r="E132" s="107">
        <v>0.2</v>
      </c>
      <c r="F132" s="106"/>
      <c r="G132" s="91">
        <f t="shared" si="23"/>
        <v>17.088000000000001</v>
      </c>
      <c r="H132" s="91">
        <f t="shared" si="22"/>
        <v>0</v>
      </c>
      <c r="I132" s="106"/>
      <c r="K132" s="92"/>
    </row>
    <row r="133" spans="1:11" x14ac:dyDescent="0.25">
      <c r="A133" s="89"/>
      <c r="B133" s="94"/>
      <c r="C133" s="91"/>
      <c r="D133" s="91"/>
      <c r="E133" s="91"/>
      <c r="F133" s="91"/>
      <c r="G133" s="91"/>
      <c r="H133" s="91"/>
      <c r="I133" s="91"/>
      <c r="K133" s="92"/>
    </row>
    <row r="134" spans="1:11" ht="28.9" customHeight="1" x14ac:dyDescent="0.25">
      <c r="A134" s="85" t="s">
        <v>1097</v>
      </c>
      <c r="B134" s="267" t="str">
        <f>'[3]Itens Novos'!D18</f>
        <v>ARMAÇÃO DE PILAR OU VIGA DE ESTRUTURA CONVENCIONAL DE CONCRETO ARMADO UTILIZANDO AÇO CA-60 DE 5,0 MM - MONTAGEM. AF_06/2022</v>
      </c>
      <c r="C134" s="268"/>
      <c r="D134" s="268"/>
      <c r="E134" s="268"/>
      <c r="F134" s="268"/>
      <c r="G134" s="268"/>
      <c r="H134" s="268"/>
      <c r="I134" s="269"/>
      <c r="K134" s="92"/>
    </row>
    <row r="135" spans="1:11" ht="14.45" customHeight="1" x14ac:dyDescent="0.25">
      <c r="A135" s="86"/>
      <c r="B135" s="270"/>
      <c r="C135" s="271"/>
      <c r="D135" s="271"/>
      <c r="E135" s="271"/>
      <c r="F135" s="271"/>
      <c r="G135" s="271"/>
      <c r="H135" s="87">
        <f>ROUND(SUM(H136:H140),2)</f>
        <v>169.65</v>
      </c>
      <c r="I135" s="88" t="s">
        <v>128</v>
      </c>
      <c r="K135" s="92"/>
    </row>
    <row r="136" spans="1:11" x14ac:dyDescent="0.25">
      <c r="A136" s="89"/>
      <c r="B136" s="90" t="s">
        <v>1059</v>
      </c>
      <c r="C136" s="91">
        <v>104</v>
      </c>
      <c r="D136" s="91">
        <v>1.2</v>
      </c>
      <c r="E136" s="91">
        <v>0.68</v>
      </c>
      <c r="F136" s="74">
        <f>(D136/0.1)*E136</f>
        <v>8.16</v>
      </c>
      <c r="G136" s="91">
        <f>F136*C136</f>
        <v>848.64</v>
      </c>
      <c r="H136" s="74">
        <f>G136*0.154</f>
        <v>130.69056</v>
      </c>
      <c r="I136" s="91"/>
      <c r="K136" s="92"/>
    </row>
    <row r="137" spans="1:11" x14ac:dyDescent="0.25">
      <c r="A137" s="93"/>
      <c r="B137" s="90" t="s">
        <v>1060</v>
      </c>
      <c r="C137" s="91">
        <v>62</v>
      </c>
      <c r="D137" s="91">
        <v>0.6</v>
      </c>
      <c r="E137" s="91">
        <v>0.68</v>
      </c>
      <c r="F137" s="74">
        <f t="shared" ref="F137:F138" si="24">(D137/0.1)*E137</f>
        <v>4.08</v>
      </c>
      <c r="G137" s="91">
        <f t="shared" ref="G137:G140" si="25">F137*C137</f>
        <v>252.96</v>
      </c>
      <c r="H137" s="74">
        <f t="shared" ref="H137:H140" si="26">G137*0.154</f>
        <v>38.955840000000002</v>
      </c>
      <c r="I137" s="91"/>
      <c r="K137" s="92"/>
    </row>
    <row r="138" spans="1:11" x14ac:dyDescent="0.25">
      <c r="A138" s="93"/>
      <c r="B138" s="90" t="s">
        <v>1061</v>
      </c>
      <c r="C138" s="91">
        <v>0</v>
      </c>
      <c r="D138" s="91">
        <v>2.5</v>
      </c>
      <c r="E138" s="91">
        <v>0.68</v>
      </c>
      <c r="F138" s="74">
        <f t="shared" si="24"/>
        <v>17</v>
      </c>
      <c r="G138" s="91">
        <f t="shared" si="25"/>
        <v>0</v>
      </c>
      <c r="H138" s="74">
        <f t="shared" si="26"/>
        <v>0</v>
      </c>
      <c r="I138" s="91"/>
      <c r="K138" s="92"/>
    </row>
    <row r="139" spans="1:11" x14ac:dyDescent="0.25">
      <c r="A139" s="93"/>
      <c r="B139" s="90" t="s">
        <v>1062</v>
      </c>
      <c r="C139" s="91">
        <v>0</v>
      </c>
      <c r="D139" s="91">
        <v>131.25</v>
      </c>
      <c r="E139" s="91">
        <v>0.48</v>
      </c>
      <c r="F139" s="74">
        <f>(D139/0.15)*E139</f>
        <v>420</v>
      </c>
      <c r="G139" s="91">
        <f t="shared" si="25"/>
        <v>0</v>
      </c>
      <c r="H139" s="74">
        <f t="shared" si="26"/>
        <v>0</v>
      </c>
      <c r="I139" s="91"/>
      <c r="K139" s="92"/>
    </row>
    <row r="140" spans="1:11" x14ac:dyDescent="0.25">
      <c r="A140" s="93"/>
      <c r="B140" s="90" t="s">
        <v>1063</v>
      </c>
      <c r="C140" s="91">
        <v>0</v>
      </c>
      <c r="D140" s="91">
        <v>314.05</v>
      </c>
      <c r="E140" s="91">
        <v>0.28000000000000003</v>
      </c>
      <c r="F140" s="74">
        <f>(D140/0.15)*E140</f>
        <v>586.2266666666668</v>
      </c>
      <c r="G140" s="91">
        <f t="shared" si="25"/>
        <v>0</v>
      </c>
      <c r="H140" s="74">
        <f t="shared" si="26"/>
        <v>0</v>
      </c>
      <c r="I140" s="91"/>
      <c r="K140" s="92"/>
    </row>
    <row r="141" spans="1:11" x14ac:dyDescent="0.25">
      <c r="A141" s="93"/>
      <c r="B141" s="90"/>
      <c r="C141" s="91"/>
      <c r="D141" s="91"/>
      <c r="E141" s="91"/>
      <c r="F141" s="91"/>
      <c r="G141" s="91"/>
      <c r="H141" s="91"/>
      <c r="I141" s="91"/>
      <c r="K141" s="92"/>
    </row>
    <row r="142" spans="1:11" ht="28.9" customHeight="1" x14ac:dyDescent="0.25">
      <c r="A142" s="85" t="s">
        <v>1098</v>
      </c>
      <c r="B142" s="267" t="str">
        <f>'[3]Itens Novos'!D19</f>
        <v>ARMAÇÃO DE PILAR OU VIGA DE ESTRUTURA CONVENCIONAL DE CONCRETO ARMADO UTILIZANDO AÇO CA-50 DE 8,0 MM - MONTAGEM. AF_06/2022</v>
      </c>
      <c r="C142" s="268"/>
      <c r="D142" s="268"/>
      <c r="E142" s="268"/>
      <c r="F142" s="268"/>
      <c r="G142" s="268"/>
      <c r="H142" s="268"/>
      <c r="I142" s="269"/>
      <c r="K142" s="92"/>
    </row>
    <row r="143" spans="1:11" ht="14.45" customHeight="1" x14ac:dyDescent="0.25">
      <c r="A143" s="86"/>
      <c r="B143" s="270"/>
      <c r="C143" s="271"/>
      <c r="D143" s="271"/>
      <c r="E143" s="271"/>
      <c r="F143" s="271"/>
      <c r="G143" s="271"/>
      <c r="H143" s="87">
        <f>ROUND(SUM(H144:H145),2)</f>
        <v>611.6</v>
      </c>
      <c r="I143" s="88" t="s">
        <v>128</v>
      </c>
      <c r="K143" s="92"/>
    </row>
    <row r="144" spans="1:11" x14ac:dyDescent="0.25">
      <c r="A144" s="89"/>
      <c r="B144" s="90" t="s">
        <v>1064</v>
      </c>
      <c r="C144" s="91">
        <v>104</v>
      </c>
      <c r="D144" s="91">
        <v>0.82</v>
      </c>
      <c r="E144" s="91">
        <v>12</v>
      </c>
      <c r="F144" s="91">
        <f>E144*D144</f>
        <v>9.84</v>
      </c>
      <c r="G144" s="91">
        <f>F144*C144</f>
        <v>1023.36</v>
      </c>
      <c r="H144" s="91">
        <f>G144*0.395</f>
        <v>404.22720000000004</v>
      </c>
      <c r="I144" s="91"/>
      <c r="K144" s="92"/>
    </row>
    <row r="145" spans="1:11" x14ac:dyDescent="0.25">
      <c r="A145" s="93"/>
      <c r="B145" s="90" t="s">
        <v>1062</v>
      </c>
      <c r="C145" s="91">
        <v>1</v>
      </c>
      <c r="D145" s="91">
        <v>131.25</v>
      </c>
      <c r="E145" s="91">
        <v>4</v>
      </c>
      <c r="F145" s="91">
        <f>E145*D145</f>
        <v>525</v>
      </c>
      <c r="G145" s="91">
        <f>F145*C145</f>
        <v>525</v>
      </c>
      <c r="H145" s="91">
        <f>G145*0.395</f>
        <v>207.375</v>
      </c>
      <c r="I145" s="91"/>
      <c r="K145" s="92"/>
    </row>
    <row r="146" spans="1:11" x14ac:dyDescent="0.25">
      <c r="A146" s="93"/>
      <c r="B146" s="90"/>
      <c r="C146" s="91"/>
      <c r="D146" s="91"/>
      <c r="E146" s="91"/>
      <c r="F146" s="91"/>
      <c r="G146" s="91"/>
      <c r="H146" s="91"/>
      <c r="I146" s="91"/>
      <c r="K146" s="92"/>
    </row>
    <row r="147" spans="1:11" x14ac:dyDescent="0.25">
      <c r="A147" s="93"/>
      <c r="B147" s="90"/>
      <c r="C147" s="91"/>
      <c r="D147" s="91"/>
      <c r="E147" s="91"/>
      <c r="F147" s="91"/>
      <c r="G147" s="91"/>
      <c r="H147" s="91"/>
      <c r="I147" s="91"/>
      <c r="K147" s="92"/>
    </row>
    <row r="148" spans="1:11" ht="30.75" customHeight="1" x14ac:dyDescent="0.25">
      <c r="A148" s="85" t="s">
        <v>1099</v>
      </c>
      <c r="B148" s="267" t="str">
        <f>'[3]Itens Novos'!D20</f>
        <v>ARMAÇÃO DE PILAR OU VIGA DE ESTRUTURA CONVENCIONAL DE CONCRETO ARMADO UTILIZANDO AÇO CA-50 DE 10,0 MM - MONTAGEM. AF_06/2022</v>
      </c>
      <c r="C148" s="268"/>
      <c r="D148" s="268"/>
      <c r="E148" s="268"/>
      <c r="F148" s="268"/>
      <c r="G148" s="268"/>
      <c r="H148" s="268"/>
      <c r="I148" s="269"/>
    </row>
    <row r="149" spans="1:11" x14ac:dyDescent="0.25">
      <c r="A149" s="86"/>
      <c r="B149" s="270"/>
      <c r="C149" s="271"/>
      <c r="D149" s="271"/>
      <c r="E149" s="271"/>
      <c r="F149" s="271"/>
      <c r="G149" s="271"/>
      <c r="H149" s="87">
        <f>ROUND(SUM(H150:H152),2)</f>
        <v>602.92999999999995</v>
      </c>
      <c r="I149" s="88" t="s">
        <v>128</v>
      </c>
    </row>
    <row r="150" spans="1:11" x14ac:dyDescent="0.25">
      <c r="A150" s="89"/>
      <c r="B150" s="94" t="s">
        <v>1059</v>
      </c>
      <c r="C150" s="91">
        <v>107</v>
      </c>
      <c r="D150" s="91">
        <v>1.7000000000000002</v>
      </c>
      <c r="E150" s="91">
        <v>4</v>
      </c>
      <c r="F150" s="91">
        <f>E150*D150</f>
        <v>6.8000000000000007</v>
      </c>
      <c r="G150" s="91">
        <f>F150*C150</f>
        <v>727.6</v>
      </c>
      <c r="H150" s="91">
        <f>G150*0.617</f>
        <v>448.92920000000004</v>
      </c>
      <c r="I150" s="91"/>
      <c r="K150" s="92"/>
    </row>
    <row r="151" spans="1:11" x14ac:dyDescent="0.25">
      <c r="A151" s="93"/>
      <c r="B151" s="90" t="s">
        <v>1065</v>
      </c>
      <c r="C151" s="91">
        <v>59</v>
      </c>
      <c r="D151" s="91">
        <v>0.6</v>
      </c>
      <c r="E151" s="91">
        <v>4</v>
      </c>
      <c r="F151" s="91">
        <f t="shared" ref="F151:F152" si="27">E151*D151</f>
        <v>2.4</v>
      </c>
      <c r="G151" s="91">
        <f t="shared" ref="G151:G152" si="28">F151*C151</f>
        <v>141.6</v>
      </c>
      <c r="H151" s="91">
        <f t="shared" ref="H151:H152" si="29">G151*0.617</f>
        <v>87.367199999999997</v>
      </c>
      <c r="I151" s="91"/>
      <c r="K151" s="92"/>
    </row>
    <row r="152" spans="1:11" x14ac:dyDescent="0.25">
      <c r="A152" s="93"/>
      <c r="B152" s="90" t="s">
        <v>1066</v>
      </c>
      <c r="C152" s="91">
        <v>45</v>
      </c>
      <c r="D152" s="91">
        <v>0.6</v>
      </c>
      <c r="E152" s="91">
        <v>4</v>
      </c>
      <c r="F152" s="91">
        <f t="shared" si="27"/>
        <v>2.4</v>
      </c>
      <c r="G152" s="91">
        <f t="shared" si="28"/>
        <v>108</v>
      </c>
      <c r="H152" s="91">
        <f t="shared" si="29"/>
        <v>66.635999999999996</v>
      </c>
      <c r="I152" s="91"/>
      <c r="K152" s="92"/>
    </row>
    <row r="153" spans="1:11" x14ac:dyDescent="0.25">
      <c r="A153" s="93"/>
      <c r="B153" s="90"/>
      <c r="C153" s="91"/>
      <c r="D153" s="91"/>
      <c r="E153" s="91"/>
      <c r="F153" s="91"/>
      <c r="G153" s="91"/>
      <c r="H153" s="91"/>
      <c r="I153" s="91"/>
      <c r="K153" s="92"/>
    </row>
    <row r="154" spans="1:11" ht="26.25" customHeight="1" x14ac:dyDescent="0.25">
      <c r="A154" s="85" t="s">
        <v>1100</v>
      </c>
      <c r="B154" s="267" t="str">
        <f>'[3]Itens Novos'!D21</f>
        <v>CONCRETO FCK = 20MPA, TRAÇO 1:2,7:3 (EM MASSA SECA DE CIMENTO/ AREIA MÉDIA/ BRITA 1) - PREPARO MECÂNICO COM BETONEIRA 400 L. AF_05/2021</v>
      </c>
      <c r="C154" s="268"/>
      <c r="D154" s="268"/>
      <c r="E154" s="268"/>
      <c r="F154" s="268"/>
      <c r="G154" s="268"/>
      <c r="H154" s="268"/>
      <c r="I154" s="269"/>
    </row>
    <row r="155" spans="1:11" x14ac:dyDescent="0.25">
      <c r="A155" s="86"/>
      <c r="B155" s="270"/>
      <c r="C155" s="271"/>
      <c r="D155" s="271"/>
      <c r="E155" s="271"/>
      <c r="F155" s="271"/>
      <c r="G155" s="271"/>
      <c r="H155" s="87">
        <f>ROUND(SUM(H156:H161),2)</f>
        <v>13.92</v>
      </c>
      <c r="I155" s="88" t="s">
        <v>1053</v>
      </c>
    </row>
    <row r="156" spans="1:11" x14ac:dyDescent="0.25">
      <c r="A156" s="108"/>
      <c r="B156" s="98" t="s">
        <v>1067</v>
      </c>
      <c r="C156" s="91">
        <v>104</v>
      </c>
      <c r="D156" s="91">
        <v>0.6</v>
      </c>
      <c r="E156" s="91">
        <v>0.6</v>
      </c>
      <c r="F156" s="91">
        <v>0.25</v>
      </c>
      <c r="G156" s="74">
        <f>F156*E156*D156</f>
        <v>0.09</v>
      </c>
      <c r="H156" s="91">
        <f>G156*C156</f>
        <v>9.36</v>
      </c>
      <c r="I156" s="103"/>
    </row>
    <row r="157" spans="1:11" x14ac:dyDescent="0.25">
      <c r="A157" s="108"/>
      <c r="B157" s="98" t="s">
        <v>1068</v>
      </c>
      <c r="C157" s="91">
        <v>104</v>
      </c>
      <c r="D157" s="91">
        <v>0.2</v>
      </c>
      <c r="E157" s="91">
        <v>0.2</v>
      </c>
      <c r="F157" s="91">
        <v>0.6</v>
      </c>
      <c r="G157" s="74">
        <f t="shared" ref="G157:G161" si="30">F157*E157*D157</f>
        <v>2.4E-2</v>
      </c>
      <c r="H157" s="91">
        <f t="shared" ref="H157:H161" si="31">G157*C157</f>
        <v>2.496</v>
      </c>
      <c r="I157" s="103"/>
    </row>
    <row r="158" spans="1:11" x14ac:dyDescent="0.25">
      <c r="A158" s="108"/>
      <c r="B158" s="98" t="s">
        <v>1061</v>
      </c>
      <c r="C158" s="91">
        <v>41</v>
      </c>
      <c r="D158" s="91">
        <v>0.2</v>
      </c>
      <c r="E158" s="91">
        <v>0.2</v>
      </c>
      <c r="F158" s="91">
        <v>0.6</v>
      </c>
      <c r="G158" s="74">
        <f t="shared" si="30"/>
        <v>2.4E-2</v>
      </c>
      <c r="H158" s="91">
        <f t="shared" si="31"/>
        <v>0.98399999999999999</v>
      </c>
      <c r="I158" s="103"/>
    </row>
    <row r="159" spans="1:11" x14ac:dyDescent="0.25">
      <c r="A159" s="108"/>
      <c r="B159" s="98" t="s">
        <v>1061</v>
      </c>
      <c r="C159" s="99">
        <v>45</v>
      </c>
      <c r="D159" s="99">
        <v>0.2</v>
      </c>
      <c r="E159" s="99">
        <v>0.2</v>
      </c>
      <c r="F159" s="99">
        <v>0.6</v>
      </c>
      <c r="G159" s="74">
        <f t="shared" si="30"/>
        <v>2.4E-2</v>
      </c>
      <c r="H159" s="91">
        <f t="shared" si="31"/>
        <v>1.08</v>
      </c>
      <c r="I159" s="103"/>
    </row>
    <row r="160" spans="1:11" x14ac:dyDescent="0.25">
      <c r="A160" s="108"/>
      <c r="B160" s="98" t="s">
        <v>1062</v>
      </c>
      <c r="C160" s="99">
        <v>0</v>
      </c>
      <c r="D160" s="99">
        <v>0.2</v>
      </c>
      <c r="E160" s="99">
        <v>0.1</v>
      </c>
      <c r="F160" s="99">
        <v>131.25</v>
      </c>
      <c r="G160" s="74">
        <f t="shared" si="30"/>
        <v>2.625</v>
      </c>
      <c r="H160" s="91">
        <f t="shared" si="31"/>
        <v>0</v>
      </c>
      <c r="I160" s="103"/>
    </row>
    <row r="161" spans="1:11" x14ac:dyDescent="0.25">
      <c r="A161" s="89"/>
      <c r="B161" s="90" t="s">
        <v>1063</v>
      </c>
      <c r="C161" s="91">
        <v>0</v>
      </c>
      <c r="D161" s="91">
        <v>0.1</v>
      </c>
      <c r="E161" s="91">
        <v>0.1</v>
      </c>
      <c r="F161" s="91">
        <v>314.05</v>
      </c>
      <c r="G161" s="74">
        <f t="shared" si="30"/>
        <v>3.1405000000000003</v>
      </c>
      <c r="H161" s="91">
        <f t="shared" si="31"/>
        <v>0</v>
      </c>
      <c r="I161" s="91"/>
      <c r="K161" s="92"/>
    </row>
    <row r="162" spans="1:11" x14ac:dyDescent="0.25">
      <c r="A162" s="93"/>
      <c r="B162" s="94"/>
      <c r="C162" s="95"/>
      <c r="D162" s="95"/>
      <c r="E162" s="95"/>
      <c r="F162" s="95"/>
      <c r="G162" s="95"/>
      <c r="H162" s="95"/>
      <c r="I162" s="96"/>
      <c r="K162" s="92"/>
    </row>
    <row r="163" spans="1:11" x14ac:dyDescent="0.25">
      <c r="A163" s="85" t="s">
        <v>1101</v>
      </c>
      <c r="B163" s="267" t="str">
        <f>'[3]Itens Novos'!D22</f>
        <v>LANÇAMENTO COM USO DE BALDES, ADENSAMENTO E ACABAMENTO DE CONCRETO EM ESTRUTURAS. AF_02/2022</v>
      </c>
      <c r="C163" s="268"/>
      <c r="D163" s="268"/>
      <c r="E163" s="268"/>
      <c r="F163" s="268"/>
      <c r="G163" s="268"/>
      <c r="H163" s="268"/>
      <c r="I163" s="269"/>
    </row>
    <row r="164" spans="1:11" x14ac:dyDescent="0.25">
      <c r="A164" s="86"/>
      <c r="B164" s="270"/>
      <c r="C164" s="271"/>
      <c r="D164" s="271"/>
      <c r="E164" s="271"/>
      <c r="F164" s="271"/>
      <c r="G164" s="271"/>
      <c r="H164" s="87">
        <f>ROUND(SUM(H165:H170),2)</f>
        <v>13.92</v>
      </c>
      <c r="I164" s="88" t="s">
        <v>1053</v>
      </c>
    </row>
    <row r="165" spans="1:11" x14ac:dyDescent="0.25">
      <c r="A165" s="89"/>
      <c r="B165" s="98" t="s">
        <v>1067</v>
      </c>
      <c r="C165" s="91">
        <v>104</v>
      </c>
      <c r="D165" s="91">
        <v>0.6</v>
      </c>
      <c r="E165" s="91">
        <v>0.6</v>
      </c>
      <c r="F165" s="91">
        <v>0.25</v>
      </c>
      <c r="G165" s="74">
        <f>F165*E165*D165</f>
        <v>0.09</v>
      </c>
      <c r="H165" s="91">
        <f>G165*C165</f>
        <v>9.36</v>
      </c>
      <c r="I165" s="91"/>
      <c r="K165" s="92"/>
    </row>
    <row r="166" spans="1:11" x14ac:dyDescent="0.25">
      <c r="A166" s="93"/>
      <c r="B166" s="98" t="s">
        <v>1068</v>
      </c>
      <c r="C166" s="91">
        <v>104</v>
      </c>
      <c r="D166" s="91">
        <v>0.2</v>
      </c>
      <c r="E166" s="91">
        <v>0.2</v>
      </c>
      <c r="F166" s="91">
        <v>0.6</v>
      </c>
      <c r="G166" s="74">
        <f t="shared" ref="G166:G170" si="32">F166*E166*D166</f>
        <v>2.4E-2</v>
      </c>
      <c r="H166" s="91">
        <f t="shared" ref="H166:H170" si="33">G166*C166</f>
        <v>2.496</v>
      </c>
      <c r="I166" s="91"/>
      <c r="K166" s="92"/>
    </row>
    <row r="167" spans="1:11" x14ac:dyDescent="0.25">
      <c r="A167" s="93"/>
      <c r="B167" s="98" t="s">
        <v>1061</v>
      </c>
      <c r="C167" s="91">
        <v>41</v>
      </c>
      <c r="D167" s="91">
        <v>0.2</v>
      </c>
      <c r="E167" s="91">
        <v>0.2</v>
      </c>
      <c r="F167" s="91">
        <v>0.6</v>
      </c>
      <c r="G167" s="74">
        <f t="shared" si="32"/>
        <v>2.4E-2</v>
      </c>
      <c r="H167" s="91">
        <f t="shared" si="33"/>
        <v>0.98399999999999999</v>
      </c>
      <c r="I167" s="91"/>
      <c r="K167" s="92"/>
    </row>
    <row r="168" spans="1:11" x14ac:dyDescent="0.25">
      <c r="A168" s="93"/>
      <c r="B168" s="98" t="s">
        <v>1061</v>
      </c>
      <c r="C168" s="99">
        <v>45</v>
      </c>
      <c r="D168" s="99">
        <v>0.2</v>
      </c>
      <c r="E168" s="99">
        <v>0.2</v>
      </c>
      <c r="F168" s="99">
        <v>0.6</v>
      </c>
      <c r="G168" s="74">
        <f t="shared" si="32"/>
        <v>2.4E-2</v>
      </c>
      <c r="H168" s="91">
        <f t="shared" si="33"/>
        <v>1.08</v>
      </c>
      <c r="I168" s="91"/>
      <c r="K168" s="92"/>
    </row>
    <row r="169" spans="1:11" x14ac:dyDescent="0.25">
      <c r="A169" s="93"/>
      <c r="B169" s="98" t="s">
        <v>1062</v>
      </c>
      <c r="C169" s="99">
        <v>0</v>
      </c>
      <c r="D169" s="99">
        <v>0.2</v>
      </c>
      <c r="E169" s="99">
        <v>0.1</v>
      </c>
      <c r="F169" s="99">
        <v>131.25</v>
      </c>
      <c r="G169" s="74">
        <f t="shared" si="32"/>
        <v>2.625</v>
      </c>
      <c r="H169" s="91">
        <f t="shared" si="33"/>
        <v>0</v>
      </c>
      <c r="I169" s="91"/>
      <c r="K169" s="92"/>
    </row>
    <row r="170" spans="1:11" x14ac:dyDescent="0.25">
      <c r="A170" s="93"/>
      <c r="B170" s="90" t="s">
        <v>1063</v>
      </c>
      <c r="C170" s="91">
        <v>0</v>
      </c>
      <c r="D170" s="91">
        <v>0.1</v>
      </c>
      <c r="E170" s="91">
        <v>0.1</v>
      </c>
      <c r="F170" s="91">
        <v>314.05</v>
      </c>
      <c r="G170" s="74">
        <f t="shared" si="32"/>
        <v>3.1405000000000003</v>
      </c>
      <c r="H170" s="91">
        <f t="shared" si="33"/>
        <v>0</v>
      </c>
      <c r="I170" s="91"/>
      <c r="K170" s="92"/>
    </row>
    <row r="171" spans="1:11" x14ac:dyDescent="0.25">
      <c r="A171" s="93"/>
      <c r="B171" s="90"/>
      <c r="C171" s="91"/>
      <c r="D171" s="91"/>
      <c r="E171" s="91"/>
      <c r="F171" s="91"/>
      <c r="G171" s="91"/>
      <c r="H171" s="91"/>
      <c r="I171" s="91"/>
      <c r="K171" s="92"/>
    </row>
    <row r="172" spans="1:11" x14ac:dyDescent="0.25">
      <c r="A172" s="85" t="s">
        <v>1102</v>
      </c>
      <c r="B172" s="267" t="str">
        <f>'[3]Itens Novos'!D23</f>
        <v>Grade em metalon</v>
      </c>
      <c r="C172" s="268"/>
      <c r="D172" s="268"/>
      <c r="E172" s="268"/>
      <c r="F172" s="268"/>
      <c r="G172" s="268"/>
      <c r="H172" s="268"/>
      <c r="I172" s="269"/>
    </row>
    <row r="173" spans="1:11" x14ac:dyDescent="0.25">
      <c r="A173" s="86"/>
      <c r="B173" s="270"/>
      <c r="C173" s="271"/>
      <c r="D173" s="271"/>
      <c r="E173" s="271"/>
      <c r="F173" s="271"/>
      <c r="G173" s="271"/>
      <c r="H173" s="87">
        <f>ROUND(SUM(H174:H176),2)</f>
        <v>0</v>
      </c>
      <c r="I173" s="88" t="s">
        <v>1054</v>
      </c>
    </row>
    <row r="174" spans="1:11" x14ac:dyDescent="0.25">
      <c r="A174" s="89"/>
      <c r="B174" s="94" t="s">
        <v>1048</v>
      </c>
      <c r="C174" s="91">
        <v>0</v>
      </c>
      <c r="D174" s="91">
        <v>61</v>
      </c>
      <c r="E174" s="91">
        <v>1.5</v>
      </c>
      <c r="F174" s="91"/>
      <c r="G174" s="91">
        <f>E174*D174</f>
        <v>91.5</v>
      </c>
      <c r="H174" s="91">
        <f>G174*C174</f>
        <v>0</v>
      </c>
      <c r="I174" s="91"/>
      <c r="K174" s="92"/>
    </row>
    <row r="175" spans="1:11" x14ac:dyDescent="0.25">
      <c r="A175" s="93"/>
      <c r="B175" s="94" t="s">
        <v>1049</v>
      </c>
      <c r="C175" s="91">
        <v>0</v>
      </c>
      <c r="D175" s="91">
        <v>37.57</v>
      </c>
      <c r="E175" s="91">
        <v>1.5</v>
      </c>
      <c r="F175" s="91"/>
      <c r="G175" s="91">
        <f t="shared" ref="G175:G176" si="34">E175*D175</f>
        <v>56.355000000000004</v>
      </c>
      <c r="H175" s="91">
        <f t="shared" ref="H175:H176" si="35">G175*C175</f>
        <v>0</v>
      </c>
      <c r="I175" s="91"/>
      <c r="K175" s="92"/>
    </row>
    <row r="176" spans="1:11" x14ac:dyDescent="0.25">
      <c r="A176" s="93"/>
      <c r="B176" s="94" t="s">
        <v>1050</v>
      </c>
      <c r="C176" s="91">
        <v>0</v>
      </c>
      <c r="D176" s="91">
        <v>73.989999999999995</v>
      </c>
      <c r="E176" s="91">
        <v>1.5</v>
      </c>
      <c r="F176" s="91"/>
      <c r="G176" s="91">
        <f t="shared" si="34"/>
        <v>110.98499999999999</v>
      </c>
      <c r="H176" s="91">
        <f t="shared" si="35"/>
        <v>0</v>
      </c>
      <c r="I176" s="91"/>
      <c r="K176" s="92"/>
    </row>
    <row r="177" spans="1:11" x14ac:dyDescent="0.25">
      <c r="A177" s="89"/>
      <c r="B177" s="90"/>
      <c r="C177" s="91"/>
      <c r="D177" s="91"/>
      <c r="E177" s="91"/>
      <c r="F177" s="91"/>
      <c r="G177" s="91"/>
      <c r="H177" s="91"/>
      <c r="I177" s="91"/>
      <c r="K177" s="92"/>
    </row>
    <row r="178" spans="1:11" ht="43.5" customHeight="1" x14ac:dyDescent="0.25">
      <c r="A178" s="85" t="str">
        <f>'[2]REPROGRAMAÇÃO 01'!A44</f>
        <v>1.5.8</v>
      </c>
      <c r="B178" s="267" t="str">
        <f>'[3]Itens Novos'!D25</f>
        <v>ESCAVAÇÃO VERTICAL A CÉU ABERTO, EM OBRAS DE EDIFICAÇÃO, INCLUINDO CARGA, DESCARGA E TRANSPORTE, EM SOLO DE 1ª CATEGORIA COM ESCAVADEIRA HIDRÁULICA (CAÇAMBA: 0,8 M³ / 111 HP), FROTA DE 4 CAMINHÕES BASCULANTES D
E 14 M³, DMT DE 2 KM E VELOCIDADE MÉDIA 19KM/H. AF_05/2020</v>
      </c>
      <c r="C178" s="268"/>
      <c r="D178" s="268"/>
      <c r="E178" s="268"/>
      <c r="F178" s="268"/>
      <c r="G178" s="268"/>
      <c r="H178" s="268"/>
      <c r="I178" s="269"/>
    </row>
    <row r="179" spans="1:11" x14ac:dyDescent="0.25">
      <c r="A179" s="86"/>
      <c r="B179" s="270"/>
      <c r="C179" s="271"/>
      <c r="D179" s="271"/>
      <c r="E179" s="271"/>
      <c r="F179" s="271"/>
      <c r="G179" s="271"/>
      <c r="H179" s="87">
        <f>ROUND(SUM(H180:H181),2)</f>
        <v>339.43</v>
      </c>
      <c r="I179" s="88" t="s">
        <v>1053</v>
      </c>
    </row>
    <row r="180" spans="1:11" x14ac:dyDescent="0.25">
      <c r="A180" s="89"/>
      <c r="B180" s="94" t="s">
        <v>1069</v>
      </c>
      <c r="C180" s="91">
        <v>0</v>
      </c>
      <c r="D180" s="91"/>
      <c r="E180" s="91"/>
      <c r="F180" s="91"/>
      <c r="G180" s="91">
        <v>853.87</v>
      </c>
      <c r="H180" s="91">
        <f>G180*C180</f>
        <v>0</v>
      </c>
      <c r="I180" s="91"/>
      <c r="K180" s="92"/>
    </row>
    <row r="181" spans="1:11" x14ac:dyDescent="0.25">
      <c r="A181" s="93"/>
      <c r="B181" s="94" t="s">
        <v>1070</v>
      </c>
      <c r="C181" s="91">
        <v>1</v>
      </c>
      <c r="D181" s="91">
        <v>49.7</v>
      </c>
      <c r="E181" s="91">
        <v>45.53</v>
      </c>
      <c r="F181" s="91">
        <v>0.3</v>
      </c>
      <c r="G181">
        <f>((D181*E181)/2)*F181</f>
        <v>339.42615000000006</v>
      </c>
      <c r="H181" s="91">
        <f>G181*C181</f>
        <v>339.42615000000006</v>
      </c>
      <c r="I181" s="91"/>
      <c r="K181" s="92"/>
    </row>
    <row r="182" spans="1:11" x14ac:dyDescent="0.25">
      <c r="A182" s="93"/>
      <c r="B182" s="94"/>
      <c r="C182" s="95"/>
      <c r="D182" s="95"/>
      <c r="E182" s="95"/>
      <c r="F182" s="95"/>
      <c r="G182" s="95"/>
      <c r="H182" s="95"/>
      <c r="I182" s="96"/>
      <c r="K182" s="92"/>
    </row>
    <row r="183" spans="1:11" x14ac:dyDescent="0.25">
      <c r="A183" s="85" t="str">
        <f>'[2]REPROGRAMAÇÃO 01'!A45</f>
        <v>1.5.9</v>
      </c>
      <c r="B183" s="267" t="str">
        <f>'[3]Itens Novos'!D26</f>
        <v>ATERRO C/COMPACTAÇÃO MECÂNICA E CONTROLE, MAT. DE AQUISIÇÃO</v>
      </c>
      <c r="C183" s="268"/>
      <c r="D183" s="268"/>
      <c r="E183" s="268"/>
      <c r="F183" s="268"/>
      <c r="G183" s="268"/>
      <c r="H183" s="268"/>
      <c r="I183" s="269"/>
    </row>
    <row r="184" spans="1:11" x14ac:dyDescent="0.25">
      <c r="A184" s="86"/>
      <c r="B184" s="270"/>
      <c r="C184" s="271"/>
      <c r="D184" s="271"/>
      <c r="E184" s="271"/>
      <c r="F184" s="271"/>
      <c r="G184" s="271"/>
      <c r="H184" s="87">
        <f>SUM(H185:H186)</f>
        <v>1481.1586500000001</v>
      </c>
      <c r="I184" s="88" t="s">
        <v>1053</v>
      </c>
    </row>
    <row r="185" spans="1:11" x14ac:dyDescent="0.25">
      <c r="A185" s="89"/>
      <c r="B185" s="94" t="s">
        <v>1071</v>
      </c>
      <c r="C185" s="91">
        <v>71</v>
      </c>
      <c r="D185" s="91">
        <v>43.5</v>
      </c>
      <c r="E185" s="91">
        <v>37.5</v>
      </c>
      <c r="F185" s="91">
        <v>0.5</v>
      </c>
      <c r="G185" s="91">
        <f>((C185+D185)/2)*E185*F185</f>
        <v>1073.4375</v>
      </c>
      <c r="H185" s="91">
        <f>G185</f>
        <v>1073.4375</v>
      </c>
      <c r="I185" s="91"/>
      <c r="K185" s="92"/>
    </row>
    <row r="186" spans="1:11" x14ac:dyDescent="0.25">
      <c r="A186" s="93"/>
      <c r="B186" s="94" t="s">
        <v>1072</v>
      </c>
      <c r="C186" s="91">
        <v>1</v>
      </c>
      <c r="D186" s="91">
        <v>59.7</v>
      </c>
      <c r="E186" s="91">
        <v>45.53</v>
      </c>
      <c r="F186" s="91">
        <v>0.3</v>
      </c>
      <c r="G186" s="109">
        <f>((D186*E186)/2)*F186</f>
        <v>407.72115000000002</v>
      </c>
      <c r="H186" s="91">
        <f>G186*C186</f>
        <v>407.72115000000002</v>
      </c>
      <c r="I186" s="96"/>
      <c r="K186" s="92"/>
    </row>
    <row r="187" spans="1:11" x14ac:dyDescent="0.25">
      <c r="A187" s="93"/>
      <c r="B187" s="94"/>
      <c r="C187" s="95"/>
      <c r="D187" s="95"/>
      <c r="E187" s="95"/>
      <c r="F187" s="95"/>
      <c r="G187" s="95"/>
      <c r="H187" s="95"/>
      <c r="I187" s="96"/>
      <c r="K187" s="92"/>
    </row>
    <row r="188" spans="1:11" ht="28.9" customHeight="1" x14ac:dyDescent="0.25">
      <c r="A188" s="85" t="str">
        <f>'[2]REPROGRAMAÇÃO 01'!A47</f>
        <v>1.6.1</v>
      </c>
      <c r="B188" s="267" t="str">
        <f>'[3]Itens Novos'!D27</f>
        <v>Aterro de áreas sem aquisição de material, com espalhamento mecânico, sem compactação e sem transporte</v>
      </c>
      <c r="C188" s="268"/>
      <c r="D188" s="268"/>
      <c r="E188" s="268"/>
      <c r="F188" s="268"/>
      <c r="G188" s="268"/>
      <c r="H188" s="268"/>
      <c r="I188" s="269"/>
    </row>
    <row r="189" spans="1:11" x14ac:dyDescent="0.25">
      <c r="A189" s="86"/>
      <c r="B189" s="270"/>
      <c r="C189" s="271"/>
      <c r="D189" s="271"/>
      <c r="E189" s="271"/>
      <c r="F189" s="271"/>
      <c r="G189" s="271"/>
      <c r="H189" s="87">
        <f>ROUND(SUM(H190:H191),2)</f>
        <v>1481.16</v>
      </c>
      <c r="I189" s="88" t="s">
        <v>1053</v>
      </c>
    </row>
    <row r="190" spans="1:11" x14ac:dyDescent="0.25">
      <c r="A190" s="89"/>
      <c r="B190" s="94" t="s">
        <v>1071</v>
      </c>
      <c r="C190" s="91">
        <v>71</v>
      </c>
      <c r="D190" s="91">
        <v>43.5</v>
      </c>
      <c r="E190" s="91">
        <v>37.5</v>
      </c>
      <c r="F190" s="91">
        <v>0.5</v>
      </c>
      <c r="G190" s="91">
        <f>((C190+D190)/2)*E190*F190</f>
        <v>1073.4375</v>
      </c>
      <c r="H190" s="91">
        <f>G190</f>
        <v>1073.4375</v>
      </c>
      <c r="I190" s="91"/>
      <c r="K190" s="92"/>
    </row>
    <row r="191" spans="1:11" x14ac:dyDescent="0.25">
      <c r="B191" s="94" t="s">
        <v>1072</v>
      </c>
      <c r="C191" s="91">
        <v>1</v>
      </c>
      <c r="D191" s="91">
        <v>59.7</v>
      </c>
      <c r="E191" s="91">
        <v>45.53</v>
      </c>
      <c r="F191" s="91">
        <v>0.3</v>
      </c>
      <c r="G191" s="110">
        <f>((D191*E191)/2)*F191</f>
        <v>407.72115000000002</v>
      </c>
      <c r="H191" s="91">
        <f>G191*C191</f>
        <v>407.72115000000002</v>
      </c>
    </row>
  </sheetData>
  <mergeCells count="58">
    <mergeCell ref="B58:G58"/>
    <mergeCell ref="A1:I1"/>
    <mergeCell ref="A2:I2"/>
    <mergeCell ref="A3:I3"/>
    <mergeCell ref="A4:I4"/>
    <mergeCell ref="A5:A6"/>
    <mergeCell ref="B5:B6"/>
    <mergeCell ref="C5:F5"/>
    <mergeCell ref="G5:H5"/>
    <mergeCell ref="I5:I6"/>
    <mergeCell ref="B35:I35"/>
    <mergeCell ref="B36:G36"/>
    <mergeCell ref="B48:I48"/>
    <mergeCell ref="B49:G49"/>
    <mergeCell ref="B57:I57"/>
    <mergeCell ref="B7:I7"/>
    <mergeCell ref="B87:I87"/>
    <mergeCell ref="B88:G88"/>
    <mergeCell ref="B97:I97"/>
    <mergeCell ref="B98:G98"/>
    <mergeCell ref="B105:I105"/>
    <mergeCell ref="B66:G66"/>
    <mergeCell ref="B73:I73"/>
    <mergeCell ref="B74:G74"/>
    <mergeCell ref="B81:I81"/>
    <mergeCell ref="B82:G82"/>
    <mergeCell ref="B184:G184"/>
    <mergeCell ref="B188:I188"/>
    <mergeCell ref="B189:G189"/>
    <mergeCell ref="B20:I20"/>
    <mergeCell ref="B21:G21"/>
    <mergeCell ref="B25:G25"/>
    <mergeCell ref="B29:G29"/>
    <mergeCell ref="B163:I163"/>
    <mergeCell ref="B164:G164"/>
    <mergeCell ref="B172:I172"/>
    <mergeCell ref="B173:G173"/>
    <mergeCell ref="B178:I178"/>
    <mergeCell ref="B179:G179"/>
    <mergeCell ref="B142:I142"/>
    <mergeCell ref="B143:G143"/>
    <mergeCell ref="B148:I148"/>
    <mergeCell ref="B8:G8"/>
    <mergeCell ref="B11:G11"/>
    <mergeCell ref="B14:G14"/>
    <mergeCell ref="B17:G17"/>
    <mergeCell ref="B183:I183"/>
    <mergeCell ref="B149:G149"/>
    <mergeCell ref="B154:I154"/>
    <mergeCell ref="B155:G155"/>
    <mergeCell ref="B111:I111"/>
    <mergeCell ref="B112:G112"/>
    <mergeCell ref="B126:I126"/>
    <mergeCell ref="B127:G127"/>
    <mergeCell ref="B134:I134"/>
    <mergeCell ref="B135:G135"/>
    <mergeCell ref="B106:G106"/>
    <mergeCell ref="B65:I65"/>
  </mergeCells>
  <conditionalFormatting sqref="B7:B8">
    <cfRule type="expression" dxfId="25" priority="4" stopIfTrue="1">
      <formula>#REF!=1</formula>
    </cfRule>
  </conditionalFormatting>
  <conditionalFormatting sqref="B11">
    <cfRule type="expression" dxfId="24" priority="3" stopIfTrue="1">
      <formula>#REF!=1</formula>
    </cfRule>
  </conditionalFormatting>
  <conditionalFormatting sqref="B14">
    <cfRule type="expression" dxfId="23" priority="2" stopIfTrue="1">
      <formula>#REF!=1</formula>
    </cfRule>
  </conditionalFormatting>
  <conditionalFormatting sqref="B17">
    <cfRule type="expression" dxfId="22" priority="1" stopIfTrue="1">
      <formula>#REF!=1</formula>
    </cfRule>
  </conditionalFormatting>
  <conditionalFormatting sqref="B20:B21">
    <cfRule type="expression" dxfId="21" priority="8" stopIfTrue="1">
      <formula>#REF!=1</formula>
    </cfRule>
  </conditionalFormatting>
  <conditionalFormatting sqref="B25">
    <cfRule type="expression" dxfId="20" priority="6" stopIfTrue="1">
      <formula>#REF!=1</formula>
    </cfRule>
  </conditionalFormatting>
  <conditionalFormatting sqref="B29">
    <cfRule type="expression" dxfId="19" priority="10" stopIfTrue="1">
      <formula>#REF!=1</formula>
    </cfRule>
  </conditionalFormatting>
  <conditionalFormatting sqref="B35:B36">
    <cfRule type="expression" dxfId="18" priority="51" stopIfTrue="1">
      <formula>#REF!=1</formula>
    </cfRule>
  </conditionalFormatting>
  <conditionalFormatting sqref="B48:B49">
    <cfRule type="expression" dxfId="17" priority="47" stopIfTrue="1">
      <formula>#REF!=1</formula>
    </cfRule>
  </conditionalFormatting>
  <conditionalFormatting sqref="B57:B66">
    <cfRule type="expression" dxfId="16" priority="45" stopIfTrue="1">
      <formula>#REF!=1</formula>
    </cfRule>
  </conditionalFormatting>
  <conditionalFormatting sqref="B73:B74">
    <cfRule type="expression" dxfId="15" priority="31" stopIfTrue="1">
      <formula>#REF!=1</formula>
    </cfRule>
  </conditionalFormatting>
  <conditionalFormatting sqref="B81:B82">
    <cfRule type="expression" dxfId="14" priority="12" stopIfTrue="1">
      <formula>#REF!=1</formula>
    </cfRule>
  </conditionalFormatting>
  <conditionalFormatting sqref="B87:B88">
    <cfRule type="expression" dxfId="13" priority="43" stopIfTrue="1">
      <formula>#REF!=1</formula>
    </cfRule>
  </conditionalFormatting>
  <conditionalFormatting sqref="B97:B98">
    <cfRule type="expression" dxfId="12" priority="41" stopIfTrue="1">
      <formula>#REF!=1</formula>
    </cfRule>
  </conditionalFormatting>
  <conditionalFormatting sqref="B105:B106">
    <cfRule type="expression" dxfId="11" priority="15" stopIfTrue="1">
      <formula>#REF!=1</formula>
    </cfRule>
  </conditionalFormatting>
  <conditionalFormatting sqref="B111:B112">
    <cfRule type="expression" dxfId="10" priority="29" stopIfTrue="1">
      <formula>#REF!=1</formula>
    </cfRule>
  </conditionalFormatting>
  <conditionalFormatting sqref="B126:B127">
    <cfRule type="expression" dxfId="9" priority="35" stopIfTrue="1">
      <formula>#REF!=1</formula>
    </cfRule>
  </conditionalFormatting>
  <conditionalFormatting sqref="B134:B135">
    <cfRule type="expression" dxfId="8" priority="39" stopIfTrue="1">
      <formula>#REF!=1</formula>
    </cfRule>
  </conditionalFormatting>
  <conditionalFormatting sqref="B142:B143">
    <cfRule type="expression" dxfId="7" priority="37" stopIfTrue="1">
      <formula>#REF!=1</formula>
    </cfRule>
  </conditionalFormatting>
  <conditionalFormatting sqref="B148:B149">
    <cfRule type="expression" dxfId="6" priority="27" stopIfTrue="1">
      <formula>#REF!=1</formula>
    </cfRule>
  </conditionalFormatting>
  <conditionalFormatting sqref="B154:B160">
    <cfRule type="expression" dxfId="5" priority="25" stopIfTrue="1">
      <formula>#REF!=1</formula>
    </cfRule>
  </conditionalFormatting>
  <conditionalFormatting sqref="B163:B169">
    <cfRule type="expression" dxfId="4" priority="14" stopIfTrue="1">
      <formula>#REF!=1</formula>
    </cfRule>
  </conditionalFormatting>
  <conditionalFormatting sqref="B172:B173">
    <cfRule type="expression" dxfId="3" priority="21" stopIfTrue="1">
      <formula>#REF!=1</formula>
    </cfRule>
  </conditionalFormatting>
  <conditionalFormatting sqref="B178:B179">
    <cfRule type="expression" dxfId="2" priority="19" stopIfTrue="1">
      <formula>#REF!=1</formula>
    </cfRule>
  </conditionalFormatting>
  <conditionalFormatting sqref="B183:B184">
    <cfRule type="expression" dxfId="1" priority="17" stopIfTrue="1">
      <formula>#REF!=1</formula>
    </cfRule>
  </conditionalFormatting>
  <conditionalFormatting sqref="B188:B189">
    <cfRule type="expression" dxfId="0" priority="33" stopIfTrue="1">
      <formula>#REF!=1</formula>
    </cfRule>
  </conditionalFormatting>
  <pageMargins left="0.51181102362204722" right="0.51181102362204722" top="0.78740157480314965" bottom="0.78740157480314965" header="0.31496062992125984" footer="0.31496062992125984"/>
  <pageSetup paperSize="9" scale="75"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91"/>
  <sheetViews>
    <sheetView topLeftCell="A24" zoomScale="85" zoomScaleNormal="85" workbookViewId="0">
      <selection activeCell="G35" sqref="G35"/>
    </sheetView>
  </sheetViews>
  <sheetFormatPr defaultRowHeight="15" x14ac:dyDescent="0.25"/>
  <cols>
    <col min="2" max="2" width="78.7109375" customWidth="1"/>
    <col min="3" max="3" width="8.7109375" customWidth="1"/>
    <col min="4" max="4" width="8.85546875" hidden="1" customWidth="1"/>
    <col min="5" max="5" width="10.140625" bestFit="1" customWidth="1"/>
    <col min="6" max="6" width="9" bestFit="1" customWidth="1"/>
    <col min="7" max="7" width="10.140625" customWidth="1"/>
    <col min="8" max="8" width="10.7109375" customWidth="1"/>
    <col min="9" max="9" width="17" bestFit="1" customWidth="1"/>
    <col min="10" max="11" width="14" customWidth="1"/>
    <col min="12" max="12" width="9.85546875" customWidth="1"/>
  </cols>
  <sheetData>
    <row r="1" spans="1:17" s="28" customFormat="1" ht="12.75" customHeight="1" x14ac:dyDescent="0.25">
      <c r="A1" s="25"/>
      <c r="B1" s="26"/>
      <c r="C1" s="177" t="s">
        <v>1004</v>
      </c>
      <c r="D1" s="177"/>
      <c r="E1" s="177"/>
      <c r="F1" s="177"/>
      <c r="G1" s="177"/>
      <c r="H1" s="177"/>
      <c r="I1" s="177"/>
      <c r="J1" s="177"/>
      <c r="K1" s="177"/>
      <c r="L1" s="178"/>
      <c r="M1" s="27"/>
      <c r="N1" s="27"/>
      <c r="O1" s="27"/>
      <c r="P1" s="27"/>
      <c r="Q1" s="27"/>
    </row>
    <row r="2" spans="1:17" s="28" customFormat="1" ht="12.75" customHeight="1" x14ac:dyDescent="0.25">
      <c r="A2" s="25"/>
      <c r="B2" s="26"/>
      <c r="C2" s="177"/>
      <c r="D2" s="177"/>
      <c r="E2" s="177"/>
      <c r="F2" s="177"/>
      <c r="G2" s="177"/>
      <c r="H2" s="177"/>
      <c r="I2" s="177"/>
      <c r="J2" s="177"/>
      <c r="K2" s="177"/>
      <c r="L2" s="178"/>
      <c r="M2" s="27"/>
      <c r="N2" s="27"/>
      <c r="O2" s="27"/>
      <c r="P2" s="27"/>
      <c r="Q2" s="27"/>
    </row>
    <row r="3" spans="1:17" s="28" customFormat="1" ht="12.75" customHeight="1" x14ac:dyDescent="0.25">
      <c r="A3" s="25"/>
      <c r="C3" s="177"/>
      <c r="D3" s="177"/>
      <c r="E3" s="177"/>
      <c r="F3" s="177"/>
      <c r="G3" s="177"/>
      <c r="H3" s="177"/>
      <c r="I3" s="177"/>
      <c r="J3" s="177"/>
      <c r="K3" s="177"/>
      <c r="L3" s="178"/>
      <c r="M3" s="27"/>
      <c r="N3" s="27"/>
      <c r="O3" s="27"/>
      <c r="P3" s="27"/>
      <c r="Q3" s="27"/>
    </row>
    <row r="4" spans="1:17" s="28" customFormat="1" ht="12.75" customHeight="1" x14ac:dyDescent="0.25">
      <c r="A4" s="25"/>
      <c r="B4" s="29" t="s">
        <v>978</v>
      </c>
      <c r="C4" s="177"/>
      <c r="D4" s="177"/>
      <c r="E4" s="177"/>
      <c r="F4" s="177"/>
      <c r="G4" s="177"/>
      <c r="H4" s="177"/>
      <c r="I4" s="177"/>
      <c r="J4" s="177"/>
      <c r="K4" s="177"/>
      <c r="L4" s="178"/>
      <c r="M4" s="27"/>
      <c r="N4" s="27"/>
      <c r="O4" s="27"/>
      <c r="P4" s="27"/>
      <c r="Q4" s="27"/>
    </row>
    <row r="5" spans="1:17" s="28" customFormat="1" ht="12.75" customHeight="1" x14ac:dyDescent="0.25">
      <c r="A5" s="30"/>
      <c r="B5" s="29" t="s">
        <v>979</v>
      </c>
      <c r="C5" s="179"/>
      <c r="D5" s="179"/>
      <c r="E5" s="179"/>
      <c r="F5" s="179"/>
      <c r="G5" s="179"/>
      <c r="H5" s="179"/>
      <c r="I5" s="179"/>
      <c r="J5" s="179"/>
      <c r="K5" s="179"/>
      <c r="L5" s="180"/>
      <c r="M5" s="27"/>
      <c r="N5" s="27"/>
      <c r="O5" s="27"/>
      <c r="P5" s="27"/>
      <c r="Q5" s="27"/>
    </row>
    <row r="6" spans="1:17" s="28" customFormat="1" ht="24" customHeight="1" x14ac:dyDescent="0.25">
      <c r="A6" s="181" t="s">
        <v>980</v>
      </c>
      <c r="B6" s="182"/>
      <c r="C6" s="182"/>
      <c r="D6" s="182"/>
      <c r="E6" s="182"/>
      <c r="F6" s="183"/>
      <c r="G6" s="184" t="s">
        <v>981</v>
      </c>
      <c r="H6" s="185"/>
      <c r="I6" s="185"/>
      <c r="J6" s="186"/>
      <c r="K6" s="31" t="s">
        <v>982</v>
      </c>
      <c r="L6" s="31" t="s">
        <v>983</v>
      </c>
      <c r="M6" s="27"/>
      <c r="N6" s="27"/>
      <c r="O6" s="27"/>
      <c r="P6" s="27"/>
      <c r="Q6" s="27"/>
    </row>
    <row r="7" spans="1:17" s="28" customFormat="1" ht="12.75" customHeight="1" x14ac:dyDescent="0.25">
      <c r="A7" s="187" t="s">
        <v>64</v>
      </c>
      <c r="B7" s="188"/>
      <c r="C7" s="188"/>
      <c r="D7" s="188"/>
      <c r="E7" s="188"/>
      <c r="F7" s="189"/>
      <c r="G7" s="187" t="s">
        <v>979</v>
      </c>
      <c r="H7" s="188"/>
      <c r="I7" s="188"/>
      <c r="J7" s="189"/>
      <c r="K7" s="176"/>
      <c r="L7" s="193" t="s">
        <v>1003</v>
      </c>
      <c r="M7" s="27"/>
      <c r="N7" s="27"/>
      <c r="O7" s="27"/>
      <c r="P7" s="27"/>
      <c r="Q7" s="27"/>
    </row>
    <row r="8" spans="1:17" s="28" customFormat="1" ht="6" customHeight="1" x14ac:dyDescent="0.25">
      <c r="A8" s="190"/>
      <c r="B8" s="191"/>
      <c r="C8" s="191"/>
      <c r="D8" s="191"/>
      <c r="E8" s="191"/>
      <c r="F8" s="192"/>
      <c r="G8" s="190"/>
      <c r="H8" s="191"/>
      <c r="I8" s="191"/>
      <c r="J8" s="192"/>
      <c r="K8" s="176"/>
      <c r="L8" s="194"/>
      <c r="M8" s="27"/>
      <c r="N8" s="27"/>
      <c r="O8" s="27"/>
      <c r="P8" s="27"/>
      <c r="Q8" s="27"/>
    </row>
    <row r="9" spans="1:17" s="28" customFormat="1" ht="29.45" customHeight="1" x14ac:dyDescent="0.25">
      <c r="A9" s="181" t="s">
        <v>984</v>
      </c>
      <c r="B9" s="182"/>
      <c r="C9" s="182"/>
      <c r="D9" s="182"/>
      <c r="E9" s="182"/>
      <c r="F9" s="183"/>
      <c r="G9" s="195" t="s">
        <v>985</v>
      </c>
      <c r="H9" s="195"/>
      <c r="I9" s="195"/>
      <c r="J9" s="195"/>
      <c r="K9" s="32" t="s">
        <v>986</v>
      </c>
      <c r="L9" s="33" t="s">
        <v>987</v>
      </c>
      <c r="M9" s="27"/>
      <c r="N9" s="27"/>
      <c r="O9" s="27"/>
      <c r="P9" s="27"/>
      <c r="Q9" s="27"/>
    </row>
    <row r="10" spans="1:17" s="28" customFormat="1" ht="12.75" customHeight="1" x14ac:dyDescent="0.25">
      <c r="A10" s="187" t="s">
        <v>1005</v>
      </c>
      <c r="B10" s="188"/>
      <c r="C10" s="188"/>
      <c r="D10" s="188"/>
      <c r="E10" s="188"/>
      <c r="F10" s="189"/>
      <c r="G10" s="196" t="s">
        <v>1028</v>
      </c>
      <c r="H10" s="196"/>
      <c r="I10" s="196"/>
      <c r="J10" s="196"/>
      <c r="K10" s="176">
        <v>45035</v>
      </c>
      <c r="L10" s="176">
        <v>45492</v>
      </c>
      <c r="M10" s="27"/>
      <c r="N10" s="27"/>
      <c r="O10" s="27"/>
      <c r="P10" s="27"/>
      <c r="Q10" s="27"/>
    </row>
    <row r="11" spans="1:17" s="28" customFormat="1" ht="3.6" customHeight="1" x14ac:dyDescent="0.25">
      <c r="A11" s="190"/>
      <c r="B11" s="191"/>
      <c r="C11" s="191"/>
      <c r="D11" s="191"/>
      <c r="E11" s="191"/>
      <c r="F11" s="192"/>
      <c r="G11" s="196"/>
      <c r="H11" s="196"/>
      <c r="I11" s="196"/>
      <c r="J11" s="196"/>
      <c r="K11" s="176"/>
      <c r="L11" s="176"/>
      <c r="M11" s="27"/>
      <c r="N11" s="27"/>
      <c r="O11" s="27"/>
      <c r="P11" s="27"/>
      <c r="Q11" s="27"/>
    </row>
    <row r="12" spans="1:17" s="28" customFormat="1" ht="12.75" x14ac:dyDescent="0.25">
      <c r="A12" s="195" t="s">
        <v>988</v>
      </c>
      <c r="B12" s="195"/>
      <c r="C12" s="195" t="s">
        <v>989</v>
      </c>
      <c r="D12" s="195"/>
      <c r="E12" s="195"/>
      <c r="F12" s="195"/>
      <c r="G12" s="195" t="s">
        <v>990</v>
      </c>
      <c r="H12" s="195"/>
      <c r="I12" s="202" t="s">
        <v>991</v>
      </c>
      <c r="J12" s="202"/>
      <c r="K12" s="203" t="s">
        <v>992</v>
      </c>
      <c r="L12" s="203"/>
      <c r="M12" s="27"/>
      <c r="N12" s="27"/>
      <c r="O12" s="27"/>
      <c r="P12" s="27"/>
      <c r="Q12" s="27"/>
    </row>
    <row r="13" spans="1:17" s="28" customFormat="1" ht="12.75" x14ac:dyDescent="0.25">
      <c r="A13" s="196" t="s">
        <v>1029</v>
      </c>
      <c r="B13" s="196"/>
      <c r="C13" s="196" t="s">
        <v>1030</v>
      </c>
      <c r="D13" s="196"/>
      <c r="E13" s="196"/>
      <c r="F13" s="196"/>
      <c r="G13" s="197">
        <f>I373</f>
        <v>10383143.213076012</v>
      </c>
      <c r="H13" s="198"/>
      <c r="I13" s="201">
        <f>J373</f>
        <v>274620.69233799999</v>
      </c>
      <c r="J13" s="201"/>
      <c r="K13" s="196" t="s">
        <v>1034</v>
      </c>
      <c r="L13" s="196"/>
      <c r="M13" s="27"/>
      <c r="N13" s="27"/>
      <c r="O13" s="27"/>
      <c r="P13" s="27"/>
      <c r="Q13" s="27"/>
    </row>
    <row r="14" spans="1:17" s="28" customFormat="1" ht="15" customHeight="1" x14ac:dyDescent="0.25">
      <c r="A14" s="196"/>
      <c r="B14" s="196"/>
      <c r="C14" s="196"/>
      <c r="D14" s="196"/>
      <c r="E14" s="196"/>
      <c r="F14" s="196"/>
      <c r="G14" s="199"/>
      <c r="H14" s="200"/>
      <c r="I14" s="201"/>
      <c r="J14" s="201"/>
      <c r="K14" s="196"/>
      <c r="L14" s="196"/>
      <c r="M14" s="27"/>
      <c r="N14" s="27"/>
      <c r="O14" s="27"/>
      <c r="P14" s="27"/>
      <c r="Q14" s="27"/>
    </row>
    <row r="15" spans="1:17" s="28" customFormat="1" ht="12.75" x14ac:dyDescent="0.25">
      <c r="A15" s="205"/>
      <c r="B15" s="205"/>
      <c r="C15" s="205"/>
      <c r="D15" s="205"/>
      <c r="E15" s="205"/>
      <c r="F15" s="205"/>
      <c r="G15" s="205"/>
      <c r="H15" s="205"/>
      <c r="I15" s="205"/>
      <c r="J15" s="205"/>
      <c r="K15" s="205"/>
      <c r="L15" s="205"/>
      <c r="M15" s="27"/>
      <c r="N15" s="27"/>
      <c r="O15" s="27"/>
      <c r="P15" s="27"/>
      <c r="Q15" s="27"/>
    </row>
    <row r="16" spans="1:17" s="36" customFormat="1" ht="12.75" x14ac:dyDescent="0.2">
      <c r="A16" s="206" t="s">
        <v>993</v>
      </c>
      <c r="B16" s="207" t="s">
        <v>994</v>
      </c>
      <c r="C16" s="207" t="s">
        <v>995</v>
      </c>
      <c r="D16" s="207" t="s">
        <v>996</v>
      </c>
      <c r="E16" s="34"/>
      <c r="F16" s="206" t="s">
        <v>997</v>
      </c>
      <c r="G16" s="206"/>
      <c r="H16" s="206"/>
      <c r="I16" s="208" t="s">
        <v>998</v>
      </c>
      <c r="J16" s="208"/>
      <c r="K16" s="208"/>
      <c r="L16" s="209" t="s">
        <v>999</v>
      </c>
      <c r="M16" s="35"/>
      <c r="N16" s="35"/>
      <c r="O16" s="35"/>
      <c r="P16" s="35"/>
      <c r="Q16" s="35"/>
    </row>
    <row r="17" spans="1:17" s="36" customFormat="1" ht="39" customHeight="1" x14ac:dyDescent="0.2">
      <c r="A17" s="206"/>
      <c r="B17" s="207"/>
      <c r="C17" s="207"/>
      <c r="D17" s="207"/>
      <c r="E17" s="34" t="s">
        <v>996</v>
      </c>
      <c r="F17" s="34" t="s">
        <v>1000</v>
      </c>
      <c r="G17" s="34" t="s">
        <v>1001</v>
      </c>
      <c r="H17" s="37" t="s">
        <v>1002</v>
      </c>
      <c r="I17" s="37" t="s">
        <v>1000</v>
      </c>
      <c r="J17" s="37" t="s">
        <v>1001</v>
      </c>
      <c r="K17" s="37" t="s">
        <v>1002</v>
      </c>
      <c r="L17" s="209"/>
      <c r="M17" s="35"/>
      <c r="N17" s="35"/>
      <c r="O17" s="35"/>
      <c r="P17" s="35"/>
      <c r="Q17" s="35"/>
    </row>
    <row r="18" spans="1:17" s="38" customFormat="1" ht="14.45" customHeight="1" x14ac:dyDescent="0.25">
      <c r="A18" s="39" t="str">
        <f>Orçamento!A5</f>
        <v xml:space="preserve"> 1 </v>
      </c>
      <c r="B18" s="45" t="str">
        <f>Orçamento!D5</f>
        <v>SERVIÇOS PRELIMINARES</v>
      </c>
      <c r="C18" s="39"/>
      <c r="D18" s="39"/>
      <c r="E18" s="39"/>
      <c r="F18" s="39"/>
      <c r="G18" s="39"/>
      <c r="H18" s="39"/>
      <c r="I18" s="40"/>
      <c r="J18" s="39"/>
      <c r="K18" s="39"/>
      <c r="L18" s="39"/>
    </row>
    <row r="19" spans="1:17" ht="25.5" x14ac:dyDescent="0.25">
      <c r="A19" s="41" t="str">
        <f>Orçamento!A6</f>
        <v xml:space="preserve"> 1.1 </v>
      </c>
      <c r="B19" s="46" t="str">
        <f>Orçamento!D6</f>
        <v>PLACA DE OBRA (PARA CONSTRUCAO CIVIL) EM CHAPA GALVANIZADA *N. 22*, ADESIVADA, DE *2,4 X 1,2* M (SEM POSTES PARA FIXACAO)</v>
      </c>
      <c r="C19" s="41" t="str">
        <f>Orçamento!E6</f>
        <v>m²</v>
      </c>
      <c r="D19" s="42"/>
      <c r="E19" s="43">
        <f>Orçamento!H6</f>
        <v>481.42</v>
      </c>
      <c r="F19" s="43">
        <f>Orçamento!F6</f>
        <v>6</v>
      </c>
      <c r="G19" s="73">
        <f>Memorial!L13</f>
        <v>6</v>
      </c>
      <c r="H19" s="73">
        <f>G19</f>
        <v>6</v>
      </c>
      <c r="I19" s="55">
        <f>F19*E19</f>
        <v>2888.52</v>
      </c>
      <c r="J19" s="55">
        <f>E19*G19</f>
        <v>2888.52</v>
      </c>
      <c r="K19" s="55">
        <f>E19*H19</f>
        <v>2888.52</v>
      </c>
      <c r="L19" s="44">
        <f>K19/I19</f>
        <v>1</v>
      </c>
    </row>
    <row r="20" spans="1:17" ht="25.5" x14ac:dyDescent="0.25">
      <c r="A20" s="41" t="str">
        <f>Orçamento!A7</f>
        <v xml:space="preserve"> 1.2 </v>
      </c>
      <c r="B20" s="46" t="str">
        <f>Orçamento!D7</f>
        <v>EXECUÇÃO DE ALMOXARIFADO EM CANTEIRO DE OBRA EM ALVENARIA, INCLUSO PRATELEIRAS. AF_02/2016</v>
      </c>
      <c r="C20" s="41" t="str">
        <f>Orçamento!E7</f>
        <v>m²</v>
      </c>
      <c r="D20" s="42"/>
      <c r="E20" s="43">
        <f>Orçamento!H7</f>
        <v>1028.6600000000001</v>
      </c>
      <c r="F20" s="43">
        <f>Orçamento!F7</f>
        <v>15</v>
      </c>
      <c r="G20" s="73">
        <f>Plan1!H11</f>
        <v>9</v>
      </c>
      <c r="H20" s="73">
        <f t="shared" ref="H20:H23" si="0">G20</f>
        <v>9</v>
      </c>
      <c r="I20" s="55">
        <f t="shared" ref="I20:I36" si="1">F20*E20</f>
        <v>15429.900000000001</v>
      </c>
      <c r="J20" s="55">
        <f t="shared" ref="J20:J33" si="2">E20*G20</f>
        <v>9257.94</v>
      </c>
      <c r="K20" s="55">
        <f t="shared" ref="K20:K33" si="3">E20*H20</f>
        <v>9257.94</v>
      </c>
      <c r="L20" s="44">
        <f t="shared" ref="L20:L87" si="4">K20/I20</f>
        <v>0.6</v>
      </c>
    </row>
    <row r="21" spans="1:17" ht="25.5" x14ac:dyDescent="0.25">
      <c r="A21" s="41" t="str">
        <f>Orçamento!A8</f>
        <v xml:space="preserve"> 1.3 </v>
      </c>
      <c r="B21" s="46" t="str">
        <f>Orçamento!D8</f>
        <v>EXECUÇÃO DE ESCRITÓRIO EM CANTEIRO DE OBRA EM ALVENARIA, NÃO INCLUSO MOBILIÁRIO E EQUIPAMENTOS. AF_02/2016</v>
      </c>
      <c r="C21" s="41" t="str">
        <f>Orçamento!E8</f>
        <v>m²</v>
      </c>
      <c r="D21" s="42"/>
      <c r="E21" s="43">
        <f>Orçamento!H8</f>
        <v>1174.48</v>
      </c>
      <c r="F21" s="43">
        <f>Orçamento!F8</f>
        <v>10</v>
      </c>
      <c r="G21" s="73">
        <f>Plan1!H14</f>
        <v>6</v>
      </c>
      <c r="H21" s="73">
        <f t="shared" si="0"/>
        <v>6</v>
      </c>
      <c r="I21" s="55">
        <f t="shared" si="1"/>
        <v>11744.8</v>
      </c>
      <c r="J21" s="55">
        <f t="shared" si="2"/>
        <v>7046.88</v>
      </c>
      <c r="K21" s="55">
        <f t="shared" si="3"/>
        <v>7046.88</v>
      </c>
      <c r="L21" s="44">
        <f t="shared" si="4"/>
        <v>0.60000000000000009</v>
      </c>
    </row>
    <row r="22" spans="1:17" ht="25.5" x14ac:dyDescent="0.25">
      <c r="A22" s="41" t="str">
        <f>Orçamento!A9</f>
        <v xml:space="preserve"> 1.4 </v>
      </c>
      <c r="B22" s="46" t="str">
        <f>Orçamento!D9</f>
        <v>LOCACAO CONVENCIONAL DE OBRA, UTILIZANDO GABARITO DE TÁBUAS CORRIDAS PONTALETADAS A CADA 2,00M -  2 UTILIZAÇÕES. AF_10/2018</v>
      </c>
      <c r="C22" s="41" t="str">
        <f>Orçamento!E9</f>
        <v>M</v>
      </c>
      <c r="D22" s="42"/>
      <c r="E22" s="43">
        <f>Orçamento!H9</f>
        <v>57.41</v>
      </c>
      <c r="F22" s="43">
        <f>Orçamento!F9</f>
        <v>315.44</v>
      </c>
      <c r="G22" s="42"/>
      <c r="H22" s="73">
        <f t="shared" si="0"/>
        <v>0</v>
      </c>
      <c r="I22" s="55">
        <f t="shared" si="1"/>
        <v>18109.410399999997</v>
      </c>
      <c r="J22" s="55">
        <f t="shared" si="2"/>
        <v>0</v>
      </c>
      <c r="K22" s="55">
        <f t="shared" si="3"/>
        <v>0</v>
      </c>
      <c r="L22" s="44">
        <f t="shared" si="4"/>
        <v>0</v>
      </c>
    </row>
    <row r="23" spans="1:17" ht="25.5" x14ac:dyDescent="0.25">
      <c r="A23" s="41" t="str">
        <f>Orçamento!A10</f>
        <v xml:space="preserve"> 1.5 </v>
      </c>
      <c r="B23" s="46" t="str">
        <f>Orçamento!D10</f>
        <v>LIMPEZA MECANIZADA DE CAMADA VEGETAL, VEGETAÇÃO E PEQUENAS ÁRVORES (DIÂMETRO DE TRONCO MENOR QUE 0,20 M), COM TRATOR DE ESTEIRAS.AF_05/2018</v>
      </c>
      <c r="C23" s="41" t="str">
        <f>Orçamento!E10</f>
        <v>m²</v>
      </c>
      <c r="D23" s="42"/>
      <c r="E23" s="43">
        <f>Orçamento!H10</f>
        <v>0.38</v>
      </c>
      <c r="F23" s="43">
        <f>Orçamento!F10</f>
        <v>3729</v>
      </c>
      <c r="G23" s="74">
        <f>Plan1!H17</f>
        <v>3729.02</v>
      </c>
      <c r="H23" s="73">
        <f t="shared" si="0"/>
        <v>3729.02</v>
      </c>
      <c r="I23" s="55">
        <f t="shared" si="1"/>
        <v>1417.02</v>
      </c>
      <c r="J23" s="55">
        <f t="shared" si="2"/>
        <v>1417.0276000000001</v>
      </c>
      <c r="K23" s="55">
        <f t="shared" si="3"/>
        <v>1417.0276000000001</v>
      </c>
      <c r="L23" s="44">
        <f t="shared" si="4"/>
        <v>1.0000053633681953</v>
      </c>
    </row>
    <row r="24" spans="1:17" x14ac:dyDescent="0.25">
      <c r="A24" s="39" t="str">
        <f>Orçamento!A11</f>
        <v xml:space="preserve"> 2 </v>
      </c>
      <c r="B24" s="45" t="str">
        <f>Orçamento!D11</f>
        <v>ADMINISTRAÇÃO LOCAL</v>
      </c>
      <c r="C24" s="39"/>
      <c r="D24" s="47"/>
      <c r="E24" s="48"/>
      <c r="F24" s="48"/>
      <c r="G24" s="47"/>
      <c r="H24" s="47"/>
      <c r="I24" s="56"/>
      <c r="J24" s="56"/>
      <c r="K24" s="56"/>
      <c r="L24" s="49"/>
    </row>
    <row r="25" spans="1:17" x14ac:dyDescent="0.25">
      <c r="A25" s="41" t="str">
        <f>Orçamento!A12</f>
        <v xml:space="preserve"> 2.1 </v>
      </c>
      <c r="B25" s="46" t="str">
        <f>Orçamento!D12</f>
        <v>TECNICO DE EDIFICACOES (MENSALISTA)</v>
      </c>
      <c r="C25" s="41" t="str">
        <f>Orçamento!E12</f>
        <v>MES</v>
      </c>
      <c r="D25" s="42"/>
      <c r="E25" s="43">
        <f>Orçamento!H12</f>
        <v>4792.59</v>
      </c>
      <c r="F25" s="43">
        <f>Orçamento!F12</f>
        <v>15</v>
      </c>
      <c r="G25" s="42"/>
      <c r="H25" s="42">
        <f>G25</f>
        <v>0</v>
      </c>
      <c r="I25" s="55">
        <f t="shared" si="1"/>
        <v>71888.850000000006</v>
      </c>
      <c r="J25" s="55">
        <f t="shared" si="2"/>
        <v>0</v>
      </c>
      <c r="K25" s="55">
        <f t="shared" si="3"/>
        <v>0</v>
      </c>
      <c r="L25" s="44">
        <f t="shared" si="4"/>
        <v>0</v>
      </c>
    </row>
    <row r="26" spans="1:17" x14ac:dyDescent="0.25">
      <c r="A26" s="41" t="str">
        <f>Orçamento!A13</f>
        <v xml:space="preserve"> 2.2 </v>
      </c>
      <c r="B26" s="46" t="str">
        <f>Orçamento!D13</f>
        <v>ENGENHEIRO CIVIL DE OBRA JUNIOR (MENSALISTA)</v>
      </c>
      <c r="C26" s="41" t="str">
        <f>Orçamento!E13</f>
        <v>MES</v>
      </c>
      <c r="D26" s="42"/>
      <c r="E26" s="43">
        <f>Orçamento!H13</f>
        <v>19131.61</v>
      </c>
      <c r="F26" s="43">
        <f>Orçamento!F13</f>
        <v>15</v>
      </c>
      <c r="G26" s="42"/>
      <c r="H26" s="42">
        <f t="shared" ref="H26:H27" si="5">G26</f>
        <v>0</v>
      </c>
      <c r="I26" s="55">
        <f t="shared" si="1"/>
        <v>286974.15000000002</v>
      </c>
      <c r="J26" s="55">
        <f t="shared" si="2"/>
        <v>0</v>
      </c>
      <c r="K26" s="55">
        <f t="shared" si="3"/>
        <v>0</v>
      </c>
      <c r="L26" s="44">
        <f t="shared" si="4"/>
        <v>0</v>
      </c>
    </row>
    <row r="27" spans="1:17" x14ac:dyDescent="0.25">
      <c r="A27" s="41" t="str">
        <f>Orçamento!A14</f>
        <v xml:space="preserve"> 2.3 </v>
      </c>
      <c r="B27" s="46" t="str">
        <f>Orçamento!D14</f>
        <v>MESTRE DE OBRAS (MENSALISTA)</v>
      </c>
      <c r="C27" s="41" t="str">
        <f>Orçamento!E14</f>
        <v>MES</v>
      </c>
      <c r="D27" s="42"/>
      <c r="E27" s="43">
        <f>Orçamento!H14</f>
        <v>5496.36</v>
      </c>
      <c r="F27" s="43">
        <f>Orçamento!F14</f>
        <v>15</v>
      </c>
      <c r="G27" s="42"/>
      <c r="H27" s="42">
        <f t="shared" si="5"/>
        <v>0</v>
      </c>
      <c r="I27" s="55">
        <f t="shared" si="1"/>
        <v>82445.399999999994</v>
      </c>
      <c r="J27" s="55">
        <f t="shared" si="2"/>
        <v>0</v>
      </c>
      <c r="K27" s="55">
        <f t="shared" si="3"/>
        <v>0</v>
      </c>
      <c r="L27" s="44">
        <f t="shared" si="4"/>
        <v>0</v>
      </c>
    </row>
    <row r="28" spans="1:17" x14ac:dyDescent="0.25">
      <c r="A28" s="39" t="str">
        <f>Orçamento!A15</f>
        <v xml:space="preserve"> 3 </v>
      </c>
      <c r="B28" s="45" t="str">
        <f>Orçamento!D15</f>
        <v>MOVIMENTO DE TERRA</v>
      </c>
      <c r="C28" s="39"/>
      <c r="D28" s="47"/>
      <c r="E28" s="48"/>
      <c r="F28" s="48"/>
      <c r="G28" s="47"/>
      <c r="H28" s="47"/>
      <c r="I28" s="56"/>
      <c r="J28" s="56"/>
      <c r="K28" s="56"/>
      <c r="L28" s="49"/>
    </row>
    <row r="29" spans="1:17" x14ac:dyDescent="0.25">
      <c r="A29" s="41" t="str">
        <f>Orçamento!A16</f>
        <v xml:space="preserve"> 3.1 </v>
      </c>
      <c r="B29" s="46" t="str">
        <f>Orçamento!D16</f>
        <v>ESCAVAÇÃO MANUAL DE VALA COM PROFUNDIDADE MENOR OU IGUAL A 1,30 M. AF_02/2021</v>
      </c>
      <c r="C29" s="41" t="str">
        <f>Orçamento!E16</f>
        <v>m³</v>
      </c>
      <c r="D29" s="42"/>
      <c r="E29" s="43">
        <f>Orçamento!H16</f>
        <v>74.94</v>
      </c>
      <c r="F29" s="43">
        <f>Orçamento!F16</f>
        <v>210.92</v>
      </c>
      <c r="G29" s="42"/>
      <c r="H29" s="42">
        <f>G29</f>
        <v>0</v>
      </c>
      <c r="I29" s="55">
        <f t="shared" si="1"/>
        <v>15806.344799999999</v>
      </c>
      <c r="J29" s="55">
        <f t="shared" si="2"/>
        <v>0</v>
      </c>
      <c r="K29" s="55">
        <f t="shared" si="3"/>
        <v>0</v>
      </c>
      <c r="L29" s="44">
        <f t="shared" si="4"/>
        <v>0</v>
      </c>
    </row>
    <row r="30" spans="1:17" x14ac:dyDescent="0.25">
      <c r="A30" s="41" t="str">
        <f>Orçamento!A17</f>
        <v xml:space="preserve"> 3.2 </v>
      </c>
      <c r="B30" s="46" t="str">
        <f>Orçamento!D17</f>
        <v>REATERRO MANUAL DE VALAS COM COMPACTAÇÃO MECANIZADA. AF_04/2016</v>
      </c>
      <c r="C30" s="41" t="str">
        <f>Orçamento!E17</f>
        <v>m³</v>
      </c>
      <c r="D30" s="42"/>
      <c r="E30" s="43">
        <f>Orçamento!H17</f>
        <v>29.16</v>
      </c>
      <c r="F30" s="43">
        <f>Orçamento!F17</f>
        <v>124.714</v>
      </c>
      <c r="G30" s="42"/>
      <c r="H30" s="42">
        <f t="shared" ref="H30:H33" si="6">G30</f>
        <v>0</v>
      </c>
      <c r="I30" s="55">
        <f t="shared" si="1"/>
        <v>3636.6602400000002</v>
      </c>
      <c r="J30" s="55">
        <f t="shared" si="2"/>
        <v>0</v>
      </c>
      <c r="K30" s="55">
        <f t="shared" si="3"/>
        <v>0</v>
      </c>
      <c r="L30" s="44">
        <f t="shared" si="4"/>
        <v>0</v>
      </c>
    </row>
    <row r="31" spans="1:17" ht="38.25" x14ac:dyDescent="0.25">
      <c r="A31" s="41" t="str">
        <f>Orçamento!A18</f>
        <v xml:space="preserve"> 3.3 </v>
      </c>
      <c r="B31" s="46" t="str">
        <f>Orçamento!D18</f>
        <v>ESCAVAÇÃO MECANIZADA DE VALA COM PROF. ATÉ 1,5 M (MÉDIA MONTANTE E JUSANTE/UMA COMPOSIÇÃO POR TRECHO), ESCAVADEIRA (0,8 M3), LARG. MENOR QUE 1,5 M, EM SOLO DE 1A CATEGORIA, EM LOCAIS COM ALTO NÍVEL DE INTERFERÊNCIA. AF_02/2021</v>
      </c>
      <c r="C31" s="41" t="str">
        <f>Orçamento!E18</f>
        <v>m³</v>
      </c>
      <c r="D31" s="42"/>
      <c r="E31" s="43">
        <f>Orçamento!H18</f>
        <v>13.37</v>
      </c>
      <c r="F31" s="43">
        <v>0</v>
      </c>
      <c r="G31" s="73">
        <v>0</v>
      </c>
      <c r="H31" s="42">
        <v>0</v>
      </c>
      <c r="I31" s="55">
        <f t="shared" si="1"/>
        <v>0</v>
      </c>
      <c r="J31" s="55">
        <f t="shared" si="2"/>
        <v>0</v>
      </c>
      <c r="K31" s="55">
        <f t="shared" si="3"/>
        <v>0</v>
      </c>
      <c r="L31" s="44" t="e">
        <f t="shared" si="4"/>
        <v>#DIV/0!</v>
      </c>
    </row>
    <row r="32" spans="1:17" ht="38.25" x14ac:dyDescent="0.25">
      <c r="A32" s="41" t="str">
        <f>Orçamento!A19</f>
        <v xml:space="preserve"> 3.4 </v>
      </c>
      <c r="B32" s="46" t="str">
        <f>Orçamento!D19</f>
        <v>CARGA, MANOBRA E DESCARGA DE ENTULHO EM CAMINHÃO BASCULANTE 10 M³ - CARGA COM ESCAVADEIRA HIDRÁULICA  (CAÇAMBA DE 0,80 M³ / 111 HP) E DESCARGA LIVRE (UNIDADE: M3). AF_07/2020</v>
      </c>
      <c r="C32" s="41" t="str">
        <f>Orçamento!E19</f>
        <v>m³</v>
      </c>
      <c r="D32" s="42"/>
      <c r="E32" s="43">
        <f>Orçamento!H19</f>
        <v>9.27</v>
      </c>
      <c r="F32" s="43">
        <v>0</v>
      </c>
      <c r="G32" s="73">
        <v>0</v>
      </c>
      <c r="H32" s="42">
        <f t="shared" si="6"/>
        <v>0</v>
      </c>
      <c r="I32" s="55">
        <f t="shared" si="1"/>
        <v>0</v>
      </c>
      <c r="J32" s="55">
        <f t="shared" si="2"/>
        <v>0</v>
      </c>
      <c r="K32" s="55">
        <f t="shared" si="3"/>
        <v>0</v>
      </c>
      <c r="L32" s="44" t="e">
        <f t="shared" si="4"/>
        <v>#DIV/0!</v>
      </c>
    </row>
    <row r="33" spans="1:14" x14ac:dyDescent="0.25">
      <c r="A33" s="41" t="str">
        <f>Orçamento!A20</f>
        <v xml:space="preserve"> 3.5 </v>
      </c>
      <c r="B33" s="46" t="str">
        <f>Orçamento!D20</f>
        <v>ARGILA OU BARRO PARA ATERRO/REATERRO (COM TRANSPORTE ATE 10 KM)</v>
      </c>
      <c r="C33" s="41" t="str">
        <f>Orçamento!E20</f>
        <v>m³</v>
      </c>
      <c r="D33" s="42"/>
      <c r="E33" s="43">
        <f>Orçamento!H20</f>
        <v>115.81</v>
      </c>
      <c r="F33" s="43">
        <v>0</v>
      </c>
      <c r="G33" s="73">
        <v>0</v>
      </c>
      <c r="H33" s="42">
        <f t="shared" si="6"/>
        <v>0</v>
      </c>
      <c r="I33" s="55">
        <f t="shared" si="1"/>
        <v>0</v>
      </c>
      <c r="J33" s="55">
        <f t="shared" si="2"/>
        <v>0</v>
      </c>
      <c r="K33" s="55">
        <f t="shared" si="3"/>
        <v>0</v>
      </c>
      <c r="L33" s="44" t="e">
        <f t="shared" si="4"/>
        <v>#DIV/0!</v>
      </c>
    </row>
    <row r="34" spans="1:14" ht="51" x14ac:dyDescent="0.25">
      <c r="A34" s="41" t="s">
        <v>1110</v>
      </c>
      <c r="B34" s="46" t="s">
        <v>1107</v>
      </c>
      <c r="C34" s="41" t="s">
        <v>103</v>
      </c>
      <c r="D34" s="42"/>
      <c r="E34" s="43">
        <v>20.22</v>
      </c>
      <c r="F34" s="43">
        <v>1964.5743499999999</v>
      </c>
      <c r="G34" s="73">
        <f>Plan1!H21</f>
        <v>339.43</v>
      </c>
      <c r="H34" s="42">
        <f t="shared" ref="H34" si="7">G34</f>
        <v>339.43</v>
      </c>
      <c r="I34" s="55">
        <f t="shared" si="1"/>
        <v>39723.693356999996</v>
      </c>
      <c r="J34" s="55">
        <f t="shared" ref="J34" si="8">E34*G34</f>
        <v>6863.2745999999997</v>
      </c>
      <c r="K34" s="55">
        <f t="shared" ref="K34" si="9">E34*H34</f>
        <v>6863.2745999999997</v>
      </c>
      <c r="L34" s="44">
        <f t="shared" ref="L34" si="10">K34/I34</f>
        <v>0.17277533935022618</v>
      </c>
    </row>
    <row r="35" spans="1:14" x14ac:dyDescent="0.25">
      <c r="A35" s="41" t="s">
        <v>1111</v>
      </c>
      <c r="B35" s="46" t="s">
        <v>1108</v>
      </c>
      <c r="C35" s="41" t="s">
        <v>103</v>
      </c>
      <c r="D35" s="42"/>
      <c r="E35" s="43">
        <v>102.91999999999999</v>
      </c>
      <c r="F35" s="43">
        <v>4687.82</v>
      </c>
      <c r="G35" s="73">
        <f>Plan1!H25</f>
        <v>1481.1586500000001</v>
      </c>
      <c r="H35" s="42">
        <f t="shared" ref="H35:H36" si="11">G35</f>
        <v>1481.1586500000001</v>
      </c>
      <c r="I35" s="55">
        <f t="shared" si="1"/>
        <v>482470.43439999991</v>
      </c>
      <c r="J35" s="55">
        <f t="shared" ref="J35:J36" si="12">E35*G35</f>
        <v>152440.84825799998</v>
      </c>
      <c r="K35" s="55">
        <f t="shared" ref="K35:K36" si="13">E35*H35</f>
        <v>152440.84825799998</v>
      </c>
      <c r="L35" s="44">
        <f t="shared" ref="L35:L36" si="14">K35/I35</f>
        <v>0.31595894253618956</v>
      </c>
    </row>
    <row r="36" spans="1:14" ht="25.5" x14ac:dyDescent="0.25">
      <c r="A36" s="41" t="s">
        <v>1112</v>
      </c>
      <c r="B36" s="46" t="s">
        <v>1109</v>
      </c>
      <c r="C36" s="41" t="s">
        <v>103</v>
      </c>
      <c r="D36" s="42"/>
      <c r="E36" s="43">
        <v>13.228900000000001</v>
      </c>
      <c r="F36" s="43">
        <v>4687.82</v>
      </c>
      <c r="G36" s="73">
        <f>Plan1!H29</f>
        <v>1481.16</v>
      </c>
      <c r="H36" s="42">
        <f t="shared" si="11"/>
        <v>1481.16</v>
      </c>
      <c r="I36" s="55">
        <f t="shared" si="1"/>
        <v>62014.701998000004</v>
      </c>
      <c r="J36" s="55">
        <f t="shared" si="12"/>
        <v>19594.117524000001</v>
      </c>
      <c r="K36" s="55">
        <f t="shared" si="13"/>
        <v>19594.117524000001</v>
      </c>
      <c r="L36" s="44">
        <f t="shared" si="14"/>
        <v>0.31595923051653008</v>
      </c>
    </row>
    <row r="37" spans="1:14" x14ac:dyDescent="0.25">
      <c r="A37" s="41"/>
      <c r="B37" s="46"/>
      <c r="C37" s="41"/>
      <c r="D37" s="42"/>
      <c r="E37" s="43"/>
      <c r="F37" s="43"/>
      <c r="G37" s="73"/>
      <c r="H37" s="42"/>
      <c r="I37" s="55"/>
      <c r="J37" s="55"/>
      <c r="K37" s="55"/>
      <c r="L37" s="44"/>
    </row>
    <row r="38" spans="1:14" x14ac:dyDescent="0.25">
      <c r="A38" s="39" t="str">
        <f>Orçamento!A21</f>
        <v xml:space="preserve"> 4 </v>
      </c>
      <c r="B38" s="45" t="str">
        <f>Orçamento!D21</f>
        <v>INFRAESTRUTURA</v>
      </c>
      <c r="C38" s="39"/>
      <c r="D38" s="47"/>
      <c r="E38" s="48"/>
      <c r="F38" s="48"/>
      <c r="G38" s="47"/>
      <c r="H38" s="47"/>
      <c r="I38" s="56"/>
      <c r="J38" s="56"/>
      <c r="K38" s="56"/>
      <c r="L38" s="49"/>
    </row>
    <row r="39" spans="1:14" ht="25.5" x14ac:dyDescent="0.25">
      <c r="A39" s="41" t="str">
        <f>Orçamento!A22</f>
        <v xml:space="preserve"> 4.1 </v>
      </c>
      <c r="B39" s="46" t="str">
        <f>Orçamento!D22</f>
        <v>LASTRO DE CONCRETO MAGRO, APLICADO EM BLOCOS DE COROAMENTO OU SAPATAS, ESPESSURA DE 5 CM. AF_08/2017</v>
      </c>
      <c r="C39" s="41" t="str">
        <f>Orçamento!E22</f>
        <v>m²</v>
      </c>
      <c r="D39" s="42"/>
      <c r="E39" s="43">
        <f>Orçamento!H22</f>
        <v>32.28</v>
      </c>
      <c r="F39" s="43">
        <f>Orçamento!F22</f>
        <v>168.17</v>
      </c>
      <c r="G39" s="42"/>
      <c r="H39" s="42"/>
      <c r="I39" s="55">
        <f t="shared" ref="I39:I103" si="15">F39*E39</f>
        <v>5428.5275999999994</v>
      </c>
      <c r="J39" s="55"/>
      <c r="K39" s="55"/>
      <c r="L39" s="44">
        <f t="shared" si="4"/>
        <v>0</v>
      </c>
      <c r="N39">
        <f>1481.16-1126.72</f>
        <v>354.44000000000005</v>
      </c>
    </row>
    <row r="40" spans="1:14" ht="25.5" x14ac:dyDescent="0.25">
      <c r="A40" s="41" t="str">
        <f>Orçamento!A23</f>
        <v xml:space="preserve"> 4.2 </v>
      </c>
      <c r="B40" s="46" t="str">
        <f>Orçamento!D23</f>
        <v>CONCRETO USINADO BOMBEAVEL, CLASSE DE RESISTENCIA C40, COM BRITA 0 E 1, SLUMP = 100 +/- 20 MM, INCLUI SERVICO DE BOMBEAMENTO (NBR 8953)</v>
      </c>
      <c r="C40" s="41" t="str">
        <f>Orçamento!E23</f>
        <v>m³</v>
      </c>
      <c r="D40" s="42"/>
      <c r="E40" s="43">
        <f>Orçamento!H23</f>
        <v>565.05999999999995</v>
      </c>
      <c r="F40" s="43">
        <f>Orçamento!F23</f>
        <v>86.21</v>
      </c>
      <c r="G40" s="42"/>
      <c r="H40" s="42"/>
      <c r="I40" s="55">
        <f t="shared" si="15"/>
        <v>48713.822599999992</v>
      </c>
      <c r="J40" s="55"/>
      <c r="K40" s="55"/>
      <c r="L40" s="44">
        <f t="shared" si="4"/>
        <v>0</v>
      </c>
    </row>
    <row r="41" spans="1:14" ht="25.5" x14ac:dyDescent="0.25">
      <c r="A41" s="41" t="str">
        <f>Orçamento!A24</f>
        <v xml:space="preserve"> 4.3 </v>
      </c>
      <c r="B41" s="46" t="str">
        <f>Orçamento!D24</f>
        <v>LANÇAMENTO COM USO DE BOMBA, ADENSAMENTO E ACABAMENTO DE CONCRETO EM ESTRUTURAS. AF_02/2022</v>
      </c>
      <c r="C41" s="41" t="str">
        <f>Orçamento!E24</f>
        <v>m³</v>
      </c>
      <c r="D41" s="42"/>
      <c r="E41" s="43">
        <f>Orçamento!H24</f>
        <v>36.36</v>
      </c>
      <c r="F41" s="43">
        <f>Orçamento!F24</f>
        <v>86.21</v>
      </c>
      <c r="G41" s="42"/>
      <c r="H41" s="42"/>
      <c r="I41" s="55">
        <f t="shared" si="15"/>
        <v>3134.5955999999996</v>
      </c>
      <c r="J41" s="55"/>
      <c r="K41" s="55"/>
      <c r="L41" s="44">
        <f t="shared" si="4"/>
        <v>0</v>
      </c>
    </row>
    <row r="42" spans="1:14" ht="25.5" x14ac:dyDescent="0.25">
      <c r="A42" s="41" t="str">
        <f>Orçamento!A25</f>
        <v xml:space="preserve"> 4.4 </v>
      </c>
      <c r="B42" s="46" t="str">
        <f>Orçamento!D25</f>
        <v>ARMAÇÃO DE BLOCO, VIGA BALDRAME E SAPATA UTILIZANDO AÇO CA-60 DE 5 MM - MONTAGEM. AF_06/2017</v>
      </c>
      <c r="C42" s="41" t="str">
        <f>Orçamento!E25</f>
        <v>KG</v>
      </c>
      <c r="D42" s="42"/>
      <c r="E42" s="43">
        <f>Orçamento!H25</f>
        <v>19.57</v>
      </c>
      <c r="F42" s="43">
        <f>Orçamento!F25</f>
        <v>832</v>
      </c>
      <c r="G42" s="42"/>
      <c r="H42" s="42"/>
      <c r="I42" s="55">
        <f t="shared" si="15"/>
        <v>16282.24</v>
      </c>
      <c r="J42" s="55"/>
      <c r="K42" s="55"/>
      <c r="L42" s="44">
        <f t="shared" si="4"/>
        <v>0</v>
      </c>
    </row>
    <row r="43" spans="1:14" ht="25.5" x14ac:dyDescent="0.25">
      <c r="A43" s="41" t="str">
        <f>Orçamento!A26</f>
        <v xml:space="preserve"> 4.5 </v>
      </c>
      <c r="B43" s="46" t="str">
        <f>Orçamento!D26</f>
        <v>ARMAÇÃO DE BLOCO, VIGA BALDRAME OU SAPATA UTILIZANDO AÇO CA-50 DE 6,3 MM - MONTAGEM. AF_06/2017</v>
      </c>
      <c r="C43" s="41" t="str">
        <f>Orçamento!E26</f>
        <v>KG</v>
      </c>
      <c r="D43" s="42"/>
      <c r="E43" s="43">
        <f>Orçamento!H26</f>
        <v>18.579999999999998</v>
      </c>
      <c r="F43" s="43">
        <f>Orçamento!F26</f>
        <v>780</v>
      </c>
      <c r="G43" s="42"/>
      <c r="H43" s="42"/>
      <c r="I43" s="55">
        <f t="shared" si="15"/>
        <v>14492.399999999998</v>
      </c>
      <c r="J43" s="55"/>
      <c r="K43" s="55"/>
      <c r="L43" s="44">
        <f t="shared" si="4"/>
        <v>0</v>
      </c>
    </row>
    <row r="44" spans="1:14" ht="25.5" x14ac:dyDescent="0.25">
      <c r="A44" s="41" t="str">
        <f>Orçamento!A27</f>
        <v xml:space="preserve"> 4.6 </v>
      </c>
      <c r="B44" s="46" t="str">
        <f>Orçamento!D27</f>
        <v>ARMAÇÃO DE BLOCO, VIGA BALDRAME OU SAPATA UTILIZANDO AÇO CA-50 DE 8 MM - MONTAGEM. AF_06/2017</v>
      </c>
      <c r="C44" s="41" t="str">
        <f>Orçamento!E27</f>
        <v>KG</v>
      </c>
      <c r="D44" s="42"/>
      <c r="E44" s="43">
        <f>Orçamento!H27</f>
        <v>17.489999999999998</v>
      </c>
      <c r="F44" s="43">
        <f>Orçamento!F27</f>
        <v>615</v>
      </c>
      <c r="G44" s="42"/>
      <c r="H44" s="42"/>
      <c r="I44" s="55">
        <f t="shared" si="15"/>
        <v>10756.349999999999</v>
      </c>
      <c r="J44" s="55"/>
      <c r="K44" s="55"/>
      <c r="L44" s="44">
        <f t="shared" si="4"/>
        <v>0</v>
      </c>
    </row>
    <row r="45" spans="1:14" ht="25.5" x14ac:dyDescent="0.25">
      <c r="A45" s="41" t="str">
        <f>Orçamento!A28</f>
        <v xml:space="preserve"> 4.7 </v>
      </c>
      <c r="B45" s="46" t="str">
        <f>Orçamento!D28</f>
        <v>ARMAÇÃO DE BLOCO, VIGA BALDRAME OU SAPATA UTILIZANDO AÇO CA-50 DE 10 MM - MONTAGEM. AF_06/2017</v>
      </c>
      <c r="C45" s="41" t="str">
        <f>Orçamento!E28</f>
        <v>KG</v>
      </c>
      <c r="D45" s="42"/>
      <c r="E45" s="43">
        <f>Orçamento!H28</f>
        <v>15.74</v>
      </c>
      <c r="F45" s="43">
        <f>Orçamento!F28</f>
        <v>1255</v>
      </c>
      <c r="G45" s="42"/>
      <c r="H45" s="42"/>
      <c r="I45" s="55">
        <f t="shared" si="15"/>
        <v>19753.7</v>
      </c>
      <c r="J45" s="55"/>
      <c r="K45" s="55"/>
      <c r="L45" s="44">
        <f t="shared" si="4"/>
        <v>0</v>
      </c>
    </row>
    <row r="46" spans="1:14" ht="25.5" x14ac:dyDescent="0.25">
      <c r="A46" s="41" t="str">
        <f>Orçamento!A29</f>
        <v xml:space="preserve"> 4.8 </v>
      </c>
      <c r="B46" s="46" t="str">
        <f>Orçamento!D29</f>
        <v>ARMAÇÃO DE BLOCO, VIGA BALDRAME OU SAPATA UTILIZANDO AÇO CA-50 DE 12,5 MM - MONTAGEM. AF_06/2017</v>
      </c>
      <c r="C46" s="41" t="str">
        <f>Orçamento!E29</f>
        <v>KG</v>
      </c>
      <c r="D46" s="42"/>
      <c r="E46" s="43">
        <f>Orçamento!H29</f>
        <v>13.37</v>
      </c>
      <c r="F46" s="43">
        <f>Orçamento!F29</f>
        <v>422</v>
      </c>
      <c r="G46" s="42"/>
      <c r="H46" s="42"/>
      <c r="I46" s="55">
        <f t="shared" si="15"/>
        <v>5642.1399999999994</v>
      </c>
      <c r="J46" s="55"/>
      <c r="K46" s="55"/>
      <c r="L46" s="44">
        <f t="shared" si="4"/>
        <v>0</v>
      </c>
    </row>
    <row r="47" spans="1:14" ht="25.5" x14ac:dyDescent="0.25">
      <c r="A47" s="41" t="str">
        <f>Orçamento!A30</f>
        <v xml:space="preserve"> 4.9 </v>
      </c>
      <c r="B47" s="46" t="str">
        <f>Orçamento!D30</f>
        <v>ARMAÇÃO DE BLOCO, VIGA BALDRAME OU SAPATA UTILIZANDO AÇO CA-50 DE 16 MM - MONTAGEM. AF_06/2017</v>
      </c>
      <c r="C47" s="41" t="str">
        <f>Orçamento!E30</f>
        <v>KG</v>
      </c>
      <c r="D47" s="42"/>
      <c r="E47" s="43">
        <f>Orçamento!H30</f>
        <v>12.7</v>
      </c>
      <c r="F47" s="43">
        <f>Orçamento!F30</f>
        <v>138</v>
      </c>
      <c r="G47" s="42"/>
      <c r="H47" s="42"/>
      <c r="I47" s="55">
        <f t="shared" si="15"/>
        <v>1752.6</v>
      </c>
      <c r="J47" s="55"/>
      <c r="K47" s="55"/>
      <c r="L47" s="44">
        <f t="shared" si="4"/>
        <v>0</v>
      </c>
    </row>
    <row r="48" spans="1:14" ht="25.5" x14ac:dyDescent="0.25">
      <c r="A48" s="41" t="str">
        <f>Orçamento!A31</f>
        <v xml:space="preserve"> 4.10 </v>
      </c>
      <c r="B48" s="46" t="str">
        <f>Orçamento!D31</f>
        <v>ARMAÇÃO DE BLOCO, VIGA BALDRAME OU SAPATA UTILIZANDO AÇO CA-50 DE 20 MM - MONTAGEM. AF_06/2017</v>
      </c>
      <c r="C48" s="41" t="str">
        <f>Orçamento!E31</f>
        <v>KG</v>
      </c>
      <c r="D48" s="42"/>
      <c r="E48" s="43">
        <f>Orçamento!H31</f>
        <v>14.17</v>
      </c>
      <c r="F48" s="43">
        <f>Orçamento!F31</f>
        <v>127</v>
      </c>
      <c r="G48" s="42"/>
      <c r="H48" s="42"/>
      <c r="I48" s="55">
        <f t="shared" si="15"/>
        <v>1799.59</v>
      </c>
      <c r="J48" s="55"/>
      <c r="K48" s="55"/>
      <c r="L48" s="44">
        <f t="shared" si="4"/>
        <v>0</v>
      </c>
    </row>
    <row r="49" spans="1:12" ht="25.5" x14ac:dyDescent="0.25">
      <c r="A49" s="41" t="str">
        <f>Orçamento!A32</f>
        <v xml:space="preserve"> 4.11 </v>
      </c>
      <c r="B49" s="46" t="str">
        <f>Orçamento!D32</f>
        <v>FABRICAÇÃO, MONTAGEM E DESMONTAGEM DE FÔRMA PARA SAPATA, EM CHAPA DE MADEIRA COMPENSADA RESINADA, E=17 MM, 2 UTILIZAÇÕES. AF_06/2017</v>
      </c>
      <c r="C49" s="41" t="str">
        <f>Orçamento!E32</f>
        <v>m²</v>
      </c>
      <c r="D49" s="42"/>
      <c r="E49" s="43">
        <f>Orçamento!H32</f>
        <v>287.05</v>
      </c>
      <c r="F49" s="43">
        <f>Orçamento!F32</f>
        <v>112.53</v>
      </c>
      <c r="G49" s="42"/>
      <c r="H49" s="42"/>
      <c r="I49" s="55">
        <f t="shared" si="15"/>
        <v>32301.736500000003</v>
      </c>
      <c r="J49" s="55"/>
      <c r="K49" s="55"/>
      <c r="L49" s="44">
        <f t="shared" si="4"/>
        <v>0</v>
      </c>
    </row>
    <row r="50" spans="1:12" ht="25.5" x14ac:dyDescent="0.25">
      <c r="A50" s="41" t="str">
        <f>Orçamento!A33</f>
        <v xml:space="preserve"> 4.12 </v>
      </c>
      <c r="B50" s="46" t="str">
        <f>Orçamento!D33</f>
        <v>FABRICAÇÃO, MONTAGEM E DESMONTAGEM DE FÔRMA PARA VIGA BALDRAME, EM CHAPA DE MADEIRA COMPENSADA RESINADA, E=17 MM, 2 UTILIZAÇÕES. AF_06/2017</v>
      </c>
      <c r="C50" s="41" t="str">
        <f>Orçamento!E33</f>
        <v>m²</v>
      </c>
      <c r="D50" s="42"/>
      <c r="E50" s="43">
        <f>Orçamento!H33</f>
        <v>125.03</v>
      </c>
      <c r="F50" s="43">
        <f>Orçamento!F33</f>
        <v>1065.24</v>
      </c>
      <c r="G50" s="42"/>
      <c r="H50" s="42"/>
      <c r="I50" s="55">
        <f t="shared" si="15"/>
        <v>133186.9572</v>
      </c>
      <c r="J50" s="55"/>
      <c r="K50" s="55"/>
      <c r="L50" s="44">
        <f t="shared" si="4"/>
        <v>0</v>
      </c>
    </row>
    <row r="51" spans="1:12" ht="25.5" x14ac:dyDescent="0.25">
      <c r="A51" s="41" t="str">
        <f>Orçamento!A34</f>
        <v xml:space="preserve"> 4.13 </v>
      </c>
      <c r="B51" s="46" t="str">
        <f>Orçamento!D34</f>
        <v>ARMAÇÃO DE BLOCO, VIGA BALDRAME OU SAPATA UTILIZANDO AÇO CA-50 DE 25 MM - MONTAGEM. AF_06/2017</v>
      </c>
      <c r="C51" s="41" t="str">
        <f>Orçamento!E34</f>
        <v>KG</v>
      </c>
      <c r="D51" s="42"/>
      <c r="E51" s="43">
        <f>Orçamento!H34</f>
        <v>13.83</v>
      </c>
      <c r="F51" s="43">
        <f>Orçamento!F34</f>
        <v>853</v>
      </c>
      <c r="G51" s="42"/>
      <c r="H51" s="42"/>
      <c r="I51" s="55">
        <f t="shared" si="15"/>
        <v>11796.99</v>
      </c>
      <c r="J51" s="55"/>
      <c r="K51" s="55"/>
      <c r="L51" s="44">
        <f t="shared" si="4"/>
        <v>0</v>
      </c>
    </row>
    <row r="52" spans="1:12" ht="25.5" x14ac:dyDescent="0.25">
      <c r="A52" s="41" t="str">
        <f>Orçamento!A35</f>
        <v xml:space="preserve"> 4.14 </v>
      </c>
      <c r="B52" s="46" t="str">
        <f>Orçamento!D35</f>
        <v>IMPERMEABILIZAÇÃO DE FLOREIRA OU VIGA BALDRAME COM ARGAMASSA DE CIMENTO E AREIA, COM ADITIVO IMPERMEABILIZANTE, E = 2 CM. AF_06/2018</v>
      </c>
      <c r="C52" s="41" t="str">
        <f>Orçamento!E35</f>
        <v>m²</v>
      </c>
      <c r="D52" s="42"/>
      <c r="E52" s="43">
        <f>Orçamento!H35</f>
        <v>43.5</v>
      </c>
      <c r="F52" s="43">
        <f>Orçamento!F35</f>
        <v>832.65</v>
      </c>
      <c r="G52" s="42"/>
      <c r="H52" s="42"/>
      <c r="I52" s="55">
        <f t="shared" si="15"/>
        <v>36220.275000000001</v>
      </c>
      <c r="J52" s="55"/>
      <c r="K52" s="55"/>
      <c r="L52" s="44">
        <f t="shared" si="4"/>
        <v>0</v>
      </c>
    </row>
    <row r="53" spans="1:12" x14ac:dyDescent="0.25">
      <c r="A53" s="39" t="str">
        <f>Orçamento!A36</f>
        <v xml:space="preserve"> 5 </v>
      </c>
      <c r="B53" s="45" t="str">
        <f>Orçamento!D36</f>
        <v>SUPERESTRUTURA</v>
      </c>
      <c r="C53" s="39"/>
      <c r="D53" s="47"/>
      <c r="E53" s="48"/>
      <c r="F53" s="48"/>
      <c r="G53" s="47"/>
      <c r="H53" s="47"/>
      <c r="I53" s="56"/>
      <c r="J53" s="56"/>
      <c r="K53" s="56"/>
      <c r="L53" s="49"/>
    </row>
    <row r="54" spans="1:12" ht="25.5" x14ac:dyDescent="0.25">
      <c r="A54" s="41" t="str">
        <f>Orçamento!A37</f>
        <v xml:space="preserve"> 5.1 </v>
      </c>
      <c r="B54" s="46" t="str">
        <f>Orçamento!D37</f>
        <v>CONCRETO USINADO BOMBEAVEL, CLASSE DE RESISTENCIA C40, COM BRITA 0 E 1, SLUMP = 100 +/- 20 MM, INCLUI SERVICO DE BOMBEAMENTO (NBR 8953)</v>
      </c>
      <c r="C54" s="41" t="str">
        <f>Orçamento!E37</f>
        <v>m³</v>
      </c>
      <c r="D54" s="42"/>
      <c r="E54" s="43">
        <f>Orçamento!H37</f>
        <v>565.05999999999995</v>
      </c>
      <c r="F54" s="43">
        <f>Orçamento!F37</f>
        <v>425.6</v>
      </c>
      <c r="G54" s="42"/>
      <c r="H54" s="42"/>
      <c r="I54" s="55">
        <f t="shared" si="15"/>
        <v>240489.53599999999</v>
      </c>
      <c r="J54" s="55"/>
      <c r="K54" s="55"/>
      <c r="L54" s="44">
        <f t="shared" si="4"/>
        <v>0</v>
      </c>
    </row>
    <row r="55" spans="1:12" ht="25.5" x14ac:dyDescent="0.25">
      <c r="A55" s="41" t="str">
        <f>Orçamento!A38</f>
        <v xml:space="preserve"> 5.2 </v>
      </c>
      <c r="B55" s="46" t="str">
        <f>Orçamento!D38</f>
        <v>LANÇAMENTO COM USO DE BOMBA, ADENSAMENTO E ACABAMENTO DE CONCRETO EM ESTRUTURAS. AF_02/2022</v>
      </c>
      <c r="C55" s="41" t="str">
        <f>Orçamento!E38</f>
        <v>m³</v>
      </c>
      <c r="D55" s="42"/>
      <c r="E55" s="43">
        <f>Orçamento!H38</f>
        <v>36.36</v>
      </c>
      <c r="F55" s="43">
        <f>Orçamento!F38</f>
        <v>425.6</v>
      </c>
      <c r="G55" s="42"/>
      <c r="H55" s="42"/>
      <c r="I55" s="55">
        <f t="shared" si="15"/>
        <v>15474.816000000001</v>
      </c>
      <c r="J55" s="55"/>
      <c r="K55" s="55"/>
      <c r="L55" s="44">
        <f t="shared" si="4"/>
        <v>0</v>
      </c>
    </row>
    <row r="56" spans="1:12" ht="38.25" x14ac:dyDescent="0.25">
      <c r="A56" s="41" t="str">
        <f>Orçamento!A39</f>
        <v xml:space="preserve"> 5.3 </v>
      </c>
      <c r="B56" s="46" t="str">
        <f>Orçamento!D39</f>
        <v>ARMAÇÃO DE PILAR OU VIGA DE UMA ESTRUTURA CONVENCIONAL DE CONCRETO ARMADO EM UMA EDIFICAÇÃO TÉRREA OU SOBRADO UTILIZANDO AÇO CA-60 DE 5,0 MM - MONTAGEM. AF_12/2015</v>
      </c>
      <c r="C56" s="41" t="str">
        <f>Orçamento!E39</f>
        <v>KG</v>
      </c>
      <c r="D56" s="42"/>
      <c r="E56" s="43">
        <f>Orçamento!H39</f>
        <v>20.04</v>
      </c>
      <c r="F56" s="43">
        <f>Orçamento!F39</f>
        <v>3857</v>
      </c>
      <c r="G56" s="42"/>
      <c r="H56" s="42"/>
      <c r="I56" s="55">
        <f t="shared" si="15"/>
        <v>77294.28</v>
      </c>
      <c r="J56" s="55"/>
      <c r="K56" s="55"/>
      <c r="L56" s="44">
        <f t="shared" si="4"/>
        <v>0</v>
      </c>
    </row>
    <row r="57" spans="1:12" ht="38.25" x14ac:dyDescent="0.25">
      <c r="A57" s="41" t="str">
        <f>Orçamento!A40</f>
        <v xml:space="preserve"> 5.4 </v>
      </c>
      <c r="B57" s="46" t="str">
        <f>Orçamento!D40</f>
        <v>ARMAÇÃO DE PILAR OU VIGA DE UMA ESTRUTURA CONVENCIONAL DE CONCRETO ARMADO EM UMA EDIFICAÇÃO TÉRREA OU SOBRADO UTILIZANDO AÇO CA-50 DE 6,3 MM - MONTAGEM. AF_12/2015</v>
      </c>
      <c r="C57" s="41" t="str">
        <f>Orçamento!E40</f>
        <v>KG</v>
      </c>
      <c r="D57" s="42"/>
      <c r="E57" s="43">
        <f>Orçamento!H40</f>
        <v>18.89</v>
      </c>
      <c r="F57" s="43">
        <f>Orçamento!F40</f>
        <v>1556</v>
      </c>
      <c r="G57" s="42"/>
      <c r="H57" s="42"/>
      <c r="I57" s="55">
        <f t="shared" si="15"/>
        <v>29392.84</v>
      </c>
      <c r="J57" s="55"/>
      <c r="K57" s="55"/>
      <c r="L57" s="44">
        <f t="shared" si="4"/>
        <v>0</v>
      </c>
    </row>
    <row r="58" spans="1:12" ht="38.25" x14ac:dyDescent="0.25">
      <c r="A58" s="41" t="str">
        <f>Orçamento!A41</f>
        <v xml:space="preserve"> 5.5 </v>
      </c>
      <c r="B58" s="46" t="str">
        <f>Orçamento!D41</f>
        <v>ARMAÇÃO DE PILAR OU VIGA DE UMA ESTRUTURA CONVENCIONAL DE CONCRETO ARMADO EM UMA EDIFICAÇÃO TÉRREA OU SOBRADO UTILIZANDO AÇO CA-50 DE 8,0 MM - MONTAGEM. AF_12/2015</v>
      </c>
      <c r="C58" s="41" t="str">
        <f>Orçamento!E41</f>
        <v>KG</v>
      </c>
      <c r="D58" s="42"/>
      <c r="E58" s="43">
        <f>Orçamento!H41</f>
        <v>17.63</v>
      </c>
      <c r="F58" s="43">
        <f>Orçamento!F41</f>
        <v>7190.9</v>
      </c>
      <c r="G58" s="42"/>
      <c r="H58" s="42"/>
      <c r="I58" s="55">
        <f t="shared" si="15"/>
        <v>126775.56699999998</v>
      </c>
      <c r="J58" s="55"/>
      <c r="K58" s="55"/>
      <c r="L58" s="44">
        <f t="shared" si="4"/>
        <v>0</v>
      </c>
    </row>
    <row r="59" spans="1:12" ht="38.25" x14ac:dyDescent="0.25">
      <c r="A59" s="41" t="str">
        <f>Orçamento!A42</f>
        <v xml:space="preserve"> 5.6 </v>
      </c>
      <c r="B59" s="46" t="str">
        <f>Orçamento!D42</f>
        <v>ARMAÇÃO DE PILAR OU VIGA DE UMA ESTRUTURA CONVENCIONAL DE CONCRETO ARMADO EM UMA EDIFICAÇÃO TÉRREA OU SOBRADO UTILIZANDO AÇO CA-50 DE 10,0 MM - MONTAGEM. AF_12/2015</v>
      </c>
      <c r="C59" s="41" t="str">
        <f>Orçamento!E42</f>
        <v>KG</v>
      </c>
      <c r="D59" s="42"/>
      <c r="E59" s="43">
        <f>Orçamento!H42</f>
        <v>15.75</v>
      </c>
      <c r="F59" s="43">
        <f>Orçamento!F42</f>
        <v>8536</v>
      </c>
      <c r="G59" s="42"/>
      <c r="H59" s="42"/>
      <c r="I59" s="55">
        <f t="shared" si="15"/>
        <v>134442</v>
      </c>
      <c r="J59" s="55"/>
      <c r="K59" s="55"/>
      <c r="L59" s="44">
        <f t="shared" si="4"/>
        <v>0</v>
      </c>
    </row>
    <row r="60" spans="1:12" ht="38.25" x14ac:dyDescent="0.25">
      <c r="A60" s="41" t="str">
        <f>Orçamento!A43</f>
        <v xml:space="preserve"> 5.7 </v>
      </c>
      <c r="B60" s="46" t="str">
        <f>Orçamento!D43</f>
        <v>ARMAÇÃO DE PILAR OU VIGA DE UMA ESTRUTURA CONVENCIONAL DE CONCRETO ARMADO EM UMA EDIFICAÇÃO TÉRREA OU SOBRADO UTILIZANDO AÇO CA-50 DE 12,5 MM - MONTAGEM. AF_12/2015</v>
      </c>
      <c r="C60" s="41" t="str">
        <f>Orçamento!E43</f>
        <v>KG</v>
      </c>
      <c r="D60" s="42"/>
      <c r="E60" s="43">
        <f>Orçamento!H43</f>
        <v>13.27</v>
      </c>
      <c r="F60" s="43">
        <f>Orçamento!F43</f>
        <v>10362.9</v>
      </c>
      <c r="G60" s="42"/>
      <c r="H60" s="42"/>
      <c r="I60" s="55">
        <f t="shared" si="15"/>
        <v>137515.68299999999</v>
      </c>
      <c r="J60" s="55"/>
      <c r="K60" s="55"/>
      <c r="L60" s="44">
        <f t="shared" si="4"/>
        <v>0</v>
      </c>
    </row>
    <row r="61" spans="1:12" ht="38.25" x14ac:dyDescent="0.25">
      <c r="A61" s="41" t="str">
        <f>Orçamento!A44</f>
        <v xml:space="preserve"> 5.8 </v>
      </c>
      <c r="B61" s="46" t="str">
        <f>Orçamento!D44</f>
        <v>ARMAÇÃO DE PILAR OU VIGA DE UMA ESTRUTURA CONVENCIONAL DE CONCRETO ARMADO EM UMA EDIFICAÇÃO TÉRREA OU SOBRADO UTILIZANDO AÇO CA-50 DE 16,0 MM - MONTAGEM. AF_12/2015</v>
      </c>
      <c r="C61" s="41" t="str">
        <f>Orçamento!E44</f>
        <v>KG</v>
      </c>
      <c r="D61" s="42"/>
      <c r="E61" s="43">
        <f>Orçamento!H44</f>
        <v>12.54</v>
      </c>
      <c r="F61" s="43">
        <f>Orçamento!F44</f>
        <v>3520.1</v>
      </c>
      <c r="G61" s="42"/>
      <c r="H61" s="42"/>
      <c r="I61" s="55">
        <f t="shared" si="15"/>
        <v>44142.053999999996</v>
      </c>
      <c r="J61" s="55"/>
      <c r="K61" s="55"/>
      <c r="L61" s="44">
        <f t="shared" si="4"/>
        <v>0</v>
      </c>
    </row>
    <row r="62" spans="1:12" ht="25.5" x14ac:dyDescent="0.25">
      <c r="A62" s="41" t="str">
        <f>Orçamento!A45</f>
        <v xml:space="preserve"> 5.9 </v>
      </c>
      <c r="B62" s="46" t="str">
        <f>Orçamento!D45</f>
        <v>ARMAÇÃO DE PILAR OU VIGA DE ESTRUTURA CONVENCIONAL DE CONCRETO ARMADO UTILIZANDO AÇO CA-50 DE 20,0 MM - MONTAGEM. AF_06/2022</v>
      </c>
      <c r="C62" s="41" t="str">
        <f>Orçamento!E45</f>
        <v>KG</v>
      </c>
      <c r="D62" s="42"/>
      <c r="E62" s="43">
        <f>Orçamento!H45</f>
        <v>13.47</v>
      </c>
      <c r="F62" s="43">
        <f>Orçamento!F45</f>
        <v>1155.7</v>
      </c>
      <c r="G62" s="42"/>
      <c r="H62" s="42"/>
      <c r="I62" s="55">
        <f t="shared" si="15"/>
        <v>15567.279</v>
      </c>
      <c r="J62" s="55"/>
      <c r="K62" s="55"/>
      <c r="L62" s="44">
        <f t="shared" si="4"/>
        <v>0</v>
      </c>
    </row>
    <row r="63" spans="1:12" ht="25.5" x14ac:dyDescent="0.25">
      <c r="A63" s="41" t="str">
        <f>Orçamento!A46</f>
        <v xml:space="preserve"> 5.10 </v>
      </c>
      <c r="B63" s="46" t="str">
        <f>Orçamento!D46</f>
        <v>ARMAÇÃO DE PILAR OU VIGA DE ESTRUTURA CONVENCIONAL DE CONCRETO ARMADO UTILIZANDO AÇO CA-50 DE 25,0 MM - MONTAGEM. AF_06/2022</v>
      </c>
      <c r="C63" s="41" t="str">
        <f>Orçamento!E46</f>
        <v>KG</v>
      </c>
      <c r="D63" s="42"/>
      <c r="E63" s="43">
        <f>Orçamento!H46</f>
        <v>13.38</v>
      </c>
      <c r="F63" s="43">
        <f>Orçamento!F46</f>
        <v>820.3</v>
      </c>
      <c r="G63" s="42"/>
      <c r="H63" s="42"/>
      <c r="I63" s="55">
        <f t="shared" si="15"/>
        <v>10975.614</v>
      </c>
      <c r="J63" s="55"/>
      <c r="K63" s="55"/>
      <c r="L63" s="44">
        <f t="shared" si="4"/>
        <v>0</v>
      </c>
    </row>
    <row r="64" spans="1:12" ht="25.5" x14ac:dyDescent="0.25">
      <c r="A64" s="41" t="str">
        <f>Orçamento!A47</f>
        <v xml:space="preserve"> 5.11 </v>
      </c>
      <c r="B64" s="46" t="str">
        <f>Orçamento!D47</f>
        <v>LAJE PRÉ-MOLDADA UNIDIRECIONAL, BIAPOIADA, PARA FORRO, ENCHIMENTO EM CERÂMICA, VIGOTA CONVENCIONAL, ALTURA TOTAL DA LAJE (ENCHIMENTO+CAPA) = (8+3). AF_11/2020</v>
      </c>
      <c r="C64" s="41" t="str">
        <f>Orçamento!E47</f>
        <v>m²</v>
      </c>
      <c r="D64" s="42"/>
      <c r="E64" s="43">
        <f>Orçamento!H47</f>
        <v>173.16</v>
      </c>
      <c r="F64" s="43">
        <f>Orçamento!F47</f>
        <v>258</v>
      </c>
      <c r="G64" s="42"/>
      <c r="H64" s="42"/>
      <c r="I64" s="55">
        <f t="shared" si="15"/>
        <v>44675.28</v>
      </c>
      <c r="J64" s="55"/>
      <c r="K64" s="55"/>
      <c r="L64" s="44">
        <f t="shared" si="4"/>
        <v>0</v>
      </c>
    </row>
    <row r="65" spans="1:12" ht="25.5" x14ac:dyDescent="0.25">
      <c r="A65" s="41" t="str">
        <f>Orçamento!A48</f>
        <v xml:space="preserve"> 5.12 </v>
      </c>
      <c r="B65" s="46" t="str">
        <f>Orçamento!D48</f>
        <v>MONTAGEM E DESMONTAGEM DE FÔRMA DE LAJE MACIÇA, PÉ-DIREITO SIMPLES, EM CHAPA DE MADEIRA COMPENSADA RESINADA, 4 UTILIZAÇÕES. AF_09/2020</v>
      </c>
      <c r="C65" s="41" t="str">
        <f>Orçamento!E48</f>
        <v>m²</v>
      </c>
      <c r="D65" s="42"/>
      <c r="E65" s="43">
        <f>Orçamento!H48</f>
        <v>42.96</v>
      </c>
      <c r="F65" s="43">
        <f>Orçamento!F48</f>
        <v>1363.47</v>
      </c>
      <c r="G65" s="42"/>
      <c r="H65" s="42"/>
      <c r="I65" s="55">
        <f t="shared" si="15"/>
        <v>58574.671200000004</v>
      </c>
      <c r="J65" s="55"/>
      <c r="K65" s="55"/>
      <c r="L65" s="44">
        <f t="shared" si="4"/>
        <v>0</v>
      </c>
    </row>
    <row r="66" spans="1:12" ht="25.5" x14ac:dyDescent="0.25">
      <c r="A66" s="41" t="str">
        <f>Orçamento!A49</f>
        <v xml:space="preserve"> 5.13 </v>
      </c>
      <c r="B66" s="46" t="str">
        <f>Orçamento!D49</f>
        <v>MONTAGEM E DESMONTAGEM DE FÔRMA DE VIGA, ESCORAMENTO METÁLICO, PÉ-DIREITO SIMPLES, EM CHAPA DE MADEIRA RESINADA, 4 UTILIZAÇÕES. AF_09/2020</v>
      </c>
      <c r="C66" s="41" t="str">
        <f>Orçamento!E49</f>
        <v>m²</v>
      </c>
      <c r="D66" s="42"/>
      <c r="E66" s="43">
        <f>Orçamento!H49</f>
        <v>114.95</v>
      </c>
      <c r="F66" s="43">
        <f>Orçamento!F49</f>
        <v>931.33</v>
      </c>
      <c r="G66" s="42"/>
      <c r="H66" s="42"/>
      <c r="I66" s="55">
        <f t="shared" si="15"/>
        <v>107056.38350000001</v>
      </c>
      <c r="J66" s="55"/>
      <c r="K66" s="55"/>
      <c r="L66" s="44">
        <f t="shared" si="4"/>
        <v>0</v>
      </c>
    </row>
    <row r="67" spans="1:12" ht="38.25" x14ac:dyDescent="0.25">
      <c r="A67" s="41" t="str">
        <f>Orçamento!A50</f>
        <v xml:space="preserve"> 5.14 </v>
      </c>
      <c r="B67" s="46" t="str">
        <f>Orçamento!D50</f>
        <v>MONTAGEM E DESMONTAGEM DE FÔRMA DE PILARES RETANGULARES E ESTRUTURAS SIMILARES, PÉ-DIREITO SIMPLES, EM CHAPA DE MADEIRA COMPENSADA RESINADA, 4 UTILIZAÇÕES. AF_09/2020</v>
      </c>
      <c r="C67" s="41" t="str">
        <f>Orçamento!E50</f>
        <v>m²</v>
      </c>
      <c r="D67" s="42"/>
      <c r="E67" s="43">
        <f>Orçamento!H50</f>
        <v>77.819999999999993</v>
      </c>
      <c r="F67" s="43">
        <f>Orçamento!F50</f>
        <v>769.49</v>
      </c>
      <c r="G67" s="42"/>
      <c r="H67" s="42"/>
      <c r="I67" s="55">
        <f t="shared" si="15"/>
        <v>59881.711799999997</v>
      </c>
      <c r="J67" s="55"/>
      <c r="K67" s="55"/>
      <c r="L67" s="44">
        <f t="shared" si="4"/>
        <v>0</v>
      </c>
    </row>
    <row r="68" spans="1:12" ht="38.25" x14ac:dyDescent="0.25">
      <c r="A68" s="41" t="str">
        <f>Orçamento!A51</f>
        <v xml:space="preserve"> 5.15 </v>
      </c>
      <c r="B68" s="46" t="str">
        <f>Orçamento!D51</f>
        <v>ESTRUTURA TRELIÇADA DE COBERTURA, TIPO ARCO, COM LIGAÇÕES SOLDADAS, INCLUSOS PERFIS METÁLICOS, CHAPAS METÁLICAS, MÃO DE OBRA E TRANSPORTE COM GUINDASTE - FORNECIMENTO E INSTALAÇÃO. AF_01/2020_P</v>
      </c>
      <c r="C68" s="41" t="str">
        <f>Orçamento!E51</f>
        <v>KG</v>
      </c>
      <c r="D68" s="42"/>
      <c r="E68" s="43">
        <f>Orçamento!H51</f>
        <v>22.9</v>
      </c>
      <c r="F68" s="43">
        <f>Orçamento!F51</f>
        <v>39930</v>
      </c>
      <c r="G68" s="42"/>
      <c r="H68" s="42"/>
      <c r="I68" s="55">
        <f t="shared" si="15"/>
        <v>914397</v>
      </c>
      <c r="J68" s="55"/>
      <c r="K68" s="55"/>
      <c r="L68" s="44">
        <f t="shared" si="4"/>
        <v>0</v>
      </c>
    </row>
    <row r="69" spans="1:12" x14ac:dyDescent="0.25">
      <c r="A69" s="39" t="str">
        <f>Orçamento!A52</f>
        <v xml:space="preserve"> 6 </v>
      </c>
      <c r="B69" s="45" t="str">
        <f>Orçamento!D52</f>
        <v>VEDAÇÕES</v>
      </c>
      <c r="C69" s="39"/>
      <c r="D69" s="47"/>
      <c r="E69" s="48"/>
      <c r="F69" s="48"/>
      <c r="G69" s="47"/>
      <c r="H69" s="47"/>
      <c r="I69" s="56"/>
      <c r="J69" s="56"/>
      <c r="K69" s="56"/>
      <c r="L69" s="49"/>
    </row>
    <row r="70" spans="1:12" ht="25.5" x14ac:dyDescent="0.25">
      <c r="A70" s="41" t="str">
        <f>Orçamento!A53</f>
        <v xml:space="preserve"> 6.1 </v>
      </c>
      <c r="B70" s="46" t="str">
        <f>Orçamento!D53</f>
        <v>ALVENARIA DE VEDAÇÃO DE BLOCOS CERÂMICOS FURADOS NA HORIZONTAL DE 9X19X19 CM (ESPESSURA 9 CM) E ARGAMASSA DE ASSENTAMENTO COM PREPARO EM BETONEIRA. AF_12/2021</v>
      </c>
      <c r="C70" s="41" t="str">
        <f>Orçamento!E53</f>
        <v>m²</v>
      </c>
      <c r="D70" s="42"/>
      <c r="E70" s="43">
        <f>Orçamento!H53</f>
        <v>81.739999999999995</v>
      </c>
      <c r="F70" s="43">
        <f>Orçamento!F53</f>
        <v>5010.03</v>
      </c>
      <c r="G70" s="42"/>
      <c r="H70" s="42"/>
      <c r="I70" s="55">
        <f t="shared" si="15"/>
        <v>409519.85219999996</v>
      </c>
      <c r="J70" s="55"/>
      <c r="K70" s="55"/>
      <c r="L70" s="44">
        <f t="shared" si="4"/>
        <v>0</v>
      </c>
    </row>
    <row r="71" spans="1:12" x14ac:dyDescent="0.25">
      <c r="A71" s="41" t="str">
        <f>Orçamento!A54</f>
        <v xml:space="preserve"> 6.2 </v>
      </c>
      <c r="B71" s="46" t="str">
        <f>Orçamento!D54</f>
        <v>ALVENARIA DE VEDAÇÃO DE BLOCOS DE GESSO DE 7X50X66CM (ESPESSURA 7CM). AF_05/2020</v>
      </c>
      <c r="C71" s="41" t="str">
        <f>Orçamento!E54</f>
        <v>m²</v>
      </c>
      <c r="D71" s="42"/>
      <c r="E71" s="43">
        <f>Orçamento!H54</f>
        <v>66.09</v>
      </c>
      <c r="F71" s="43">
        <f>Orçamento!F54</f>
        <v>18.91</v>
      </c>
      <c r="G71" s="42"/>
      <c r="H71" s="42"/>
      <c r="I71" s="55">
        <f t="shared" si="15"/>
        <v>1249.7619</v>
      </c>
      <c r="J71" s="55"/>
      <c r="K71" s="55"/>
      <c r="L71" s="44">
        <f t="shared" si="4"/>
        <v>0</v>
      </c>
    </row>
    <row r="72" spans="1:12" ht="25.5" x14ac:dyDescent="0.25">
      <c r="A72" s="41" t="str">
        <f>Orçamento!A55</f>
        <v xml:space="preserve"> 6.3 </v>
      </c>
      <c r="B72" s="46" t="str">
        <f>Orçamento!D55</f>
        <v>DIVISORIA SANITÁRIA, TIPO CABINE, EM GRANITO CINZA POLIDO, ESP = 3CM, ASSENTADO COM ARGAMASSA COLANTE AC III-E, EXCLUSIVE FERRAGENS. AF_01/2021</v>
      </c>
      <c r="C72" s="41" t="str">
        <f>Orçamento!E55</f>
        <v>m²</v>
      </c>
      <c r="D72" s="42"/>
      <c r="E72" s="43">
        <f>Orçamento!H55</f>
        <v>653.51</v>
      </c>
      <c r="F72" s="43">
        <f>Orçamento!F55</f>
        <v>70.52</v>
      </c>
      <c r="G72" s="42"/>
      <c r="H72" s="42"/>
      <c r="I72" s="55">
        <f t="shared" si="15"/>
        <v>46085.525199999996</v>
      </c>
      <c r="J72" s="55"/>
      <c r="K72" s="55"/>
      <c r="L72" s="44">
        <f t="shared" si="4"/>
        <v>0</v>
      </c>
    </row>
    <row r="73" spans="1:12" x14ac:dyDescent="0.25">
      <c r="A73" s="41" t="str">
        <f>Orçamento!A56</f>
        <v xml:space="preserve"> 6.4 </v>
      </c>
      <c r="B73" s="46" t="str">
        <f>Orçamento!D56</f>
        <v>CINTA DE AMARRAÇÃO DE ALVENARIA MOLDADA IN LOCO EM CONCRETO. AF_03/2016</v>
      </c>
      <c r="C73" s="41" t="str">
        <f>Orçamento!E56</f>
        <v>M</v>
      </c>
      <c r="D73" s="42"/>
      <c r="E73" s="43">
        <f>Orçamento!H56</f>
        <v>64.180000000000007</v>
      </c>
      <c r="F73" s="43">
        <f>Orçamento!F56</f>
        <v>1110.2</v>
      </c>
      <c r="G73" s="42"/>
      <c r="H73" s="42"/>
      <c r="I73" s="55">
        <f t="shared" si="15"/>
        <v>71252.636000000013</v>
      </c>
      <c r="J73" s="55"/>
      <c r="K73" s="55"/>
      <c r="L73" s="44">
        <f t="shared" si="4"/>
        <v>0</v>
      </c>
    </row>
    <row r="74" spans="1:12" x14ac:dyDescent="0.25">
      <c r="A74" s="41" t="str">
        <f>Orçamento!A57</f>
        <v xml:space="preserve"> 6.5 </v>
      </c>
      <c r="B74" s="46" t="str">
        <f>Orçamento!D57</f>
        <v>VERGA PRÉ-MOLDADA PARA JANELAS COM ATÉ 1,5 M DE VÃO. AF_03/2016</v>
      </c>
      <c r="C74" s="41" t="str">
        <f>Orçamento!E57</f>
        <v>M</v>
      </c>
      <c r="D74" s="42"/>
      <c r="E74" s="43">
        <f>Orçamento!H57</f>
        <v>49.49</v>
      </c>
      <c r="F74" s="43">
        <f>Orçamento!F57</f>
        <v>37.6</v>
      </c>
      <c r="G74" s="42"/>
      <c r="H74" s="42"/>
      <c r="I74" s="55">
        <f t="shared" si="15"/>
        <v>1860.8240000000001</v>
      </c>
      <c r="J74" s="55"/>
      <c r="K74" s="55"/>
      <c r="L74" s="44">
        <f t="shared" si="4"/>
        <v>0</v>
      </c>
    </row>
    <row r="75" spans="1:12" x14ac:dyDescent="0.25">
      <c r="A75" s="41" t="str">
        <f>Orçamento!A58</f>
        <v xml:space="preserve"> 6.6 </v>
      </c>
      <c r="B75" s="46" t="str">
        <f>Orçamento!D58</f>
        <v>CONTRAVERGA PRÉ-MOLDADA PARA VÃOS DE ATÉ 1,5 M DE COMPRIMENTO. AF_03/2016</v>
      </c>
      <c r="C75" s="41" t="str">
        <f>Orçamento!E58</f>
        <v>M</v>
      </c>
      <c r="D75" s="42"/>
      <c r="E75" s="43">
        <f>Orçamento!H58</f>
        <v>48.51</v>
      </c>
      <c r="F75" s="43">
        <f>Orçamento!F58</f>
        <v>37.6</v>
      </c>
      <c r="G75" s="42"/>
      <c r="H75" s="42"/>
      <c r="I75" s="55">
        <f t="shared" si="15"/>
        <v>1823.9759999999999</v>
      </c>
      <c r="J75" s="55"/>
      <c r="K75" s="55"/>
      <c r="L75" s="44">
        <f t="shared" si="4"/>
        <v>0</v>
      </c>
    </row>
    <row r="76" spans="1:12" x14ac:dyDescent="0.25">
      <c r="A76" s="41" t="str">
        <f>Orçamento!A59</f>
        <v xml:space="preserve"> 6.7 </v>
      </c>
      <c r="B76" s="46" t="str">
        <f>Orçamento!D59</f>
        <v>VERGA PRÉ-MOLDADA PARA JANELAS COM MAIS DE 1,5 M DE VÃO. AF_03/2016</v>
      </c>
      <c r="C76" s="41" t="str">
        <f>Orçamento!E59</f>
        <v>M</v>
      </c>
      <c r="D76" s="42"/>
      <c r="E76" s="43">
        <f>Orçamento!H59</f>
        <v>63.57</v>
      </c>
      <c r="F76" s="43">
        <f>Orçamento!F59</f>
        <v>37.6</v>
      </c>
      <c r="G76" s="42"/>
      <c r="H76" s="42"/>
      <c r="I76" s="55">
        <f t="shared" si="15"/>
        <v>2390.232</v>
      </c>
      <c r="J76" s="55"/>
      <c r="K76" s="55"/>
      <c r="L76" s="44">
        <f t="shared" si="4"/>
        <v>0</v>
      </c>
    </row>
    <row r="77" spans="1:12" x14ac:dyDescent="0.25">
      <c r="A77" s="41" t="str">
        <f>Orçamento!A60</f>
        <v xml:space="preserve"> 6.8 </v>
      </c>
      <c r="B77" s="46" t="str">
        <f>Orçamento!D60</f>
        <v>CONTRAVERGA PRÉ-MOLDADA PARA VÃOS DE MAIS DE 1,5 M DE COMPRIMENTO. AF_03/2016</v>
      </c>
      <c r="C77" s="41" t="str">
        <f>Orçamento!E60</f>
        <v>M</v>
      </c>
      <c r="D77" s="42"/>
      <c r="E77" s="43">
        <f>Orçamento!H60</f>
        <v>58.97</v>
      </c>
      <c r="F77" s="43">
        <f>Orçamento!F60</f>
        <v>37.6</v>
      </c>
      <c r="G77" s="42"/>
      <c r="H77" s="42"/>
      <c r="I77" s="55">
        <f t="shared" si="15"/>
        <v>2217.2719999999999</v>
      </c>
      <c r="J77" s="55"/>
      <c r="K77" s="55"/>
      <c r="L77" s="44">
        <f t="shared" si="4"/>
        <v>0</v>
      </c>
    </row>
    <row r="78" spans="1:12" x14ac:dyDescent="0.25">
      <c r="A78" s="41" t="str">
        <f>Orçamento!A61</f>
        <v xml:space="preserve"> 6.9 </v>
      </c>
      <c r="B78" s="46" t="str">
        <f>Orçamento!D61</f>
        <v>VERGA PRÉ-MOLDADA PARA PORTAS COM ATÉ 1,5 M DE VÃO. AF_03/2016</v>
      </c>
      <c r="C78" s="41" t="str">
        <f>Orçamento!E61</f>
        <v>M</v>
      </c>
      <c r="D78" s="42"/>
      <c r="E78" s="43">
        <f>Orçamento!H61</f>
        <v>36.5</v>
      </c>
      <c r="F78" s="43">
        <f>Orçamento!F61</f>
        <v>76.540000000000006</v>
      </c>
      <c r="G78" s="42"/>
      <c r="H78" s="42"/>
      <c r="I78" s="55">
        <f t="shared" si="15"/>
        <v>2793.71</v>
      </c>
      <c r="J78" s="55"/>
      <c r="K78" s="55"/>
      <c r="L78" s="44">
        <f t="shared" si="4"/>
        <v>0</v>
      </c>
    </row>
    <row r="79" spans="1:12" x14ac:dyDescent="0.25">
      <c r="A79" s="41" t="str">
        <f>Orçamento!A62</f>
        <v xml:space="preserve"> 6.10 </v>
      </c>
      <c r="B79" s="46" t="str">
        <f>Orçamento!D62</f>
        <v>VERGA PRÉ-MOLDADA PARA PORTAS COM MAIS DE 1,5 M DE VÃO. AF_03/2016</v>
      </c>
      <c r="C79" s="41" t="str">
        <f>Orçamento!E62</f>
        <v>M</v>
      </c>
      <c r="D79" s="42"/>
      <c r="E79" s="43">
        <f>Orçamento!H62</f>
        <v>62.69</v>
      </c>
      <c r="F79" s="43">
        <f>Orçamento!F62</f>
        <v>50.86</v>
      </c>
      <c r="G79" s="42"/>
      <c r="H79" s="42"/>
      <c r="I79" s="55">
        <f t="shared" si="15"/>
        <v>3188.4133999999999</v>
      </c>
      <c r="J79" s="55"/>
      <c r="K79" s="55"/>
      <c r="L79" s="44">
        <f t="shared" si="4"/>
        <v>0</v>
      </c>
    </row>
    <row r="80" spans="1:12" ht="25.5" x14ac:dyDescent="0.25">
      <c r="A80" s="41" t="str">
        <f>Orçamento!A63</f>
        <v xml:space="preserve"> 6.11 </v>
      </c>
      <c r="B80" s="46" t="str">
        <f>Orçamento!D63</f>
        <v>FIXAÇÃO (ENCUNHAMENTO) DE ALVENARIA DE VEDAÇÃO COM ESPUMA DE POLIURETANO EXPANSIVA. AF_03/2016</v>
      </c>
      <c r="C80" s="41" t="str">
        <f>Orçamento!E63</f>
        <v>M</v>
      </c>
      <c r="D80" s="42"/>
      <c r="E80" s="43">
        <f>Orçamento!H63</f>
        <v>16.25</v>
      </c>
      <c r="F80" s="43">
        <f>Orçamento!F63</f>
        <v>818.67</v>
      </c>
      <c r="G80" s="42"/>
      <c r="H80" s="42"/>
      <c r="I80" s="55">
        <f t="shared" si="15"/>
        <v>13303.387499999999</v>
      </c>
      <c r="J80" s="55"/>
      <c r="K80" s="55"/>
      <c r="L80" s="44">
        <f t="shared" si="4"/>
        <v>0</v>
      </c>
    </row>
    <row r="81" spans="1:12" ht="38.25" x14ac:dyDescent="0.25">
      <c r="A81" s="41" t="str">
        <f>Orçamento!A64</f>
        <v xml:space="preserve"> 6.12 </v>
      </c>
      <c r="B81" s="46" t="str">
        <f>Orçamento!D64</f>
        <v>Fornecimento e instalação de fachada em pele de vidro, linha Citta Due Alcoa, em vidro laminado 3+3 prata refletivo medindo 8,30x6,87m,c/06 modulos vertical e 11 modulos horizontal. e 05 janelas maxi mar (obra:Sup.Reg.Trabalho)</v>
      </c>
      <c r="C81" s="41" t="str">
        <f>Orçamento!E64</f>
        <v>m²</v>
      </c>
      <c r="D81" s="42"/>
      <c r="E81" s="43">
        <f>Orçamento!H64</f>
        <v>2117.0300000000002</v>
      </c>
      <c r="F81" s="43">
        <f>Orçamento!F64</f>
        <v>448.8</v>
      </c>
      <c r="G81" s="42"/>
      <c r="H81" s="42"/>
      <c r="I81" s="55">
        <f t="shared" si="15"/>
        <v>950123.06400000013</v>
      </c>
      <c r="J81" s="55"/>
      <c r="K81" s="55"/>
      <c r="L81" s="44">
        <f t="shared" si="4"/>
        <v>0</v>
      </c>
    </row>
    <row r="82" spans="1:12" x14ac:dyDescent="0.25">
      <c r="A82" s="39" t="str">
        <f>Orçamento!A65</f>
        <v xml:space="preserve"> 7 </v>
      </c>
      <c r="B82" s="45" t="str">
        <f>Orçamento!D65</f>
        <v>PISOS INTERNOS E EXTERNOS</v>
      </c>
      <c r="C82" s="39"/>
      <c r="D82" s="47"/>
      <c r="E82" s="48"/>
      <c r="F82" s="48"/>
      <c r="G82" s="47"/>
      <c r="H82" s="47"/>
      <c r="I82" s="56"/>
      <c r="J82" s="56"/>
      <c r="K82" s="56"/>
      <c r="L82" s="49"/>
    </row>
    <row r="83" spans="1:12" ht="25.5" x14ac:dyDescent="0.25">
      <c r="A83" s="41" t="str">
        <f>Orçamento!A66</f>
        <v xml:space="preserve"> 7.1 </v>
      </c>
      <c r="B83" s="46" t="str">
        <f>Orçamento!D66</f>
        <v>CAMADA SEPARADORA PARA EXECUÇÃO DE RADIER, PISO DE CONCRETO OU LAJE SOBRE SOLO, EM LONA PLÁSTICA. AF_09/2021</v>
      </c>
      <c r="C83" s="41" t="str">
        <f>Orçamento!E66</f>
        <v>m²</v>
      </c>
      <c r="D83" s="42"/>
      <c r="E83" s="43">
        <f>Orçamento!H66</f>
        <v>2.65</v>
      </c>
      <c r="F83" s="43">
        <f>Orçamento!F66</f>
        <v>1986.21</v>
      </c>
      <c r="G83" s="42"/>
      <c r="H83" s="42"/>
      <c r="I83" s="55">
        <f t="shared" si="15"/>
        <v>5263.4565000000002</v>
      </c>
      <c r="J83" s="55"/>
      <c r="K83" s="55"/>
      <c r="L83" s="44">
        <f t="shared" si="4"/>
        <v>0</v>
      </c>
    </row>
    <row r="84" spans="1:12" ht="25.5" x14ac:dyDescent="0.25">
      <c r="A84" s="41" t="str">
        <f>Orçamento!A67</f>
        <v xml:space="preserve"> 7.2 </v>
      </c>
      <c r="B84" s="46" t="str">
        <f>Orçamento!D67</f>
        <v>CONCRETO MAGRO PARA LASTRO, TRAÇO 1:4,5:4,5 (EM MASSA SECA DE CIMENTO/ AREIA MÉDIA/ BRITA 1) - PREPARO MECÂNICO COM BETONEIRA 600 L. AF_05/2021</v>
      </c>
      <c r="C84" s="41" t="str">
        <f>Orçamento!E67</f>
        <v>m³</v>
      </c>
      <c r="D84" s="42"/>
      <c r="E84" s="43">
        <f>Orçamento!H67</f>
        <v>411.19</v>
      </c>
      <c r="F84" s="43">
        <f>Orçamento!F67</f>
        <v>158.9</v>
      </c>
      <c r="G84" s="42"/>
      <c r="H84" s="42"/>
      <c r="I84" s="55">
        <f t="shared" si="15"/>
        <v>65338.091</v>
      </c>
      <c r="J84" s="55"/>
      <c r="K84" s="55"/>
      <c r="L84" s="44">
        <f t="shared" si="4"/>
        <v>0</v>
      </c>
    </row>
    <row r="85" spans="1:12" ht="25.5" x14ac:dyDescent="0.25">
      <c r="A85" s="41" t="str">
        <f>Orçamento!A68</f>
        <v xml:space="preserve"> 7.3 </v>
      </c>
      <c r="B85" s="46" t="str">
        <f>Orçamento!D68</f>
        <v>CONTRAPISO COM ARGAMASSA AUTONIVELANTE, APLICADO SOBRE LAJE, ADERIDO, ESPESSURA 3CM. AF_07/2021</v>
      </c>
      <c r="C85" s="41" t="str">
        <f>Orçamento!E68</f>
        <v>m²</v>
      </c>
      <c r="D85" s="42"/>
      <c r="E85" s="43">
        <f>Orçamento!H68</f>
        <v>29.97</v>
      </c>
      <c r="F85" s="43">
        <f>Orçamento!F68</f>
        <v>1853.76</v>
      </c>
      <c r="G85" s="42"/>
      <c r="H85" s="42"/>
      <c r="I85" s="55">
        <f t="shared" si="15"/>
        <v>55557.1872</v>
      </c>
      <c r="J85" s="55"/>
      <c r="K85" s="55"/>
      <c r="L85" s="44">
        <f t="shared" si="4"/>
        <v>0</v>
      </c>
    </row>
    <row r="86" spans="1:12" ht="25.5" x14ac:dyDescent="0.25">
      <c r="A86" s="41" t="str">
        <f>Orçamento!A69</f>
        <v xml:space="preserve"> 7.4 </v>
      </c>
      <c r="B86" s="46" t="str">
        <f>Orçamento!D69</f>
        <v>REVESTIMENTO CERÂMICO PARA PISO COM PLACAS TIPO PORCELANATO DE DIMENSÕES 60X60 CM APLICADA EM AMBIENTES DE ÁREA MAIOR QUE 10 M². AF_06/2014</v>
      </c>
      <c r="C86" s="41" t="str">
        <f>Orçamento!E69</f>
        <v>m²</v>
      </c>
      <c r="D86" s="42"/>
      <c r="E86" s="43">
        <f>Orçamento!H69</f>
        <v>185.01</v>
      </c>
      <c r="F86" s="43">
        <f>Orçamento!F69</f>
        <v>203.32</v>
      </c>
      <c r="G86" s="42"/>
      <c r="H86" s="42"/>
      <c r="I86" s="55">
        <f t="shared" si="15"/>
        <v>37616.233199999995</v>
      </c>
      <c r="J86" s="55"/>
      <c r="K86" s="55"/>
      <c r="L86" s="44">
        <f t="shared" si="4"/>
        <v>0</v>
      </c>
    </row>
    <row r="87" spans="1:12" ht="25.5" x14ac:dyDescent="0.25">
      <c r="A87" s="41" t="str">
        <f>Orçamento!A70</f>
        <v xml:space="preserve"> 7.5 </v>
      </c>
      <c r="B87" s="46" t="str">
        <f>Orçamento!D70</f>
        <v>REVESTIMENTO CERÂMICO PARA PISO COM PLACAS TIPO PORCELANATO DE DIMENSÕES 60X60 CM APLICADA EM AMBIENTES DE ÁREA ENTRE 5 M² E 10 M². AF_06/2014</v>
      </c>
      <c r="C87" s="41" t="str">
        <f>Orçamento!E70</f>
        <v>m²</v>
      </c>
      <c r="D87" s="42"/>
      <c r="E87" s="43">
        <f>Orçamento!H70</f>
        <v>193.94</v>
      </c>
      <c r="F87" s="43">
        <f>Orçamento!F70</f>
        <v>1673</v>
      </c>
      <c r="G87" s="42"/>
      <c r="H87" s="42"/>
      <c r="I87" s="55">
        <f t="shared" si="15"/>
        <v>324461.62</v>
      </c>
      <c r="J87" s="55"/>
      <c r="K87" s="55"/>
      <c r="L87" s="44">
        <f t="shared" si="4"/>
        <v>0</v>
      </c>
    </row>
    <row r="88" spans="1:12" ht="25.5" x14ac:dyDescent="0.25">
      <c r="A88" s="41" t="str">
        <f>Orçamento!A71</f>
        <v xml:space="preserve"> 7.6 </v>
      </c>
      <c r="B88" s="46" t="str">
        <f>Orçamento!D71</f>
        <v>EXECUÇÃO DE PASSEIO (CALÇADA) OU PISO DE CONCRETO COM CONCRETO MOLDADO IN LOCO, USINADO, ACABAMENTO CONVENCIONAL, ESPESSURA 8 CM, ARMADO. AF_08/2022</v>
      </c>
      <c r="C88" s="41" t="str">
        <f>Orçamento!E71</f>
        <v>m²</v>
      </c>
      <c r="D88" s="42"/>
      <c r="E88" s="43">
        <f>Orçamento!H71</f>
        <v>90.17</v>
      </c>
      <c r="F88" s="43">
        <f>Orçamento!F71</f>
        <v>660.13</v>
      </c>
      <c r="G88" s="42"/>
      <c r="H88" s="42"/>
      <c r="I88" s="55">
        <f t="shared" si="15"/>
        <v>59523.922100000003</v>
      </c>
      <c r="J88" s="55"/>
      <c r="K88" s="55"/>
      <c r="L88" s="44">
        <f t="shared" ref="L88:L151" si="16">K88/I88</f>
        <v>0</v>
      </c>
    </row>
    <row r="89" spans="1:12" ht="25.5" x14ac:dyDescent="0.25">
      <c r="A89" s="41" t="str">
        <f>Orçamento!A72</f>
        <v xml:space="preserve"> 7.7 </v>
      </c>
      <c r="B89" s="46" t="str">
        <f>Orçamento!D72</f>
        <v>CARPETE DE POLIPROPILENO EM MANTA PARA TRAFEGO COMERCIAL MEDIO, E = 5 A 6 MM (INSTALADO)</v>
      </c>
      <c r="C89" s="41" t="str">
        <f>Orçamento!E72</f>
        <v>m²</v>
      </c>
      <c r="D89" s="42"/>
      <c r="E89" s="43">
        <f>Orçamento!H72</f>
        <v>100.77</v>
      </c>
      <c r="F89" s="43">
        <f>Orçamento!F72</f>
        <v>400.81</v>
      </c>
      <c r="G89" s="42"/>
      <c r="H89" s="42"/>
      <c r="I89" s="55">
        <f t="shared" si="15"/>
        <v>40389.623699999996</v>
      </c>
      <c r="J89" s="55"/>
      <c r="K89" s="55"/>
      <c r="L89" s="44">
        <f t="shared" si="16"/>
        <v>0</v>
      </c>
    </row>
    <row r="90" spans="1:12" x14ac:dyDescent="0.25">
      <c r="A90" s="41" t="str">
        <f>Orçamento!A73</f>
        <v xml:space="preserve"> 7.8 </v>
      </c>
      <c r="B90" s="46" t="str">
        <f>Orçamento!D73</f>
        <v>PISO EM TACO DE MADEIRA 7X21CM, FIXADO COM COLA BASE DE PVA. AF_09/2020</v>
      </c>
      <c r="C90" s="41" t="str">
        <f>Orçamento!E73</f>
        <v>m²</v>
      </c>
      <c r="D90" s="42"/>
      <c r="E90" s="43">
        <f>Orçamento!H73</f>
        <v>238.04</v>
      </c>
      <c r="F90" s="43">
        <f>Orçamento!F73</f>
        <v>259.32</v>
      </c>
      <c r="G90" s="42"/>
      <c r="H90" s="42"/>
      <c r="I90" s="55">
        <f t="shared" si="15"/>
        <v>61728.532799999994</v>
      </c>
      <c r="J90" s="55"/>
      <c r="K90" s="55"/>
      <c r="L90" s="44">
        <f t="shared" si="16"/>
        <v>0</v>
      </c>
    </row>
    <row r="91" spans="1:12" ht="25.5" x14ac:dyDescent="0.25">
      <c r="A91" s="41" t="str">
        <f>Orçamento!A74</f>
        <v xml:space="preserve"> 7.9 </v>
      </c>
      <c r="B91" s="46" t="str">
        <f>Orçamento!D74</f>
        <v>PISO PODOTÁTIL DE ALERTA OU DIRECIONAL, DE BORRACHA, ASSENTADO SOBRE ARGAMASSA. AF_05/2020</v>
      </c>
      <c r="C91" s="41" t="str">
        <f>Orçamento!E74</f>
        <v>M</v>
      </c>
      <c r="D91" s="42"/>
      <c r="E91" s="43">
        <f>Orçamento!H74</f>
        <v>200.36</v>
      </c>
      <c r="F91" s="43">
        <f>Orçamento!F74</f>
        <v>100</v>
      </c>
      <c r="G91" s="42"/>
      <c r="H91" s="42"/>
      <c r="I91" s="55">
        <f t="shared" si="15"/>
        <v>20036</v>
      </c>
      <c r="J91" s="55"/>
      <c r="K91" s="55"/>
      <c r="L91" s="44">
        <f t="shared" si="16"/>
        <v>0</v>
      </c>
    </row>
    <row r="92" spans="1:12" ht="25.5" x14ac:dyDescent="0.25">
      <c r="A92" s="41" t="str">
        <f>Orçamento!A75</f>
        <v xml:space="preserve"> 7.10 </v>
      </c>
      <c r="B92" s="46" t="str">
        <f>Orçamento!D75</f>
        <v>(COMPOSIÇÃO REPRESENTATIVA) EXECUÇÃO DE ESCADA EM CONCRETO ARMADO, MOLDADA IN LOCO, FCK = 25 MPA. AF_02/2017</v>
      </c>
      <c r="C92" s="41" t="str">
        <f>Orçamento!E75</f>
        <v>m³</v>
      </c>
      <c r="D92" s="42"/>
      <c r="E92" s="43">
        <f>Orçamento!H75</f>
        <v>3363.38</v>
      </c>
      <c r="F92" s="43">
        <f>Orçamento!F75</f>
        <v>8</v>
      </c>
      <c r="G92" s="42"/>
      <c r="H92" s="42"/>
      <c r="I92" s="55">
        <f t="shared" si="15"/>
        <v>26907.040000000001</v>
      </c>
      <c r="J92" s="55"/>
      <c r="K92" s="55"/>
      <c r="L92" s="44">
        <f t="shared" si="16"/>
        <v>0</v>
      </c>
    </row>
    <row r="93" spans="1:12" ht="25.5" x14ac:dyDescent="0.25">
      <c r="A93" s="41" t="str">
        <f>Orçamento!A76</f>
        <v xml:space="preserve"> 7.11 </v>
      </c>
      <c r="B93" s="46" t="str">
        <f>Orçamento!D76</f>
        <v>EXECUÇÃO DE PÁTIO/ESTACIONAMENTO EM PISO INTERTRAVADO, COM BLOCO RETANGULAR DE 20 X 10 CM, ESPESSURA 10 CM. AF_12/2015</v>
      </c>
      <c r="C93" s="41" t="str">
        <f>Orçamento!E76</f>
        <v>m²</v>
      </c>
      <c r="D93" s="42"/>
      <c r="E93" s="43">
        <f>Orçamento!H76</f>
        <v>79.760000000000005</v>
      </c>
      <c r="F93" s="43">
        <f>Orçamento!F76</f>
        <v>2471.02</v>
      </c>
      <c r="G93" s="42"/>
      <c r="H93" s="42"/>
      <c r="I93" s="55">
        <f t="shared" si="15"/>
        <v>197088.5552</v>
      </c>
      <c r="J93" s="55"/>
      <c r="K93" s="55"/>
      <c r="L93" s="44">
        <f t="shared" si="16"/>
        <v>0</v>
      </c>
    </row>
    <row r="94" spans="1:12" ht="38.25" x14ac:dyDescent="0.25">
      <c r="A94" s="41" t="str">
        <f>Orçamento!A77</f>
        <v xml:space="preserve"> 7.12 </v>
      </c>
      <c r="B94" s="46" t="str">
        <f>Orçamento!D77</f>
        <v>ASSENTAMENTO DE GUIA (MEIO-FIO) EM TRECHO RETO, CONFECCIONADA EM CONCRETO PRÉ-FABRICADO, DIMENSÕES 100X15X13X20 CM (COMPRIMENTO X BASE INFERIOR X BASE SUPERIOR X ALTURA), PARA URBANIZAÇÃO INTERNA DE EMPREENDIMENTOS. AF_06/2016</v>
      </c>
      <c r="C94" s="41" t="str">
        <f>Orçamento!E77</f>
        <v>M</v>
      </c>
      <c r="D94" s="42"/>
      <c r="E94" s="43">
        <f>Orçamento!H77</f>
        <v>41.82</v>
      </c>
      <c r="F94" s="43">
        <f>Orçamento!F77</f>
        <v>932.17</v>
      </c>
      <c r="G94" s="42"/>
      <c r="H94" s="42"/>
      <c r="I94" s="55">
        <f t="shared" si="15"/>
        <v>38983.349399999999</v>
      </c>
      <c r="J94" s="55"/>
      <c r="K94" s="55"/>
      <c r="L94" s="44">
        <f t="shared" si="16"/>
        <v>0</v>
      </c>
    </row>
    <row r="95" spans="1:12" x14ac:dyDescent="0.25">
      <c r="A95" s="41" t="str">
        <f>Orçamento!A78</f>
        <v xml:space="preserve"> 7.13 </v>
      </c>
      <c r="B95" s="46" t="str">
        <f>Orçamento!D78</f>
        <v>AREIA PARA ATERRO - POSTO JAZIDA/FORNECEDOR (RETIRADO NA JAZIDA, SEM TRANSPORTE)</v>
      </c>
      <c r="C95" s="41" t="str">
        <f>Orçamento!E78</f>
        <v>m³</v>
      </c>
      <c r="D95" s="42"/>
      <c r="E95" s="43">
        <f>Orçamento!H78</f>
        <v>62.29</v>
      </c>
      <c r="F95" s="43">
        <f>Orçamento!F78</f>
        <v>296.58</v>
      </c>
      <c r="G95" s="42"/>
      <c r="H95" s="42"/>
      <c r="I95" s="55">
        <f t="shared" si="15"/>
        <v>18473.968199999999</v>
      </c>
      <c r="J95" s="55"/>
      <c r="K95" s="55"/>
      <c r="L95" s="44">
        <f t="shared" si="16"/>
        <v>0</v>
      </c>
    </row>
    <row r="96" spans="1:12" x14ac:dyDescent="0.25">
      <c r="A96" s="39" t="str">
        <f>Orçamento!A79</f>
        <v xml:space="preserve"> 8 </v>
      </c>
      <c r="B96" s="45" t="str">
        <f>Orçamento!D79</f>
        <v>C0BERTA</v>
      </c>
      <c r="C96" s="39"/>
      <c r="D96" s="47"/>
      <c r="E96" s="48"/>
      <c r="F96" s="48"/>
      <c r="G96" s="47"/>
      <c r="H96" s="47"/>
      <c r="I96" s="56"/>
      <c r="J96" s="56"/>
      <c r="K96" s="56"/>
      <c r="L96" s="49"/>
    </row>
    <row r="97" spans="1:12" ht="25.5" x14ac:dyDescent="0.25">
      <c r="A97" s="41" t="str">
        <f>Orçamento!A80</f>
        <v xml:space="preserve"> 8.1 </v>
      </c>
      <c r="B97" s="46" t="str">
        <f>Orçamento!D80</f>
        <v>TELHAMENTO COM TELHA METÁLICA TERMOACÚSTICA E = 30 MM, COM ATÉ 2 ÁGUAS, INCLUSO IÇAMENTO. AF_07/2019</v>
      </c>
      <c r="C97" s="41" t="str">
        <f>Orçamento!E80</f>
        <v>m²</v>
      </c>
      <c r="D97" s="42"/>
      <c r="E97" s="43">
        <f>Orçamento!H80</f>
        <v>276.37</v>
      </c>
      <c r="F97" s="43">
        <f>Orçamento!F80</f>
        <v>709.15</v>
      </c>
      <c r="G97" s="42"/>
      <c r="H97" s="42"/>
      <c r="I97" s="55">
        <f t="shared" si="15"/>
        <v>195987.7855</v>
      </c>
      <c r="J97" s="55"/>
      <c r="K97" s="55"/>
      <c r="L97" s="44">
        <f t="shared" si="16"/>
        <v>0</v>
      </c>
    </row>
    <row r="98" spans="1:12" ht="25.5" x14ac:dyDescent="0.25">
      <c r="A98" s="41" t="str">
        <f>Orçamento!A81</f>
        <v xml:space="preserve"> 8.2 </v>
      </c>
      <c r="B98" s="46" t="str">
        <f>Orçamento!D81</f>
        <v>TELHAMENTO COM TELHA DE AÇO/ALUMÍNIO E = 0,5 MM, COM ATÉ 2 ÁGUAS, INCLUSO IÇAMENTO. AF_07/2019</v>
      </c>
      <c r="C98" s="41" t="str">
        <f>Orçamento!E81</f>
        <v>m²</v>
      </c>
      <c r="D98" s="42"/>
      <c r="E98" s="43">
        <f>Orçamento!H81</f>
        <v>94.36</v>
      </c>
      <c r="F98" s="43">
        <f>Orçamento!F81</f>
        <v>649.82000000000005</v>
      </c>
      <c r="G98" s="42"/>
      <c r="H98" s="42"/>
      <c r="I98" s="55">
        <f t="shared" si="15"/>
        <v>61317.015200000002</v>
      </c>
      <c r="J98" s="55"/>
      <c r="K98" s="55"/>
      <c r="L98" s="44">
        <f t="shared" si="16"/>
        <v>0</v>
      </c>
    </row>
    <row r="99" spans="1:12" ht="25.5" x14ac:dyDescent="0.25">
      <c r="A99" s="41" t="str">
        <f>Orçamento!A82</f>
        <v xml:space="preserve"> 8.3 </v>
      </c>
      <c r="B99" s="46" t="str">
        <f>Orçamento!D82</f>
        <v>CALHA EM CHAPA DE AÇO GALVANIZADO NÚMERO 24, DESENVOLVIMENTO DE 50 CM, INCLUSO TRANSPORTE VERTICAL. AF_07/2019</v>
      </c>
      <c r="C99" s="41" t="str">
        <f>Orçamento!E82</f>
        <v>M</v>
      </c>
      <c r="D99" s="42"/>
      <c r="E99" s="43">
        <f>Orçamento!H82</f>
        <v>90.99</v>
      </c>
      <c r="F99" s="43">
        <f>Orçamento!F82</f>
        <v>152.62</v>
      </c>
      <c r="G99" s="42"/>
      <c r="H99" s="42"/>
      <c r="I99" s="55">
        <f t="shared" si="15"/>
        <v>13886.8938</v>
      </c>
      <c r="J99" s="55"/>
      <c r="K99" s="55"/>
      <c r="L99" s="44">
        <f t="shared" si="16"/>
        <v>0</v>
      </c>
    </row>
    <row r="100" spans="1:12" ht="25.5" x14ac:dyDescent="0.25">
      <c r="A100" s="41" t="str">
        <f>Orçamento!A83</f>
        <v xml:space="preserve"> 8.4 </v>
      </c>
      <c r="B100" s="46" t="str">
        <f>Orçamento!D83</f>
        <v>RUFO EM CHAPA DE AÇO GALVANIZADO NÚMERO 24, CORTE DE 25 CM, INCLUSO TRANSPORTE VERTICAL. AF_07/2019</v>
      </c>
      <c r="C100" s="41" t="str">
        <f>Orçamento!E83</f>
        <v>M</v>
      </c>
      <c r="D100" s="42"/>
      <c r="E100" s="43">
        <f>Orçamento!H83</f>
        <v>56.29</v>
      </c>
      <c r="F100" s="43">
        <f>Orçamento!F83</f>
        <v>152.62</v>
      </c>
      <c r="G100" s="42"/>
      <c r="H100" s="42"/>
      <c r="I100" s="55">
        <f t="shared" si="15"/>
        <v>8590.979800000001</v>
      </c>
      <c r="J100" s="55"/>
      <c r="K100" s="55"/>
      <c r="L100" s="44">
        <f t="shared" si="16"/>
        <v>0</v>
      </c>
    </row>
    <row r="101" spans="1:12" x14ac:dyDescent="0.25">
      <c r="A101" s="39" t="str">
        <f>Orçamento!A84</f>
        <v xml:space="preserve"> 9 </v>
      </c>
      <c r="B101" s="45" t="str">
        <f>Orçamento!D84</f>
        <v>IMPERMEABILIZAÇÕES</v>
      </c>
      <c r="C101" s="39"/>
      <c r="D101" s="47"/>
      <c r="E101" s="48"/>
      <c r="F101" s="48"/>
      <c r="G101" s="47"/>
      <c r="H101" s="47"/>
      <c r="I101" s="56"/>
      <c r="J101" s="56"/>
      <c r="K101" s="56"/>
      <c r="L101" s="49"/>
    </row>
    <row r="102" spans="1:12" ht="25.5" x14ac:dyDescent="0.25">
      <c r="A102" s="41" t="str">
        <f>Orçamento!A85</f>
        <v xml:space="preserve"> 9.1 </v>
      </c>
      <c r="B102" s="46" t="str">
        <f>Orçamento!D85</f>
        <v>CONTRAPISO COM ARGAMASSA AUTONIVELANTE, APLICADO SOBRE LAJE, ADERIDO, ESPESSURA 2CM. AF_07/2021</v>
      </c>
      <c r="C102" s="41" t="str">
        <f>Orçamento!E85</f>
        <v>m²</v>
      </c>
      <c r="D102" s="42"/>
      <c r="E102" s="43">
        <f>Orçamento!H85</f>
        <v>22.31</v>
      </c>
      <c r="F102" s="43">
        <f>Orçamento!F85</f>
        <v>1011.78</v>
      </c>
      <c r="G102" s="42"/>
      <c r="H102" s="42"/>
      <c r="I102" s="55">
        <f t="shared" si="15"/>
        <v>22572.811799999999</v>
      </c>
      <c r="J102" s="55"/>
      <c r="K102" s="55"/>
      <c r="L102" s="44">
        <f t="shared" si="16"/>
        <v>0</v>
      </c>
    </row>
    <row r="103" spans="1:12" ht="25.5" x14ac:dyDescent="0.25">
      <c r="A103" s="41" t="str">
        <f>Orçamento!A86</f>
        <v xml:space="preserve"> 9.2 </v>
      </c>
      <c r="B103" s="46" t="str">
        <f>Orçamento!D86</f>
        <v>IMPERMEABILIZAÇÃO DE SUPERFÍCIE COM MANTA ASFÁLTICA, UMA CAMADA, INCLUSIVE APLICAÇÃO DE PRIMER ASFÁLTICO, E=3MM. AF_06/2018</v>
      </c>
      <c r="C103" s="41" t="str">
        <f>Orçamento!E86</f>
        <v>m²</v>
      </c>
      <c r="D103" s="42"/>
      <c r="E103" s="43">
        <f>Orçamento!H86</f>
        <v>113.01</v>
      </c>
      <c r="F103" s="43">
        <f>Orçamento!F86</f>
        <v>1164.56</v>
      </c>
      <c r="G103" s="42"/>
      <c r="H103" s="42"/>
      <c r="I103" s="55">
        <f t="shared" si="15"/>
        <v>131606.92559999999</v>
      </c>
      <c r="J103" s="55"/>
      <c r="K103" s="55"/>
      <c r="L103" s="44">
        <f t="shared" si="16"/>
        <v>0</v>
      </c>
    </row>
    <row r="104" spans="1:12" x14ac:dyDescent="0.25">
      <c r="A104" s="41" t="str">
        <f>Orçamento!A87</f>
        <v xml:space="preserve"> 9.3 </v>
      </c>
      <c r="B104" s="46" t="str">
        <f>Orçamento!D87</f>
        <v>IMPERMEABILIZAÇÃO DE SUPERFÍCIE COM EMULSÃO ASFÁLTICA, 2 DEMÃOS AF_06/2018</v>
      </c>
      <c r="C104" s="41" t="str">
        <f>Orçamento!E87</f>
        <v>m²</v>
      </c>
      <c r="D104" s="42"/>
      <c r="E104" s="43">
        <f>Orçamento!H87</f>
        <v>54.7</v>
      </c>
      <c r="F104" s="43">
        <f>Orçamento!F87</f>
        <v>254.24</v>
      </c>
      <c r="G104" s="42"/>
      <c r="H104" s="42"/>
      <c r="I104" s="55">
        <f t="shared" ref="I104:I105" si="17">F104*E104</f>
        <v>13906.928000000002</v>
      </c>
      <c r="J104" s="55"/>
      <c r="K104" s="55"/>
      <c r="L104" s="44">
        <f t="shared" si="16"/>
        <v>0</v>
      </c>
    </row>
    <row r="105" spans="1:12" ht="25.5" x14ac:dyDescent="0.25">
      <c r="A105" s="41" t="str">
        <f>Orçamento!A88</f>
        <v xml:space="preserve"> 9.4 </v>
      </c>
      <c r="B105" s="46" t="str">
        <f>Orçamento!D88</f>
        <v>PROTEÇÃO MECÂNICA DE SUPERFICIE HORIZONTAL COM ARGAMASSA DE CIMENTO E AREIA, TRAÇO 1:3, E=3CM. AF_06/2018</v>
      </c>
      <c r="C105" s="41" t="str">
        <f>Orçamento!E88</f>
        <v>m²</v>
      </c>
      <c r="D105" s="42"/>
      <c r="E105" s="43">
        <f>Orçamento!H88</f>
        <v>49.56</v>
      </c>
      <c r="F105" s="43">
        <f>Orçamento!F88</f>
        <v>1418.8</v>
      </c>
      <c r="G105" s="42"/>
      <c r="H105" s="42"/>
      <c r="I105" s="55">
        <f t="shared" si="17"/>
        <v>70315.728000000003</v>
      </c>
      <c r="J105" s="55"/>
      <c r="K105" s="55"/>
      <c r="L105" s="44">
        <f t="shared" si="16"/>
        <v>0</v>
      </c>
    </row>
    <row r="106" spans="1:12" x14ac:dyDescent="0.25">
      <c r="A106" s="39" t="str">
        <f>Orçamento!A89</f>
        <v xml:space="preserve"> 10 </v>
      </c>
      <c r="B106" s="45" t="str">
        <f>Orçamento!D89</f>
        <v>REVESTIMENTOS INTERNOS</v>
      </c>
      <c r="C106" s="39"/>
      <c r="D106" s="47"/>
      <c r="E106" s="48"/>
      <c r="F106" s="48"/>
      <c r="G106" s="47"/>
      <c r="H106" s="47"/>
      <c r="I106" s="56"/>
      <c r="J106" s="56"/>
      <c r="K106" s="56"/>
      <c r="L106" s="49"/>
    </row>
    <row r="107" spans="1:12" ht="25.5" x14ac:dyDescent="0.25">
      <c r="A107" s="41" t="str">
        <f>Orçamento!A90</f>
        <v xml:space="preserve"> 10.1 </v>
      </c>
      <c r="B107" s="46" t="str">
        <f>Orçamento!D90</f>
        <v>CHAPISCO APLICADO EM ALVENARIAS E ESTRUTURAS DE CONCRETO INTERNAS, COM COLHER DE PEDREIRO.  ARGAMASSA TRAÇO 1:3 COM PREPARO EM BETONEIRA 400L. AF_06/2014</v>
      </c>
      <c r="C107" s="41" t="str">
        <f>Orçamento!E90</f>
        <v>m²</v>
      </c>
      <c r="D107" s="42"/>
      <c r="E107" s="43">
        <f>Orçamento!H90</f>
        <v>4.08</v>
      </c>
      <c r="F107" s="43">
        <f>Orçamento!F90</f>
        <v>6437.02</v>
      </c>
      <c r="G107" s="42"/>
      <c r="H107" s="42"/>
      <c r="I107" s="55">
        <f t="shared" ref="I107:I170" si="18">F107*E107</f>
        <v>26263.0416</v>
      </c>
      <c r="J107" s="55"/>
      <c r="K107" s="55"/>
      <c r="L107" s="44">
        <f t="shared" si="16"/>
        <v>0</v>
      </c>
    </row>
    <row r="108" spans="1:12" ht="51" x14ac:dyDescent="0.25">
      <c r="A108" s="41" t="str">
        <f>Orçamento!A91</f>
        <v xml:space="preserve"> 10.2 </v>
      </c>
      <c r="B108" s="46" t="str">
        <f>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Orçamento!E91</f>
        <v>m²</v>
      </c>
      <c r="D108" s="42"/>
      <c r="E108" s="43">
        <f>Orçamento!H91</f>
        <v>35.229999999999997</v>
      </c>
      <c r="F108" s="43">
        <f>Orçamento!F91</f>
        <v>6437.02</v>
      </c>
      <c r="G108" s="42"/>
      <c r="H108" s="42"/>
      <c r="I108" s="55">
        <f t="shared" si="18"/>
        <v>226776.21460000001</v>
      </c>
      <c r="J108" s="55"/>
      <c r="K108" s="55"/>
      <c r="L108" s="44">
        <f t="shared" si="16"/>
        <v>0</v>
      </c>
    </row>
    <row r="109" spans="1:12" ht="25.5" x14ac:dyDescent="0.25">
      <c r="A109" s="41" t="str">
        <f>Orçamento!A92</f>
        <v xml:space="preserve"> 10.3 </v>
      </c>
      <c r="B109" s="46" t="str">
        <f>Orçamento!D92</f>
        <v>REVESTIMENTO CERÂMICO PARA PISO COM PLACAS TIPO PORCELANATO DE DIMENSÕES 60X60 CM APLICADA EM AMBIENTES DE ÁREA MENOR QUE 5 M². AF_06/2014</v>
      </c>
      <c r="C109" s="41" t="str">
        <f>Orçamento!E92</f>
        <v>m²</v>
      </c>
      <c r="D109" s="42"/>
      <c r="E109" s="43">
        <f>Orçamento!H92</f>
        <v>209.94</v>
      </c>
      <c r="F109" s="43">
        <f>Orçamento!F92</f>
        <v>1466.24</v>
      </c>
      <c r="G109" s="42"/>
      <c r="H109" s="42"/>
      <c r="I109" s="55">
        <f t="shared" si="18"/>
        <v>307822.42560000002</v>
      </c>
      <c r="J109" s="55"/>
      <c r="K109" s="55"/>
      <c r="L109" s="44">
        <f t="shared" si="16"/>
        <v>0</v>
      </c>
    </row>
    <row r="110" spans="1:12" x14ac:dyDescent="0.25">
      <c r="A110" s="41" t="str">
        <f>Orçamento!A93</f>
        <v xml:space="preserve"> 10.4 </v>
      </c>
      <c r="B110" s="46" t="str">
        <f>Orçamento!D93</f>
        <v>CARPETE DE NYLON EM MANTA PARA TRAFEGO COMERCIAL PESADO, E = 6 A 7 MM (INSTALADO)</v>
      </c>
      <c r="C110" s="41" t="str">
        <f>Orçamento!E93</f>
        <v>m²</v>
      </c>
      <c r="D110" s="42"/>
      <c r="E110" s="43">
        <f>Orçamento!H93</f>
        <v>152.91</v>
      </c>
      <c r="F110" s="43">
        <f>Orçamento!F93</f>
        <v>993.8</v>
      </c>
      <c r="G110" s="42"/>
      <c r="H110" s="42"/>
      <c r="I110" s="55">
        <f t="shared" si="18"/>
        <v>151961.95799999998</v>
      </c>
      <c r="J110" s="55"/>
      <c r="K110" s="55"/>
      <c r="L110" s="44">
        <f t="shared" si="16"/>
        <v>0</v>
      </c>
    </row>
    <row r="111" spans="1:12" x14ac:dyDescent="0.25">
      <c r="A111" s="39" t="str">
        <f>Orçamento!A94</f>
        <v xml:space="preserve"> 11 </v>
      </c>
      <c r="B111" s="45" t="str">
        <f>Orçamento!D94</f>
        <v>FORROS</v>
      </c>
      <c r="C111" s="39"/>
      <c r="D111" s="47"/>
      <c r="E111" s="48"/>
      <c r="F111" s="48"/>
      <c r="G111" s="47"/>
      <c r="H111" s="47"/>
      <c r="I111" s="56"/>
      <c r="J111" s="56"/>
      <c r="K111" s="56"/>
      <c r="L111" s="49"/>
    </row>
    <row r="112" spans="1:12" ht="38.25" x14ac:dyDescent="0.25">
      <c r="A112" s="41" t="str">
        <f>Orçamento!A95</f>
        <v xml:space="preserve"> 11.1 </v>
      </c>
      <c r="B112" s="46" t="str">
        <f>Orçamento!D95</f>
        <v>Forro acústico em placas de fibra mineral dim.1200x600x16mm,  absorção sonora NRC = 0,55, reflexão luz = 0,79, marca Armstrong, ref. Clean Room, ou similar, resist. fogo: classe A, instalado inclusive sobre perfís metálicos</v>
      </c>
      <c r="C112" s="41" t="str">
        <f>Orçamento!E95</f>
        <v>m²</v>
      </c>
      <c r="D112" s="42"/>
      <c r="E112" s="43">
        <f>Orçamento!H95</f>
        <v>107.61</v>
      </c>
      <c r="F112" s="43">
        <f>Orçamento!F95</f>
        <v>725.17</v>
      </c>
      <c r="G112" s="42"/>
      <c r="H112" s="42"/>
      <c r="I112" s="55">
        <f t="shared" si="18"/>
        <v>78035.543699999995</v>
      </c>
      <c r="J112" s="55"/>
      <c r="K112" s="55"/>
      <c r="L112" s="44">
        <f t="shared" si="16"/>
        <v>0</v>
      </c>
    </row>
    <row r="113" spans="1:12" x14ac:dyDescent="0.25">
      <c r="A113" s="41" t="str">
        <f>Orçamento!A96</f>
        <v xml:space="preserve"> 11.2 </v>
      </c>
      <c r="B113" s="46" t="str">
        <f>Orçamento!D96</f>
        <v>ACABAMENTOS PARA FORRO (MOLDURA EM DRYWALL, COM LARGURA DE 15 CM). AF_05/2017_PS</v>
      </c>
      <c r="C113" s="41" t="str">
        <f>Orçamento!E96</f>
        <v>M</v>
      </c>
      <c r="D113" s="42"/>
      <c r="E113" s="43">
        <f>Orçamento!H96</f>
        <v>35.9</v>
      </c>
      <c r="F113" s="43">
        <f>Orçamento!F96</f>
        <v>257.57</v>
      </c>
      <c r="G113" s="42"/>
      <c r="H113" s="42"/>
      <c r="I113" s="55">
        <f t="shared" si="18"/>
        <v>9246.762999999999</v>
      </c>
      <c r="J113" s="55"/>
      <c r="K113" s="55"/>
      <c r="L113" s="44">
        <f t="shared" si="16"/>
        <v>0</v>
      </c>
    </row>
    <row r="114" spans="1:12" x14ac:dyDescent="0.25">
      <c r="A114" s="41" t="str">
        <f>Orçamento!A97</f>
        <v xml:space="preserve"> 11.3 </v>
      </c>
      <c r="B114" s="46" t="str">
        <f>Orçamento!D97</f>
        <v>FORRO EM PLACAS DE GESSO, PARA AMBIENTES COMERCIAIS. AF_05/2017_PS</v>
      </c>
      <c r="C114" s="41" t="str">
        <f>Orçamento!E97</f>
        <v>m²</v>
      </c>
      <c r="D114" s="42"/>
      <c r="E114" s="43">
        <f>Orçamento!H97</f>
        <v>38.14</v>
      </c>
      <c r="F114" s="43">
        <f>Orçamento!F97</f>
        <v>1509.13</v>
      </c>
      <c r="G114" s="42"/>
      <c r="H114" s="42"/>
      <c r="I114" s="55">
        <f t="shared" si="18"/>
        <v>57558.218200000003</v>
      </c>
      <c r="J114" s="55"/>
      <c r="K114" s="55"/>
      <c r="L114" s="44">
        <f t="shared" si="16"/>
        <v>0</v>
      </c>
    </row>
    <row r="115" spans="1:12" x14ac:dyDescent="0.25">
      <c r="A115" s="41" t="str">
        <f>Orçamento!A98</f>
        <v xml:space="preserve"> 11.4 </v>
      </c>
      <c r="B115" s="46" t="str">
        <f>Orçamento!D98</f>
        <v>ACABAMENTOS PARA FORRO (SANCA DE GESSO MONTADA NA OBRA). AF_05/2017_PS</v>
      </c>
      <c r="C115" s="41" t="str">
        <f>Orçamento!E98</f>
        <v>m²</v>
      </c>
      <c r="D115" s="42"/>
      <c r="E115" s="43">
        <f>Orçamento!H98</f>
        <v>53.04</v>
      </c>
      <c r="F115" s="43">
        <f>Orçamento!F98</f>
        <v>899.36</v>
      </c>
      <c r="G115" s="42"/>
      <c r="H115" s="42"/>
      <c r="I115" s="55">
        <f t="shared" si="18"/>
        <v>47702.054400000001</v>
      </c>
      <c r="J115" s="55"/>
      <c r="K115" s="55"/>
      <c r="L115" s="44">
        <f t="shared" si="16"/>
        <v>0</v>
      </c>
    </row>
    <row r="116" spans="1:12" ht="25.5" x14ac:dyDescent="0.25">
      <c r="A116" s="41" t="str">
        <f>Orçamento!A99</f>
        <v xml:space="preserve"> 11.5 </v>
      </c>
      <c r="B116" s="46" t="str">
        <f>Orçamento!D99</f>
        <v>Forro de madeira lambri pau d'arco, e = 6,4 mm,  inclusive madeiramento de suporte (sarrafo), instalado</v>
      </c>
      <c r="C116" s="41" t="str">
        <f>Orçamento!E99</f>
        <v>m²</v>
      </c>
      <c r="D116" s="42"/>
      <c r="E116" s="43">
        <f>Orçamento!H99</f>
        <v>156.26</v>
      </c>
      <c r="F116" s="43">
        <f>Orçamento!F99</f>
        <v>267.58999999999997</v>
      </c>
      <c r="G116" s="42"/>
      <c r="H116" s="42"/>
      <c r="I116" s="55">
        <f t="shared" si="18"/>
        <v>41813.613399999995</v>
      </c>
      <c r="J116" s="55"/>
      <c r="K116" s="55"/>
      <c r="L116" s="44">
        <f t="shared" si="16"/>
        <v>0</v>
      </c>
    </row>
    <row r="117" spans="1:12" x14ac:dyDescent="0.25">
      <c r="A117" s="39" t="str">
        <f>Orçamento!A100</f>
        <v xml:space="preserve"> 12 </v>
      </c>
      <c r="B117" s="45" t="str">
        <f>Orçamento!D100</f>
        <v>REVESTIMENTOS EXTERNOS</v>
      </c>
      <c r="C117" s="39"/>
      <c r="D117" s="47"/>
      <c r="E117" s="48"/>
      <c r="F117" s="48"/>
      <c r="G117" s="47"/>
      <c r="H117" s="47"/>
      <c r="I117" s="56"/>
      <c r="J117" s="56"/>
      <c r="K117" s="56"/>
      <c r="L117" s="49"/>
    </row>
    <row r="118" spans="1:12" ht="38.25" x14ac:dyDescent="0.25">
      <c r="A118" s="41" t="str">
        <f>Orçamento!A101</f>
        <v xml:space="preserve"> 12.1 </v>
      </c>
      <c r="B118" s="46" t="str">
        <f>Orçamento!D101</f>
        <v>CHAPISCO APLICADO EM ALVENARIA (SEM PRESENÇA DE VÃOS) E ESTRUTURAS DE CONCRETO DE FACHADA, COM ROLO PARA TEXTURA ACRÍLICA.  ARGAMASSA TRAÇO 1:4 E EMULSÃO POLIMÉRICA (ADESIVO) COM PREPARO EM BETONEIRA 400L. AF_06/2014</v>
      </c>
      <c r="C118" s="41" t="str">
        <f>Orçamento!E101</f>
        <v>m²</v>
      </c>
      <c r="D118" s="42"/>
      <c r="E118" s="43">
        <f>Orçamento!H101</f>
        <v>9.6</v>
      </c>
      <c r="F118" s="43">
        <f>Orçamento!F101</f>
        <v>3583.04</v>
      </c>
      <c r="G118" s="42"/>
      <c r="H118" s="42"/>
      <c r="I118" s="55">
        <f t="shared" si="18"/>
        <v>34397.184000000001</v>
      </c>
      <c r="J118" s="55"/>
      <c r="K118" s="55"/>
      <c r="L118" s="44">
        <f t="shared" si="16"/>
        <v>0</v>
      </c>
    </row>
    <row r="119" spans="1:12" ht="38.25" x14ac:dyDescent="0.25">
      <c r="A119" s="41" t="str">
        <f>Orçamento!A102</f>
        <v xml:space="preserve"> 12.2 </v>
      </c>
      <c r="B119" s="46" t="str">
        <f>Orçamento!D102</f>
        <v>MASSA ÚNICA, PARA RECEBIMENTO DE PINTURA, EM ARGAMASSA TRAÇO 1:2:8, PREPARO MECÂNICO COM BETONEIRA 400L, APLICADA MANUALMENTE EM FACES INTERNAS DE PAREDES, ESPESSURA DE 20MM, COM EXECUÇÃO DE TALISCAS. AF_06/2014</v>
      </c>
      <c r="C119" s="41" t="str">
        <f>Orçamento!E102</f>
        <v>m²</v>
      </c>
      <c r="D119" s="42"/>
      <c r="E119" s="43">
        <f>Orçamento!H102</f>
        <v>35.04</v>
      </c>
      <c r="F119" s="43">
        <f>Orçamento!F102</f>
        <v>3583.04</v>
      </c>
      <c r="G119" s="42"/>
      <c r="H119" s="42"/>
      <c r="I119" s="55">
        <f t="shared" si="18"/>
        <v>125549.72159999999</v>
      </c>
      <c r="J119" s="55"/>
      <c r="K119" s="55"/>
      <c r="L119" s="44">
        <f t="shared" si="16"/>
        <v>0</v>
      </c>
    </row>
    <row r="120" spans="1:12" ht="38.25" x14ac:dyDescent="0.25">
      <c r="A120" s="41" t="str">
        <f>Orçamento!A103</f>
        <v xml:space="preserve"> 12.3 </v>
      </c>
      <c r="B120" s="46" t="str">
        <f>Orçamento!D103</f>
        <v>Revestimento metálico em alumínio composto (Alucobond), e=0,3mm, pintura Kaynar 500 composta por seis camadas,  inclusive estrutura metálica auxiliar em perfil de viga "U" de 2" - fornecimento e montagem</v>
      </c>
      <c r="C120" s="41" t="str">
        <f>Orçamento!E103</f>
        <v>m²</v>
      </c>
      <c r="D120" s="42"/>
      <c r="E120" s="43">
        <f>Orçamento!H103</f>
        <v>572.33000000000004</v>
      </c>
      <c r="F120" s="43">
        <f>Orçamento!F103</f>
        <v>460.51</v>
      </c>
      <c r="G120" s="42"/>
      <c r="H120" s="42"/>
      <c r="I120" s="55">
        <f t="shared" si="18"/>
        <v>263563.68830000004</v>
      </c>
      <c r="J120" s="55"/>
      <c r="K120" s="55"/>
      <c r="L120" s="44">
        <f t="shared" si="16"/>
        <v>0</v>
      </c>
    </row>
    <row r="121" spans="1:12" ht="38.25" x14ac:dyDescent="0.25">
      <c r="A121" s="41" t="str">
        <f>Orçamento!A104</f>
        <v xml:space="preserve"> 12.4 </v>
      </c>
      <c r="B121" s="46" t="str">
        <f>Orçamento!D104</f>
        <v>Revestimento cerâmico para parede, 10 x 10 cm, Elizabeth, linha cristal piscina, aplicado com argamassa industrializada ac-ii, rejunte epoxi, exclusive regularização de base ou emboço - Rev 02</v>
      </c>
      <c r="C121" s="41" t="str">
        <f>Orçamento!E104</f>
        <v>m²</v>
      </c>
      <c r="D121" s="42"/>
      <c r="E121" s="43">
        <f>Orçamento!H104</f>
        <v>122.84</v>
      </c>
      <c r="F121" s="43">
        <f>Orçamento!F104</f>
        <v>114.72</v>
      </c>
      <c r="G121" s="42"/>
      <c r="H121" s="42"/>
      <c r="I121" s="55">
        <f t="shared" si="18"/>
        <v>14092.2048</v>
      </c>
      <c r="J121" s="55"/>
      <c r="K121" s="55"/>
      <c r="L121" s="44">
        <f t="shared" si="16"/>
        <v>0</v>
      </c>
    </row>
    <row r="122" spans="1:12" x14ac:dyDescent="0.25">
      <c r="A122" s="39" t="str">
        <f>Orçamento!A105</f>
        <v xml:space="preserve"> 13 </v>
      </c>
      <c r="B122" s="45" t="str">
        <f>Orçamento!D105</f>
        <v>PINTURA_1</v>
      </c>
      <c r="C122" s="39"/>
      <c r="D122" s="47"/>
      <c r="E122" s="48"/>
      <c r="F122" s="48"/>
      <c r="G122" s="47"/>
      <c r="H122" s="47"/>
      <c r="I122" s="56"/>
      <c r="J122" s="56"/>
      <c r="K122" s="56"/>
      <c r="L122" s="49"/>
    </row>
    <row r="123" spans="1:12" x14ac:dyDescent="0.25">
      <c r="A123" s="41" t="str">
        <f>Orçamento!A106</f>
        <v xml:space="preserve"> 13.1 </v>
      </c>
      <c r="B123" s="46" t="str">
        <f>Orçamento!D106</f>
        <v>APLICAÇÃO DE FUNDO SELADOR ACRÍLICO EM PAREDES, UMA DEMÃO. AF_06/2014</v>
      </c>
      <c r="C123" s="41" t="str">
        <f>Orçamento!E106</f>
        <v>m²</v>
      </c>
      <c r="D123" s="42"/>
      <c r="E123" s="43">
        <f>Orçamento!H106</f>
        <v>2.69</v>
      </c>
      <c r="F123" s="43">
        <f>Orçamento!F106</f>
        <v>7407.16</v>
      </c>
      <c r="G123" s="42"/>
      <c r="H123" s="42"/>
      <c r="I123" s="55">
        <f t="shared" si="18"/>
        <v>19925.260399999999</v>
      </c>
      <c r="J123" s="55"/>
      <c r="K123" s="55"/>
      <c r="L123" s="44">
        <f t="shared" si="16"/>
        <v>0</v>
      </c>
    </row>
    <row r="124" spans="1:12" x14ac:dyDescent="0.25">
      <c r="A124" s="41" t="str">
        <f>Orçamento!A107</f>
        <v xml:space="preserve"> 13.2 </v>
      </c>
      <c r="B124" s="46" t="str">
        <f>Orçamento!D107</f>
        <v>APLICAÇÃO E LIXAMENTO DE MASSA LÁTEX EM PAREDES, DUAS DEMÃOS. AF_06/2014</v>
      </c>
      <c r="C124" s="41" t="str">
        <f>Orçamento!E107</f>
        <v>m²</v>
      </c>
      <c r="D124" s="42"/>
      <c r="E124" s="43">
        <f>Orçamento!H107</f>
        <v>15</v>
      </c>
      <c r="F124" s="43">
        <f>Orçamento!F107</f>
        <v>7407.16</v>
      </c>
      <c r="G124" s="42"/>
      <c r="H124" s="42"/>
      <c r="I124" s="55">
        <f t="shared" si="18"/>
        <v>111107.4</v>
      </c>
      <c r="J124" s="55"/>
      <c r="K124" s="55"/>
      <c r="L124" s="44">
        <f t="shared" si="16"/>
        <v>0</v>
      </c>
    </row>
    <row r="125" spans="1:12" ht="25.5" x14ac:dyDescent="0.25">
      <c r="A125" s="41" t="str">
        <f>Orçamento!A108</f>
        <v xml:space="preserve"> 13.3 </v>
      </c>
      <c r="B125" s="46" t="str">
        <f>Orçamento!D108</f>
        <v>APLICAÇÃO MANUAL DE PINTURA COM TINTA LÁTEX ACRÍLICA EM PAREDES, DUAS DEMÃOS. AF_06/2014</v>
      </c>
      <c r="C125" s="41" t="str">
        <f>Orçamento!E108</f>
        <v>m²</v>
      </c>
      <c r="D125" s="42"/>
      <c r="E125" s="43">
        <f>Orçamento!H108</f>
        <v>15.08</v>
      </c>
      <c r="F125" s="43">
        <f>Orçamento!F108</f>
        <v>7407.16</v>
      </c>
      <c r="G125" s="42"/>
      <c r="H125" s="42"/>
      <c r="I125" s="55">
        <f t="shared" si="18"/>
        <v>111699.9728</v>
      </c>
      <c r="J125" s="55"/>
      <c r="K125" s="55"/>
      <c r="L125" s="44">
        <f t="shared" si="16"/>
        <v>0</v>
      </c>
    </row>
    <row r="126" spans="1:12" x14ac:dyDescent="0.25">
      <c r="A126" s="41" t="str">
        <f>Orçamento!A109</f>
        <v xml:space="preserve"> 13.4 </v>
      </c>
      <c r="B126" s="46" t="str">
        <f>Orçamento!D109</f>
        <v>APLICAÇÃO DE FUNDO SELADOR ACRÍLICO EM TETO, UMA DEMÃO. AF_06/2014</v>
      </c>
      <c r="C126" s="41" t="str">
        <f>Orçamento!E109</f>
        <v>m²</v>
      </c>
      <c r="D126" s="42"/>
      <c r="E126" s="43">
        <f>Orçamento!H109</f>
        <v>3.08</v>
      </c>
      <c r="F126" s="43">
        <f>Orçamento!F109</f>
        <v>1564.15</v>
      </c>
      <c r="G126" s="42"/>
      <c r="H126" s="42"/>
      <c r="I126" s="55">
        <f t="shared" si="18"/>
        <v>4817.5820000000003</v>
      </c>
      <c r="J126" s="55"/>
      <c r="K126" s="55"/>
      <c r="L126" s="44">
        <f t="shared" si="16"/>
        <v>0</v>
      </c>
    </row>
    <row r="127" spans="1:12" x14ac:dyDescent="0.25">
      <c r="A127" s="41" t="str">
        <f>Orçamento!A110</f>
        <v xml:space="preserve"> 13.5 </v>
      </c>
      <c r="B127" s="46" t="str">
        <f>Orçamento!D110</f>
        <v>APLICAÇÃO E LIXAMENTO DE MASSA LÁTEX EM TETO, DUAS DEMÃOS. AF_06/2014</v>
      </c>
      <c r="C127" s="41" t="str">
        <f>Orçamento!E110</f>
        <v>m²</v>
      </c>
      <c r="D127" s="42"/>
      <c r="E127" s="43">
        <f>Orçamento!H110</f>
        <v>26.58</v>
      </c>
      <c r="F127" s="43">
        <f>Orçamento!F110</f>
        <v>1564.15</v>
      </c>
      <c r="G127" s="42"/>
      <c r="H127" s="42"/>
      <c r="I127" s="55">
        <f t="shared" si="18"/>
        <v>41575.106999999996</v>
      </c>
      <c r="J127" s="55"/>
      <c r="K127" s="55"/>
      <c r="L127" s="44">
        <f t="shared" si="16"/>
        <v>0</v>
      </c>
    </row>
    <row r="128" spans="1:12" ht="25.5" x14ac:dyDescent="0.25">
      <c r="A128" s="41" t="str">
        <f>Orçamento!A111</f>
        <v xml:space="preserve"> 13.6 </v>
      </c>
      <c r="B128" s="46" t="str">
        <f>Orçamento!D111</f>
        <v>APLICAÇÃO MANUAL DE PINTURA COM TINTA LÁTEX ACRÍLICA EM TETO, DUAS DEMÃOS. AF_06/2014</v>
      </c>
      <c r="C128" s="41" t="str">
        <f>Orçamento!E111</f>
        <v>m²</v>
      </c>
      <c r="D128" s="42"/>
      <c r="E128" s="43">
        <f>Orçamento!H111</f>
        <v>16.899999999999999</v>
      </c>
      <c r="F128" s="43">
        <f>Orçamento!F111</f>
        <v>1564.15</v>
      </c>
      <c r="G128" s="42"/>
      <c r="H128" s="42"/>
      <c r="I128" s="55">
        <f t="shared" si="18"/>
        <v>26434.134999999998</v>
      </c>
      <c r="J128" s="55"/>
      <c r="K128" s="55"/>
      <c r="L128" s="44">
        <f t="shared" si="16"/>
        <v>0</v>
      </c>
    </row>
    <row r="129" spans="1:12" ht="25.5" x14ac:dyDescent="0.25">
      <c r="A129" s="41" t="str">
        <f>Orçamento!A112</f>
        <v xml:space="preserve"> 13.7 </v>
      </c>
      <c r="B129" s="46" t="str">
        <f>Orçamento!D112</f>
        <v>PINTURA TINTA DE ACABAMENTO (PIGMENTADA) ESMALTE SINTÉTICO BRILHANTE EM MADEIRA, 2 DEMÃOS. AF_01/2021</v>
      </c>
      <c r="C129" s="41" t="str">
        <f>Orçamento!E112</f>
        <v>m²</v>
      </c>
      <c r="D129" s="42"/>
      <c r="E129" s="43">
        <f>Orçamento!H112</f>
        <v>14.06</v>
      </c>
      <c r="F129" s="43">
        <f>Orçamento!F112</f>
        <v>118.46</v>
      </c>
      <c r="G129" s="42"/>
      <c r="H129" s="42"/>
      <c r="I129" s="55">
        <f t="shared" si="18"/>
        <v>1665.5475999999999</v>
      </c>
      <c r="J129" s="55"/>
      <c r="K129" s="55"/>
      <c r="L129" s="44">
        <f t="shared" si="16"/>
        <v>0</v>
      </c>
    </row>
    <row r="130" spans="1:12" ht="25.5" x14ac:dyDescent="0.25">
      <c r="A130" s="41" t="str">
        <f>Orçamento!A113</f>
        <v xml:space="preserve"> 13.8 </v>
      </c>
      <c r="B130" s="46" t="str">
        <f>Orçamento!D113</f>
        <v>PINTURA DE DEMARCAÇÃO DE VAGA COM TINTA EPÓXI, E = 10 CM, APLICAÇÃO MANUAL. AF_05/2021</v>
      </c>
      <c r="C130" s="41" t="str">
        <f>Orçamento!E113</f>
        <v>M</v>
      </c>
      <c r="D130" s="42"/>
      <c r="E130" s="43">
        <f>Orçamento!H113</f>
        <v>5.55</v>
      </c>
      <c r="F130" s="43">
        <f>Orçamento!F113</f>
        <v>85</v>
      </c>
      <c r="G130" s="42"/>
      <c r="H130" s="42"/>
      <c r="I130" s="55">
        <f t="shared" si="18"/>
        <v>471.75</v>
      </c>
      <c r="J130" s="55"/>
      <c r="K130" s="55"/>
      <c r="L130" s="44">
        <f t="shared" si="16"/>
        <v>0</v>
      </c>
    </row>
    <row r="131" spans="1:12" x14ac:dyDescent="0.25">
      <c r="A131" s="39" t="str">
        <f>Orçamento!A114</f>
        <v xml:space="preserve"> 14 </v>
      </c>
      <c r="B131" s="45" t="str">
        <f>Orçamento!D114</f>
        <v>ESQUADRIAS</v>
      </c>
      <c r="C131" s="39"/>
      <c r="D131" s="47"/>
      <c r="E131" s="48"/>
      <c r="F131" s="48"/>
      <c r="G131" s="47"/>
      <c r="H131" s="47"/>
      <c r="I131" s="56"/>
      <c r="J131" s="56"/>
      <c r="K131" s="56"/>
      <c r="L131" s="49"/>
    </row>
    <row r="132" spans="1:12" ht="25.5" x14ac:dyDescent="0.25">
      <c r="A132" s="41" t="str">
        <f>Orçamento!A115</f>
        <v xml:space="preserve"> 14.1 </v>
      </c>
      <c r="B132" s="46" t="str">
        <f>Orçamento!D115</f>
        <v>PORTA DE MADEIRA PARA PINTURA, SEMI-OCA (LEVE OU MÉDIA), 70X210CM, ESPESSURA DE 3,5CM, INCLUSO DOBRADIÇAS - FORNECIMENTO E INSTALAÇÃO. AF_12/2019</v>
      </c>
      <c r="C132" s="41" t="str">
        <f>Orçamento!E115</f>
        <v>UN</v>
      </c>
      <c r="D132" s="42"/>
      <c r="E132" s="43">
        <f>Orçamento!H115</f>
        <v>397.84</v>
      </c>
      <c r="F132" s="43">
        <f>Orçamento!F115</f>
        <v>7</v>
      </c>
      <c r="G132" s="42"/>
      <c r="H132" s="42"/>
      <c r="I132" s="55">
        <f t="shared" si="18"/>
        <v>2784.8799999999997</v>
      </c>
      <c r="J132" s="55"/>
      <c r="K132" s="55"/>
      <c r="L132" s="44">
        <f t="shared" si="16"/>
        <v>0</v>
      </c>
    </row>
    <row r="133" spans="1:12" ht="25.5" x14ac:dyDescent="0.25">
      <c r="A133" s="41" t="str">
        <f>Orçamento!A116</f>
        <v xml:space="preserve"> 14.2 </v>
      </c>
      <c r="B133" s="46" t="str">
        <f>Orçamento!D116</f>
        <v>PORTA DE MADEIRA PARA PINTURA, SEMI-OCA (LEVE OU MÉDIA), 80X210CM, ESPESSURA DE 3,5CM, INCLUSO DOBRADIÇAS - FORNECIMENTO E INSTALAÇÃO. AF_12/2019</v>
      </c>
      <c r="C133" s="41" t="str">
        <f>Orçamento!E116</f>
        <v>UN</v>
      </c>
      <c r="D133" s="42"/>
      <c r="E133" s="43">
        <f>Orçamento!H116</f>
        <v>423.95</v>
      </c>
      <c r="F133" s="43">
        <f>Orçamento!F116</f>
        <v>11</v>
      </c>
      <c r="G133" s="42"/>
      <c r="H133" s="42"/>
      <c r="I133" s="55">
        <f t="shared" si="18"/>
        <v>4663.45</v>
      </c>
      <c r="J133" s="55"/>
      <c r="K133" s="55"/>
      <c r="L133" s="44">
        <f t="shared" si="16"/>
        <v>0</v>
      </c>
    </row>
    <row r="134" spans="1:12" ht="25.5" x14ac:dyDescent="0.25">
      <c r="A134" s="41" t="str">
        <f>Orçamento!A117</f>
        <v xml:space="preserve"> 14.3 </v>
      </c>
      <c r="B134" s="46" t="str">
        <f>Orçamento!D117</f>
        <v>PORTA DE MADEIRA PARA PINTURA, SEMI-OCA (LEVE OU MÉDIA), 90X210CM, ESPESSURA DE 3,5CM, INCLUSO DOBRADIÇAS - FORNECIMENTO E INSTALAÇÃO. AF_12/2019</v>
      </c>
      <c r="C134" s="41" t="str">
        <f>Orçamento!E117</f>
        <v>UN</v>
      </c>
      <c r="D134" s="42"/>
      <c r="E134" s="43">
        <f>Orçamento!H117</f>
        <v>514.95000000000005</v>
      </c>
      <c r="F134" s="43">
        <f>Orçamento!F117</f>
        <v>5</v>
      </c>
      <c r="G134" s="42"/>
      <c r="H134" s="42"/>
      <c r="I134" s="55">
        <f t="shared" si="18"/>
        <v>2574.75</v>
      </c>
      <c r="J134" s="55"/>
      <c r="K134" s="55"/>
      <c r="L134" s="44">
        <f t="shared" si="16"/>
        <v>0</v>
      </c>
    </row>
    <row r="135" spans="1:12" ht="25.5" x14ac:dyDescent="0.25">
      <c r="A135" s="41" t="str">
        <f>Orçamento!A118</f>
        <v xml:space="preserve"> 14.4 </v>
      </c>
      <c r="B135" s="46" t="str">
        <f>Orçamento!D118</f>
        <v>PORTA EM MADEIRA DE LEI, DE CORRER, LISA, SEMI-OCA 0,80X2,40M,  COM BATENTES, ALIZARES E BANDEIRA SUPERIOR 30 CM, INCLUSIVE  FERRAGENS E FECHADURA TIPO PAPAGAIO</v>
      </c>
      <c r="C135" s="41" t="str">
        <f>Orçamento!E118</f>
        <v>und</v>
      </c>
      <c r="D135" s="42"/>
      <c r="E135" s="43">
        <f>Orçamento!H118</f>
        <v>1172.4000000000001</v>
      </c>
      <c r="F135" s="43">
        <f>Orçamento!F118</f>
        <v>1</v>
      </c>
      <c r="G135" s="42"/>
      <c r="H135" s="42"/>
      <c r="I135" s="55">
        <f t="shared" si="18"/>
        <v>1172.4000000000001</v>
      </c>
      <c r="J135" s="55"/>
      <c r="K135" s="55"/>
      <c r="L135" s="44">
        <f t="shared" si="16"/>
        <v>0</v>
      </c>
    </row>
    <row r="136" spans="1:12" ht="51" x14ac:dyDescent="0.25">
      <c r="A136" s="41" t="str">
        <f>Orçamento!A119</f>
        <v xml:space="preserve"> 14.5 </v>
      </c>
      <c r="B136" s="46" t="str">
        <f>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Orçamento!E119</f>
        <v>und</v>
      </c>
      <c r="D136" s="42"/>
      <c r="E136" s="43">
        <f>Orçamento!H119</f>
        <v>18588.939999999999</v>
      </c>
      <c r="F136" s="43">
        <f>Orçamento!F119</f>
        <v>5</v>
      </c>
      <c r="G136" s="42"/>
      <c r="H136" s="42"/>
      <c r="I136" s="55">
        <f t="shared" si="18"/>
        <v>92944.7</v>
      </c>
      <c r="J136" s="55"/>
      <c r="K136" s="55"/>
      <c r="L136" s="44">
        <f t="shared" si="16"/>
        <v>0</v>
      </c>
    </row>
    <row r="137" spans="1:12" ht="25.5" x14ac:dyDescent="0.25">
      <c r="A137" s="41" t="str">
        <f>Orçamento!A120</f>
        <v xml:space="preserve"> 14.6 </v>
      </c>
      <c r="B137" s="46" t="str">
        <f>Orçamento!D120</f>
        <v>INSTALAÇÃO DE VIDRO LISO INCOLOR, E = 3 MM, EM ESQUADRIA DE MADEIRA, FIXADO COM BAGUETE. AF_01/2021</v>
      </c>
      <c r="C137" s="41" t="str">
        <f>Orçamento!E120</f>
        <v>m²</v>
      </c>
      <c r="D137" s="42"/>
      <c r="E137" s="43">
        <f>Orçamento!H120</f>
        <v>222.47</v>
      </c>
      <c r="F137" s="43">
        <f>Orçamento!F120</f>
        <v>7.57</v>
      </c>
      <c r="G137" s="42"/>
      <c r="H137" s="42"/>
      <c r="I137" s="55">
        <f t="shared" si="18"/>
        <v>1684.0979</v>
      </c>
      <c r="J137" s="55"/>
      <c r="K137" s="55"/>
      <c r="L137" s="44">
        <f t="shared" si="16"/>
        <v>0</v>
      </c>
    </row>
    <row r="138" spans="1:12" ht="25.5" x14ac:dyDescent="0.25">
      <c r="A138" s="41" t="str">
        <f>Orçamento!A121</f>
        <v xml:space="preserve"> 14.7 </v>
      </c>
      <c r="B138" s="46" t="str">
        <f>Orçamento!D121</f>
        <v>Porta ou janela em alumínio, cor N/P/B,tipo veneziana, de abrir ou correr, completa inclusive caixilhos, dobradiças ou roldanas e fechadura</v>
      </c>
      <c r="C138" s="41" t="str">
        <f>Orçamento!E121</f>
        <v>m²</v>
      </c>
      <c r="D138" s="42"/>
      <c r="E138" s="43">
        <f>Orçamento!H121</f>
        <v>359.84</v>
      </c>
      <c r="F138" s="43">
        <f>Orçamento!F121</f>
        <v>30.4</v>
      </c>
      <c r="G138" s="42"/>
      <c r="H138" s="42"/>
      <c r="I138" s="55">
        <f t="shared" si="18"/>
        <v>10939.135999999999</v>
      </c>
      <c r="J138" s="55"/>
      <c r="K138" s="55"/>
      <c r="L138" s="44">
        <f t="shared" si="16"/>
        <v>0</v>
      </c>
    </row>
    <row r="139" spans="1:12" ht="25.5" x14ac:dyDescent="0.25">
      <c r="A139" s="41" t="str">
        <f>Orçamento!A122</f>
        <v xml:space="preserve"> 14.8 </v>
      </c>
      <c r="B139" s="46" t="str">
        <f>Orçamento!D122</f>
        <v>PORTA DE CORRER DE ALUMÍNIO, COM DUAS FOLHAS PARA VIDRO, INCLUSO VIDRO LISO INCOLOR, FECHADURA E PUXADOR, SEM ALIZAR. AF_12/2019</v>
      </c>
      <c r="C139" s="41" t="str">
        <f>Orçamento!E122</f>
        <v>m²</v>
      </c>
      <c r="D139" s="42"/>
      <c r="E139" s="43">
        <f>Orçamento!H122</f>
        <v>587.39</v>
      </c>
      <c r="F139" s="43">
        <f>Orçamento!F122</f>
        <v>21.98</v>
      </c>
      <c r="G139" s="42"/>
      <c r="H139" s="42"/>
      <c r="I139" s="55">
        <f t="shared" si="18"/>
        <v>12910.832200000001</v>
      </c>
      <c r="J139" s="55"/>
      <c r="K139" s="55"/>
      <c r="L139" s="44">
        <f t="shared" si="16"/>
        <v>0</v>
      </c>
    </row>
    <row r="140" spans="1:12" ht="25.5" x14ac:dyDescent="0.25">
      <c r="A140" s="41" t="str">
        <f>Orçamento!A123</f>
        <v xml:space="preserve"> 14.9 </v>
      </c>
      <c r="B140" s="46" t="str">
        <f>Orçamento!D123</f>
        <v>Porta em alumínio, cor N/P/B, moldura-vidro,completa, inclusive caixilhos, dobradiças ou roldanas e fechadura, exclusive vidro</v>
      </c>
      <c r="C140" s="41" t="str">
        <f>Orçamento!E123</f>
        <v>m²</v>
      </c>
      <c r="D140" s="42"/>
      <c r="E140" s="43">
        <f>Orçamento!H123</f>
        <v>345.11</v>
      </c>
      <c r="F140" s="43">
        <f>Orçamento!F123</f>
        <v>26.58</v>
      </c>
      <c r="G140" s="42"/>
      <c r="H140" s="42"/>
      <c r="I140" s="55">
        <f t="shared" si="18"/>
        <v>9173.023799999999</v>
      </c>
      <c r="J140" s="55"/>
      <c r="K140" s="55"/>
      <c r="L140" s="44">
        <f t="shared" si="16"/>
        <v>0</v>
      </c>
    </row>
    <row r="141" spans="1:12" x14ac:dyDescent="0.25">
      <c r="A141" s="41" t="str">
        <f>Orçamento!A124</f>
        <v xml:space="preserve"> 14.10 </v>
      </c>
      <c r="B141" s="46" t="str">
        <f>Orçamento!D124</f>
        <v>INSTALAÇÃO DE VIDRO TEMPERADO, E = 6 MM, ENCAIXADO EM PERFIL U. AF_01/2021_PS</v>
      </c>
      <c r="C141" s="41" t="str">
        <f>Orçamento!E124</f>
        <v>m²</v>
      </c>
      <c r="D141" s="42"/>
      <c r="E141" s="43">
        <f>Orçamento!H124</f>
        <v>425.05</v>
      </c>
      <c r="F141" s="43">
        <f>Orçamento!F124</f>
        <v>69.28</v>
      </c>
      <c r="G141" s="42"/>
      <c r="H141" s="42"/>
      <c r="I141" s="55">
        <f t="shared" si="18"/>
        <v>29447.464</v>
      </c>
      <c r="J141" s="55"/>
      <c r="K141" s="55"/>
      <c r="L141" s="44">
        <f t="shared" si="16"/>
        <v>0</v>
      </c>
    </row>
    <row r="142" spans="1:12" ht="38.25" x14ac:dyDescent="0.25">
      <c r="A142" s="41" t="str">
        <f>Orçamento!A125</f>
        <v xml:space="preserve"> 14.11 </v>
      </c>
      <c r="B142" s="46" t="str">
        <f>Orçamento!D125</f>
        <v>JANELA DE ALUMÍNIO DE CORRER COM 6 FOLHAS (2 VENEZIANAS FIXAS, 2 VENEZIANAS DE CORRER E 2 PARA VIDRO), COM VIDROS, BATENTE, ACABAMENTO COM ACETATO OU BRILHANTE E FERRAGENS. EXCLUSIVE ALIZAR E CONTRAMARCO. FORNECIMENTO E INSTALAÇÃO. AF_12/2019</v>
      </c>
      <c r="C142" s="41" t="str">
        <f>Orçamento!E125</f>
        <v>m²</v>
      </c>
      <c r="D142" s="42"/>
      <c r="E142" s="43">
        <f>Orçamento!H125</f>
        <v>1406.82</v>
      </c>
      <c r="F142" s="43">
        <f>Orçamento!F125</f>
        <v>32.24</v>
      </c>
      <c r="G142" s="42"/>
      <c r="H142" s="42"/>
      <c r="I142" s="55">
        <f t="shared" si="18"/>
        <v>45355.876799999998</v>
      </c>
      <c r="J142" s="55"/>
      <c r="K142" s="55"/>
      <c r="L142" s="44">
        <f t="shared" si="16"/>
        <v>0</v>
      </c>
    </row>
    <row r="143" spans="1:12" ht="25.5" x14ac:dyDescent="0.25">
      <c r="A143" s="41" t="str">
        <f>Orçamento!A126</f>
        <v xml:space="preserve"> 14.12 </v>
      </c>
      <c r="B143" s="46" t="str">
        <f>Orçamento!D126</f>
        <v>Sistema de automação para porta de aluminio c/vidro, deslizante, 2 folhas, dimensão do trilho: de 3,30 até 4,40m</v>
      </c>
      <c r="C143" s="41" t="str">
        <f>Orçamento!E126</f>
        <v>cj</v>
      </c>
      <c r="D143" s="42"/>
      <c r="E143" s="43">
        <f>Orçamento!H126</f>
        <v>8739.4</v>
      </c>
      <c r="F143" s="43">
        <f>Orçamento!F126</f>
        <v>8</v>
      </c>
      <c r="G143" s="42"/>
      <c r="H143" s="42"/>
      <c r="I143" s="55">
        <f t="shared" si="18"/>
        <v>69915.199999999997</v>
      </c>
      <c r="J143" s="55"/>
      <c r="K143" s="55"/>
      <c r="L143" s="44">
        <f t="shared" si="16"/>
        <v>0</v>
      </c>
    </row>
    <row r="144" spans="1:12" ht="25.5" x14ac:dyDescent="0.25">
      <c r="A144" s="41" t="str">
        <f>Orçamento!A127</f>
        <v xml:space="preserve"> 14.13 </v>
      </c>
      <c r="B144" s="46" t="str">
        <f>Orçamento!D127</f>
        <v>Porta em vidro temperado 10mm, incolor, inclusive ferragens de fixação e instalação, exclusive puxador - Rev 01_10/2021</v>
      </c>
      <c r="C144" s="41" t="str">
        <f>Orçamento!E127</f>
        <v>m²</v>
      </c>
      <c r="D144" s="42"/>
      <c r="E144" s="43">
        <f>Orçamento!H127</f>
        <v>765.43</v>
      </c>
      <c r="F144" s="43">
        <f>Orçamento!F127</f>
        <v>12</v>
      </c>
      <c r="G144" s="42"/>
      <c r="H144" s="42"/>
      <c r="I144" s="55">
        <f t="shared" si="18"/>
        <v>9185.16</v>
      </c>
      <c r="J144" s="55"/>
      <c r="K144" s="55"/>
      <c r="L144" s="44">
        <f t="shared" si="16"/>
        <v>0</v>
      </c>
    </row>
    <row r="145" spans="1:12" x14ac:dyDescent="0.25">
      <c r="A145" s="41" t="str">
        <f>Orçamento!A128</f>
        <v xml:space="preserve"> 14.14 </v>
      </c>
      <c r="B145" s="46" t="str">
        <f>Orçamento!D128</f>
        <v>INSTALAÇÃO DE VIDRO TEMPERADO, E = 6 MM, ENCAIXADO EM PERFIL U. AF_01/2021_PS</v>
      </c>
      <c r="C145" s="41" t="str">
        <f>Orçamento!E128</f>
        <v>m²</v>
      </c>
      <c r="D145" s="42"/>
      <c r="E145" s="43">
        <f>Orçamento!H128</f>
        <v>425.05</v>
      </c>
      <c r="F145" s="43">
        <f>Orçamento!F128</f>
        <v>9.6999999999999993</v>
      </c>
      <c r="G145" s="42"/>
      <c r="H145" s="42"/>
      <c r="I145" s="55">
        <f t="shared" si="18"/>
        <v>4122.9849999999997</v>
      </c>
      <c r="J145" s="55"/>
      <c r="K145" s="55"/>
      <c r="L145" s="44">
        <f t="shared" si="16"/>
        <v>0</v>
      </c>
    </row>
    <row r="146" spans="1:12" ht="38.25" x14ac:dyDescent="0.25">
      <c r="A146" s="41" t="str">
        <f>Orçamento!A129</f>
        <v xml:space="preserve"> 14.15 </v>
      </c>
      <c r="B146" s="46" t="str">
        <f>Orçamento!D129</f>
        <v>JANELA DE ALUMÍNIO DE CORRER COM 4 FOLHAS PARA VIDROS, COM VIDROS, BATENTE, ACABAMENTO COM ACETATO OU BRILHANTE E FERRAGENS. EXCLUSIVE ALIZAR E CONTRAMARCO. FORNECIMENTO E INSTALAÇÃO. AF_12/2019</v>
      </c>
      <c r="C146" s="41" t="str">
        <f>Orçamento!E129</f>
        <v>m²</v>
      </c>
      <c r="D146" s="42"/>
      <c r="E146" s="43">
        <f>Orçamento!H129</f>
        <v>1012.17</v>
      </c>
      <c r="F146" s="43">
        <f>Orçamento!F129</f>
        <v>31.3</v>
      </c>
      <c r="G146" s="42"/>
      <c r="H146" s="42"/>
      <c r="I146" s="55">
        <f t="shared" si="18"/>
        <v>31680.920999999998</v>
      </c>
      <c r="J146" s="55"/>
      <c r="K146" s="55"/>
      <c r="L146" s="44">
        <f t="shared" si="16"/>
        <v>0</v>
      </c>
    </row>
    <row r="147" spans="1:12" ht="38.25" x14ac:dyDescent="0.25">
      <c r="A147" s="41" t="str">
        <f>Orçamento!A130</f>
        <v xml:space="preserve"> 14.16 </v>
      </c>
      <c r="B147" s="46" t="str">
        <f>Orçamento!D130</f>
        <v>JANELA DE ALUMÍNIO DE CORRER COM 2 FOLHAS PARA VIDROS, COM VIDROS, BATENTE, ACABAMENTO COM ACETATO OU BRILHANTE E FERRAGENS. EXCLUSIVE ALIZAR E CONTRAMARCO. FORNECIMENTO E INSTALAÇÃO. AF_12/2019</v>
      </c>
      <c r="C147" s="41" t="str">
        <f>Orçamento!E130</f>
        <v>m²</v>
      </c>
      <c r="D147" s="42"/>
      <c r="E147" s="43">
        <f>Orçamento!H130</f>
        <v>889.11</v>
      </c>
      <c r="F147" s="43">
        <f>Orçamento!F130</f>
        <v>0.6</v>
      </c>
      <c r="G147" s="42"/>
      <c r="H147" s="42"/>
      <c r="I147" s="55">
        <f t="shared" si="18"/>
        <v>533.46600000000001</v>
      </c>
      <c r="J147" s="55"/>
      <c r="K147" s="55"/>
      <c r="L147" s="44">
        <f t="shared" si="16"/>
        <v>0</v>
      </c>
    </row>
    <row r="148" spans="1:12" ht="25.5" x14ac:dyDescent="0.25">
      <c r="A148" s="41" t="str">
        <f>Orçamento!A131</f>
        <v xml:space="preserve"> 14.17 </v>
      </c>
      <c r="B148" s="46" t="str">
        <f>Orçamento!D131</f>
        <v>JANELA DE ALUMÍNIO TIPO MAXIM-AR, COM VIDROS, BATENTE E FERRAGENS. EXCLUSIVE ALIZAR, ACABAMENTO E CONTRAMARCO. FORNECIMENTO E INSTALAÇÃO. AF_12/2019</v>
      </c>
      <c r="C148" s="41" t="str">
        <f>Orçamento!E131</f>
        <v>m²</v>
      </c>
      <c r="D148" s="42"/>
      <c r="E148" s="43">
        <f>Orçamento!H131</f>
        <v>1666.99</v>
      </c>
      <c r="F148" s="43">
        <f>Orçamento!F131</f>
        <v>3.3</v>
      </c>
      <c r="G148" s="42"/>
      <c r="H148" s="42"/>
      <c r="I148" s="55">
        <f t="shared" si="18"/>
        <v>5501.067</v>
      </c>
      <c r="J148" s="55"/>
      <c r="K148" s="55"/>
      <c r="L148" s="44">
        <f t="shared" si="16"/>
        <v>0</v>
      </c>
    </row>
    <row r="149" spans="1:12" ht="25.5" x14ac:dyDescent="0.25">
      <c r="A149" s="41" t="str">
        <f>Orçamento!A132</f>
        <v xml:space="preserve"> 14.18 </v>
      </c>
      <c r="B149" s="46" t="str">
        <f>Orçamento!D132</f>
        <v>JANELA FIXA DE ALUMÍNIO PARA VIDRO, COM VIDRO, BATENTE E FERRAGENS. EXCLUSIVE ACABAMENTO, ALIZAR E CONTRAMARCO. FORNECIMENTO E INSTALAÇÃO. AF_12/2019</v>
      </c>
      <c r="C149" s="41" t="str">
        <f>Orçamento!E132</f>
        <v>m²</v>
      </c>
      <c r="D149" s="42"/>
      <c r="E149" s="43">
        <f>Orçamento!H132</f>
        <v>1901.03</v>
      </c>
      <c r="F149" s="43">
        <f>Orçamento!F132</f>
        <v>3.25</v>
      </c>
      <c r="G149" s="42"/>
      <c r="H149" s="42"/>
      <c r="I149" s="55">
        <f t="shared" si="18"/>
        <v>6178.3474999999999</v>
      </c>
      <c r="J149" s="55"/>
      <c r="K149" s="55"/>
      <c r="L149" s="44">
        <f t="shared" si="16"/>
        <v>0</v>
      </c>
    </row>
    <row r="150" spans="1:12" ht="25.5" x14ac:dyDescent="0.25">
      <c r="A150" s="41" t="str">
        <f>Orçamento!A133</f>
        <v xml:space="preserve"> 14.19 </v>
      </c>
      <c r="B150" s="46" t="str">
        <f>Orçamento!D133</f>
        <v>CONTRAMARCO DE ALUMÍNIO, FIXAÇÃO COM ARGAMASSA - FORNECIMENTO E INSTALAÇÃO. AF_12/2019</v>
      </c>
      <c r="C150" s="41" t="str">
        <f>Orçamento!E133</f>
        <v>M</v>
      </c>
      <c r="D150" s="42"/>
      <c r="E150" s="43">
        <f>Orçamento!H133</f>
        <v>32.56</v>
      </c>
      <c r="F150" s="43">
        <f>Orçamento!F133</f>
        <v>156</v>
      </c>
      <c r="G150" s="42"/>
      <c r="H150" s="42"/>
      <c r="I150" s="55">
        <f t="shared" si="18"/>
        <v>5079.3600000000006</v>
      </c>
      <c r="J150" s="55"/>
      <c r="K150" s="55"/>
      <c r="L150" s="44">
        <f t="shared" si="16"/>
        <v>0</v>
      </c>
    </row>
    <row r="151" spans="1:12" ht="25.5" x14ac:dyDescent="0.25">
      <c r="A151" s="41" t="str">
        <f>Orçamento!A134</f>
        <v xml:space="preserve"> 14.20 </v>
      </c>
      <c r="B151" s="46" t="str">
        <f>Orçamento!D134</f>
        <v>Portão/porta em alumínio cor N/B/P, de abrir, 02 fls, vazado, em tubo quadrado 3"x1.1/2" horizontais e engradado e 1.1/2"x1.1/2" verticais, com espaçamento de 12cm.</v>
      </c>
      <c r="C151" s="41" t="str">
        <f>Orçamento!E134</f>
        <v>m²</v>
      </c>
      <c r="D151" s="42"/>
      <c r="E151" s="43">
        <f>Orçamento!H134</f>
        <v>448.21</v>
      </c>
      <c r="F151" s="43">
        <f>Orçamento!F134</f>
        <v>10.78</v>
      </c>
      <c r="G151" s="42"/>
      <c r="H151" s="42"/>
      <c r="I151" s="55">
        <f t="shared" si="18"/>
        <v>4831.7037999999993</v>
      </c>
      <c r="J151" s="55"/>
      <c r="K151" s="55"/>
      <c r="L151" s="44">
        <f t="shared" si="16"/>
        <v>0</v>
      </c>
    </row>
    <row r="152" spans="1:12" ht="25.5" x14ac:dyDescent="0.25">
      <c r="A152" s="41" t="str">
        <f>Orçamento!A135</f>
        <v xml:space="preserve"> 14.21 </v>
      </c>
      <c r="B152" s="46" t="str">
        <f>Orçamento!D135</f>
        <v>Gradil Nylofor 3D, malha 20x5cm, Ø 5mm 250x103 cm, pintura branca, Belgo ou similar, inclusive postes e acessórios</v>
      </c>
      <c r="C152" s="41" t="str">
        <f>Orçamento!E135</f>
        <v>m²</v>
      </c>
      <c r="D152" s="42"/>
      <c r="E152" s="43">
        <f>Orçamento!H135</f>
        <v>593.61</v>
      </c>
      <c r="F152" s="43">
        <f>Orçamento!F135</f>
        <v>242.41</v>
      </c>
      <c r="G152" s="42"/>
      <c r="H152" s="42"/>
      <c r="I152" s="55">
        <f t="shared" si="18"/>
        <v>143897.0001</v>
      </c>
      <c r="J152" s="55"/>
      <c r="K152" s="55"/>
      <c r="L152" s="44">
        <f t="shared" ref="L152:L215" si="19">K152/I152</f>
        <v>0</v>
      </c>
    </row>
    <row r="153" spans="1:12" ht="25.5" x14ac:dyDescent="0.25">
      <c r="A153" s="41" t="str">
        <f>Orçamento!A136</f>
        <v xml:space="preserve"> 14.22 </v>
      </c>
      <c r="B153" s="46" t="str">
        <f>Orçamento!D136</f>
        <v>FECHADURA DE EMBUTIR COM CILINDRO, EXTERNA, COMPLETA, ACABAMENTO PADRÃO MÉDIO, INCLUSO EXECUÇÃO DE FURO - FORNECIMENTO E INSTALAÇÃO. AF_12/2019</v>
      </c>
      <c r="C153" s="41" t="str">
        <f>Orçamento!E136</f>
        <v>UN</v>
      </c>
      <c r="D153" s="42"/>
      <c r="E153" s="43">
        <f>Orçamento!H136</f>
        <v>169.94</v>
      </c>
      <c r="F153" s="43">
        <f>Orçamento!F136</f>
        <v>23</v>
      </c>
      <c r="G153" s="42"/>
      <c r="H153" s="42"/>
      <c r="I153" s="55">
        <f t="shared" si="18"/>
        <v>3908.62</v>
      </c>
      <c r="J153" s="55"/>
      <c r="K153" s="55"/>
      <c r="L153" s="44">
        <f t="shared" si="19"/>
        <v>0</v>
      </c>
    </row>
    <row r="154" spans="1:12" x14ac:dyDescent="0.25">
      <c r="A154" s="41" t="str">
        <f>Orçamento!A137</f>
        <v xml:space="preserve"> 14.23 </v>
      </c>
      <c r="B154" s="46" t="str">
        <f>Orçamento!D137</f>
        <v>Batente em madeira de lei l = 0,14 m (caixão), incluindo 02 jogos de alizar</v>
      </c>
      <c r="C154" s="41" t="str">
        <f>Orçamento!E137</f>
        <v>m</v>
      </c>
      <c r="D154" s="42"/>
      <c r="E154" s="43">
        <f>Orçamento!H137</f>
        <v>75.819999999999993</v>
      </c>
      <c r="F154" s="43">
        <f>Orçamento!F137</f>
        <v>129.97999999999999</v>
      </c>
      <c r="G154" s="42"/>
      <c r="H154" s="42"/>
      <c r="I154" s="55">
        <f t="shared" si="18"/>
        <v>9855.0835999999981</v>
      </c>
      <c r="J154" s="55"/>
      <c r="K154" s="55"/>
      <c r="L154" s="44">
        <f t="shared" si="19"/>
        <v>0</v>
      </c>
    </row>
    <row r="155" spans="1:12" x14ac:dyDescent="0.25">
      <c r="A155" s="39" t="str">
        <f>Orçamento!A138</f>
        <v xml:space="preserve"> 15 </v>
      </c>
      <c r="B155" s="45" t="str">
        <f>Orçamento!D138</f>
        <v>LOUÇAS, METAIS BANCADAS_1</v>
      </c>
      <c r="C155" s="39"/>
      <c r="D155" s="47"/>
      <c r="E155" s="48"/>
      <c r="F155" s="48"/>
      <c r="G155" s="47"/>
      <c r="H155" s="47"/>
      <c r="I155" s="56"/>
      <c r="J155" s="56"/>
      <c r="K155" s="56"/>
      <c r="L155" s="49"/>
    </row>
    <row r="156" spans="1:12" ht="25.5" x14ac:dyDescent="0.25">
      <c r="A156" s="41" t="str">
        <f>Orçamento!A139</f>
        <v xml:space="preserve"> 15.1 </v>
      </c>
      <c r="B156" s="46" t="str">
        <f>Orçamento!D139</f>
        <v>VASO SANITÁRIO SIFONADO COM CAIXA ACOPLADA LOUÇA BRANCA, INCLUSO ENGATE FLEXÍVEL EM PLÁSTICO BRANCO, 1/2  X 40CM - FORNECIMENTO E INSTALAÇÃO. AF_01/2020</v>
      </c>
      <c r="C156" s="41" t="str">
        <f>Orçamento!E139</f>
        <v>UN</v>
      </c>
      <c r="D156" s="42"/>
      <c r="E156" s="43">
        <f>Orçamento!H139</f>
        <v>526.63</v>
      </c>
      <c r="F156" s="43">
        <f>Orçamento!F139</f>
        <v>26</v>
      </c>
      <c r="G156" s="42"/>
      <c r="H156" s="42"/>
      <c r="I156" s="55">
        <f t="shared" si="18"/>
        <v>13692.38</v>
      </c>
      <c r="J156" s="55"/>
      <c r="K156" s="55"/>
      <c r="L156" s="44">
        <f t="shared" si="19"/>
        <v>0</v>
      </c>
    </row>
    <row r="157" spans="1:12" ht="38.25" x14ac:dyDescent="0.25">
      <c r="A157" s="41" t="str">
        <f>Orçamento!A140</f>
        <v xml:space="preserve"> 15.2 </v>
      </c>
      <c r="B157" s="46" t="str">
        <f>Orçamento!D140</f>
        <v>VASO SANITARIO SIFONADO CONVENCIONAL PARA PCD SEM FURO FRONTAL COM LOUÇA BRANCA SEM ASSENTO, INCLUSO CONJUNTO DE LIGAÇÃO PARA BACIA SANITÁRIA AJUSTÁVEL - FORNECIMENTO E INSTALAÇÃO. AF_01/2020</v>
      </c>
      <c r="C157" s="41" t="str">
        <f>Orçamento!E140</f>
        <v>UN</v>
      </c>
      <c r="D157" s="42"/>
      <c r="E157" s="43">
        <f>Orçamento!H140</f>
        <v>815.62</v>
      </c>
      <c r="F157" s="43">
        <f>Orçamento!F140</f>
        <v>3</v>
      </c>
      <c r="G157" s="42"/>
      <c r="H157" s="42"/>
      <c r="I157" s="55">
        <f t="shared" si="18"/>
        <v>2446.86</v>
      </c>
      <c r="J157" s="55"/>
      <c r="K157" s="55"/>
      <c r="L157" s="44">
        <f t="shared" si="19"/>
        <v>0</v>
      </c>
    </row>
    <row r="158" spans="1:12" x14ac:dyDescent="0.25">
      <c r="A158" s="41" t="str">
        <f>Orçamento!A141</f>
        <v xml:space="preserve"> 15.3 </v>
      </c>
      <c r="B158" s="46" t="str">
        <f>Orçamento!D141</f>
        <v>ASSENTO SANITÁRIO CONVENCIONAL - FORNECIMENTO E INSTALACAO. AF_01/2020</v>
      </c>
      <c r="C158" s="41" t="str">
        <f>Orçamento!E141</f>
        <v>UN</v>
      </c>
      <c r="D158" s="42"/>
      <c r="E158" s="43">
        <f>Orçamento!H141</f>
        <v>47.53</v>
      </c>
      <c r="F158" s="43">
        <f>Orçamento!F141</f>
        <v>29</v>
      </c>
      <c r="G158" s="42"/>
      <c r="H158" s="42"/>
      <c r="I158" s="55">
        <f t="shared" si="18"/>
        <v>1378.3700000000001</v>
      </c>
      <c r="J158" s="55"/>
      <c r="K158" s="55"/>
      <c r="L158" s="44">
        <f t="shared" si="19"/>
        <v>0</v>
      </c>
    </row>
    <row r="159" spans="1:12" ht="25.5" x14ac:dyDescent="0.25">
      <c r="A159" s="41" t="str">
        <f>Orçamento!A142</f>
        <v xml:space="preserve"> 15.4 </v>
      </c>
      <c r="B159" s="46" t="str">
        <f>Orçamento!D142</f>
        <v>BARRA DE APOIO RETA, EM ACO INOX POLIDO, COMPRIMENTO 80 CM,  FIXADA NA PAREDE - FORNECIMENTO E INSTALAÇÃO. AF_01/2020</v>
      </c>
      <c r="C159" s="41" t="str">
        <f>Orçamento!E142</f>
        <v>UN</v>
      </c>
      <c r="D159" s="42"/>
      <c r="E159" s="43">
        <f>Orçamento!H142</f>
        <v>381.77</v>
      </c>
      <c r="F159" s="43">
        <f>Orçamento!F142</f>
        <v>9</v>
      </c>
      <c r="G159" s="42"/>
      <c r="H159" s="42"/>
      <c r="I159" s="55">
        <f t="shared" si="18"/>
        <v>3435.93</v>
      </c>
      <c r="J159" s="55"/>
      <c r="K159" s="55"/>
      <c r="L159" s="44">
        <f t="shared" si="19"/>
        <v>0</v>
      </c>
    </row>
    <row r="160" spans="1:12" x14ac:dyDescent="0.25">
      <c r="A160" s="41" t="str">
        <f>Orçamento!A143</f>
        <v xml:space="preserve"> 15.5 </v>
      </c>
      <c r="B160" s="46" t="str">
        <f>Orçamento!D143</f>
        <v>Ducha cromada, DECA, linha duna 1984 C 61 ou similar</v>
      </c>
      <c r="C160" s="41" t="str">
        <f>Orçamento!E143</f>
        <v>un</v>
      </c>
      <c r="D160" s="42"/>
      <c r="E160" s="43">
        <f>Orçamento!H143</f>
        <v>431.64</v>
      </c>
      <c r="F160" s="43">
        <f>Orçamento!F143</f>
        <v>29</v>
      </c>
      <c r="G160" s="42"/>
      <c r="H160" s="42"/>
      <c r="I160" s="55">
        <f t="shared" si="18"/>
        <v>12517.56</v>
      </c>
      <c r="J160" s="55"/>
      <c r="K160" s="55"/>
      <c r="L160" s="44">
        <f t="shared" si="19"/>
        <v>0</v>
      </c>
    </row>
    <row r="161" spans="1:12" ht="25.5" x14ac:dyDescent="0.25">
      <c r="A161" s="41" t="str">
        <f>Orçamento!A144</f>
        <v xml:space="preserve"> 15.6 </v>
      </c>
      <c r="B161" s="46" t="str">
        <f>Orçamento!D144</f>
        <v>CHUVEIRO ELÉTRICO COMUM CORPO PLÁSTICO, TIPO DUCHA  FORNECIMENTO E INSTALAÇÃO. AF_01/2020</v>
      </c>
      <c r="C161" s="41" t="str">
        <f>Orçamento!E144</f>
        <v>UN</v>
      </c>
      <c r="D161" s="42"/>
      <c r="E161" s="43">
        <f>Orçamento!H144</f>
        <v>118.53</v>
      </c>
      <c r="F161" s="43">
        <f>Orçamento!F144</f>
        <v>4</v>
      </c>
      <c r="G161" s="42"/>
      <c r="H161" s="42"/>
      <c r="I161" s="55">
        <f t="shared" si="18"/>
        <v>474.12</v>
      </c>
      <c r="J161" s="55"/>
      <c r="K161" s="55"/>
      <c r="L161" s="44">
        <f t="shared" si="19"/>
        <v>0</v>
      </c>
    </row>
    <row r="162" spans="1:12" ht="25.5" x14ac:dyDescent="0.25">
      <c r="A162" s="41" t="str">
        <f>Orçamento!A145</f>
        <v xml:space="preserve"> 15.7 </v>
      </c>
      <c r="B162" s="46" t="str">
        <f>Orçamento!D145</f>
        <v>Barra de apoio, para lavatório,fixa, constituida de duas barras laterais em "U", em aço inox,  d=1 1/4", Jackwal ou similar</v>
      </c>
      <c r="C162" s="41" t="str">
        <f>Orçamento!E145</f>
        <v>cj</v>
      </c>
      <c r="D162" s="42"/>
      <c r="E162" s="43">
        <f>Orçamento!H145</f>
        <v>422.1</v>
      </c>
      <c r="F162" s="43">
        <f>Orçamento!F145</f>
        <v>3</v>
      </c>
      <c r="G162" s="42"/>
      <c r="H162" s="42"/>
      <c r="I162" s="55">
        <f t="shared" si="18"/>
        <v>1266.3000000000002</v>
      </c>
      <c r="J162" s="55"/>
      <c r="K162" s="55"/>
      <c r="L162" s="44">
        <f t="shared" si="19"/>
        <v>0</v>
      </c>
    </row>
    <row r="163" spans="1:12" ht="25.5" x14ac:dyDescent="0.25">
      <c r="A163" s="41" t="str">
        <f>Orçamento!A146</f>
        <v xml:space="preserve"> 15.8 </v>
      </c>
      <c r="B163" s="46" t="str">
        <f>Orçamento!D146</f>
        <v>Lavatório louça de canto (Deca-Izy, ref L-10117 ou similar) sem coluna, c/ sifão cromado, válvula cromada, engate cromado, exclusive torneira</v>
      </c>
      <c r="C163" s="41" t="str">
        <f>Orçamento!E146</f>
        <v>un</v>
      </c>
      <c r="D163" s="42"/>
      <c r="E163" s="43">
        <f>Orçamento!H146</f>
        <v>497.59</v>
      </c>
      <c r="F163" s="43">
        <f>Orçamento!F146</f>
        <v>3</v>
      </c>
      <c r="G163" s="42"/>
      <c r="H163" s="42"/>
      <c r="I163" s="55">
        <f t="shared" si="18"/>
        <v>1492.77</v>
      </c>
      <c r="J163" s="55"/>
      <c r="K163" s="55"/>
      <c r="L163" s="44">
        <f t="shared" si="19"/>
        <v>0</v>
      </c>
    </row>
    <row r="164" spans="1:12" ht="25.5" x14ac:dyDescent="0.25">
      <c r="A164" s="41" t="str">
        <f>Orçamento!A147</f>
        <v xml:space="preserve"> 15.9 </v>
      </c>
      <c r="B164" s="46" t="str">
        <f>Orçamento!D147</f>
        <v>Cuba de sobrepor oval (deca ref.L65), acabamento GE-17, com sifão cromado (astra ref SC5), engate cromado (deca), válvula cromada (deca ref1602)  ou similares, exclusive torneira</v>
      </c>
      <c r="C164" s="41" t="str">
        <f>Orçamento!E147</f>
        <v>un</v>
      </c>
      <c r="D164" s="42"/>
      <c r="E164" s="43">
        <f>Orçamento!H147</f>
        <v>458.14</v>
      </c>
      <c r="F164" s="43">
        <f>Orçamento!F147</f>
        <v>18</v>
      </c>
      <c r="G164" s="42"/>
      <c r="H164" s="42"/>
      <c r="I164" s="55">
        <f t="shared" si="18"/>
        <v>8246.52</v>
      </c>
      <c r="J164" s="55"/>
      <c r="K164" s="55"/>
      <c r="L164" s="44">
        <f t="shared" si="19"/>
        <v>0</v>
      </c>
    </row>
    <row r="165" spans="1:12" ht="25.5" x14ac:dyDescent="0.25">
      <c r="A165" s="41" t="str">
        <f>Orçamento!A148</f>
        <v xml:space="preserve"> 15.10 </v>
      </c>
      <c r="B165" s="46" t="str">
        <f>Orçamento!D148</f>
        <v>CUBA DE EMBUTIR DE AÇO INOXIDÁVEL MÉDIA, INCLUSO VÁLVULA TIPO AMERICANA E SIFÃO TIPO GARRAFA EM METAL CROMADO - FORNECIMENTO E INSTALAÇÃO. AF_01/2020</v>
      </c>
      <c r="C165" s="41" t="str">
        <f>Orçamento!E148</f>
        <v>UN</v>
      </c>
      <c r="D165" s="42"/>
      <c r="E165" s="43">
        <f>Orçamento!H148</f>
        <v>459.19</v>
      </c>
      <c r="F165" s="43">
        <f>Orçamento!F148</f>
        <v>5</v>
      </c>
      <c r="G165" s="42"/>
      <c r="H165" s="42"/>
      <c r="I165" s="55">
        <f t="shared" si="18"/>
        <v>2295.9499999999998</v>
      </c>
      <c r="J165" s="55"/>
      <c r="K165" s="55"/>
      <c r="L165" s="44">
        <f t="shared" si="19"/>
        <v>0</v>
      </c>
    </row>
    <row r="166" spans="1:12" x14ac:dyDescent="0.25">
      <c r="A166" s="41" t="str">
        <f>Orçamento!A149</f>
        <v xml:space="preserve"> 15.11 </v>
      </c>
      <c r="B166" s="46" t="str">
        <f>Orçamento!D149</f>
        <v>ENGATE FLEXÍVEL EM INOX, 1/2  X 40CM - FORNECIMENTO E INSTALAÇÃO. AF_01/2020</v>
      </c>
      <c r="C166" s="41" t="str">
        <f>Orçamento!E149</f>
        <v>UN</v>
      </c>
      <c r="D166" s="42"/>
      <c r="E166" s="43">
        <f>Orçamento!H149</f>
        <v>44.69</v>
      </c>
      <c r="F166" s="43">
        <f>Orçamento!F149</f>
        <v>5</v>
      </c>
      <c r="G166" s="42"/>
      <c r="H166" s="42"/>
      <c r="I166" s="55">
        <f t="shared" si="18"/>
        <v>223.45</v>
      </c>
      <c r="J166" s="55"/>
      <c r="K166" s="55"/>
      <c r="L166" s="44">
        <f t="shared" si="19"/>
        <v>0</v>
      </c>
    </row>
    <row r="167" spans="1:12" ht="25.5" x14ac:dyDescent="0.25">
      <c r="A167" s="41" t="str">
        <f>Orçamento!A150</f>
        <v xml:space="preserve"> 15.12 </v>
      </c>
      <c r="B167" s="46" t="str">
        <f>Orçamento!D150</f>
        <v>TORNEIRA CROMADA DE MESA, 1/2 OU 3/4, PARA LAVATÓRIO, PADRÃO MÉDIO - FORNECIMENTO E INSTALAÇÃO. AF_01/2020</v>
      </c>
      <c r="C167" s="41" t="str">
        <f>Orçamento!E150</f>
        <v>UN</v>
      </c>
      <c r="D167" s="42"/>
      <c r="E167" s="43">
        <f>Orçamento!H150</f>
        <v>137.91</v>
      </c>
      <c r="F167" s="43">
        <f>Orçamento!F150</f>
        <v>21</v>
      </c>
      <c r="G167" s="42"/>
      <c r="H167" s="42"/>
      <c r="I167" s="55">
        <f t="shared" si="18"/>
        <v>2896.11</v>
      </c>
      <c r="J167" s="55"/>
      <c r="K167" s="55"/>
      <c r="L167" s="44">
        <f t="shared" si="19"/>
        <v>0</v>
      </c>
    </row>
    <row r="168" spans="1:12" ht="25.5" x14ac:dyDescent="0.25">
      <c r="A168" s="41" t="str">
        <f>Orçamento!A151</f>
        <v xml:space="preserve"> 15.13 </v>
      </c>
      <c r="B168" s="46" t="str">
        <f>Orçamento!D151</f>
        <v>Torneira cromada para pia de cozinha, de mesa, com articulador, 1/2", ref. 1167, da Deca ou similar</v>
      </c>
      <c r="C168" s="41" t="str">
        <f>Orçamento!E151</f>
        <v>un</v>
      </c>
      <c r="D168" s="42"/>
      <c r="E168" s="43">
        <f>Orçamento!H151</f>
        <v>140.68</v>
      </c>
      <c r="F168" s="43">
        <f>Orçamento!F151</f>
        <v>5</v>
      </c>
      <c r="G168" s="42"/>
      <c r="H168" s="42"/>
      <c r="I168" s="55">
        <f t="shared" si="18"/>
        <v>703.40000000000009</v>
      </c>
      <c r="J168" s="55"/>
      <c r="K168" s="55"/>
      <c r="L168" s="44">
        <f t="shared" si="19"/>
        <v>0</v>
      </c>
    </row>
    <row r="169" spans="1:12" x14ac:dyDescent="0.25">
      <c r="A169" s="41" t="str">
        <f>Orçamento!A152</f>
        <v xml:space="preserve"> 15.14 </v>
      </c>
      <c r="B169" s="46" t="str">
        <f>Orçamento!D152</f>
        <v>PAPELEIRA PLASTICA TIPO DISPENSER PARA PAPEL HIGIENICO ROLAO</v>
      </c>
      <c r="C169" s="41" t="str">
        <f>Orçamento!E152</f>
        <v>UN</v>
      </c>
      <c r="D169" s="42"/>
      <c r="E169" s="43">
        <f>Orçamento!H152</f>
        <v>139.15</v>
      </c>
      <c r="F169" s="43">
        <f>Orçamento!F152</f>
        <v>29</v>
      </c>
      <c r="G169" s="42"/>
      <c r="H169" s="42"/>
      <c r="I169" s="55">
        <f t="shared" si="18"/>
        <v>4035.3500000000004</v>
      </c>
      <c r="J169" s="55"/>
      <c r="K169" s="55"/>
      <c r="L169" s="44">
        <f t="shared" si="19"/>
        <v>0</v>
      </c>
    </row>
    <row r="170" spans="1:12" ht="25.5" x14ac:dyDescent="0.25">
      <c r="A170" s="41" t="str">
        <f>Orçamento!A153</f>
        <v xml:space="preserve"> 15.15 </v>
      </c>
      <c r="B170" s="46" t="str">
        <f>Orçamento!D153</f>
        <v>SABONETEIRA PLASTICA TIPO DISPENSER PARA SABONETE LIQUIDO COM RESERVATORIO 800 A 1500 ML</v>
      </c>
      <c r="C170" s="41" t="str">
        <f>Orçamento!E153</f>
        <v>UN</v>
      </c>
      <c r="D170" s="42"/>
      <c r="E170" s="43">
        <f>Orçamento!H153</f>
        <v>133.65</v>
      </c>
      <c r="F170" s="43">
        <f>Orçamento!F153</f>
        <v>13</v>
      </c>
      <c r="G170" s="42"/>
      <c r="H170" s="42"/>
      <c r="I170" s="55">
        <f t="shared" si="18"/>
        <v>1737.45</v>
      </c>
      <c r="J170" s="55"/>
      <c r="K170" s="55"/>
      <c r="L170" s="44">
        <f t="shared" si="19"/>
        <v>0</v>
      </c>
    </row>
    <row r="171" spans="1:12" x14ac:dyDescent="0.25">
      <c r="A171" s="41" t="str">
        <f>Orçamento!A154</f>
        <v xml:space="preserve"> 15.16 </v>
      </c>
      <c r="B171" s="46" t="str">
        <f>Orçamento!D154</f>
        <v>Bancada em granito verde ubatuba, e = 2cm</v>
      </c>
      <c r="C171" s="41" t="str">
        <f>Orçamento!E154</f>
        <v>m²</v>
      </c>
      <c r="D171" s="42"/>
      <c r="E171" s="43">
        <f>Orçamento!H154</f>
        <v>738.62</v>
      </c>
      <c r="F171" s="43">
        <f>Orçamento!F154</f>
        <v>62.69</v>
      </c>
      <c r="G171" s="42"/>
      <c r="H171" s="42"/>
      <c r="I171" s="55">
        <f t="shared" ref="I171:I234" si="20">F171*E171</f>
        <v>46304.087800000001</v>
      </c>
      <c r="J171" s="55"/>
      <c r="K171" s="55"/>
      <c r="L171" s="44">
        <f t="shared" si="19"/>
        <v>0</v>
      </c>
    </row>
    <row r="172" spans="1:12" x14ac:dyDescent="0.25">
      <c r="A172" s="41" t="str">
        <f>Orçamento!A155</f>
        <v xml:space="preserve"> 15.17 </v>
      </c>
      <c r="B172" s="46" t="str">
        <f>Orçamento!D155</f>
        <v>TOALHEIRO PLASTICO TIPO DISPENSER PARA PAPEL TOALHA INTERFOLHADO</v>
      </c>
      <c r="C172" s="41" t="str">
        <f>Orçamento!E155</f>
        <v>UN</v>
      </c>
      <c r="D172" s="42"/>
      <c r="E172" s="43">
        <f>Orçamento!H155</f>
        <v>139.15</v>
      </c>
      <c r="F172" s="43">
        <f>Orçamento!F155</f>
        <v>13</v>
      </c>
      <c r="G172" s="42"/>
      <c r="H172" s="42"/>
      <c r="I172" s="55">
        <f t="shared" si="20"/>
        <v>1808.95</v>
      </c>
      <c r="J172" s="55"/>
      <c r="K172" s="55"/>
      <c r="L172" s="44">
        <f t="shared" si="19"/>
        <v>0</v>
      </c>
    </row>
    <row r="173" spans="1:12" x14ac:dyDescent="0.25">
      <c r="A173" s="39" t="str">
        <f>Orçamento!A156</f>
        <v xml:space="preserve"> 16 </v>
      </c>
      <c r="B173" s="45" t="str">
        <f>Orçamento!D156</f>
        <v>INSTALAÇÕES HIDRAULICAS</v>
      </c>
      <c r="C173" s="39"/>
      <c r="D173" s="47"/>
      <c r="E173" s="48"/>
      <c r="F173" s="48"/>
      <c r="G173" s="47"/>
      <c r="H173" s="47"/>
      <c r="I173" s="56"/>
      <c r="J173" s="56"/>
      <c r="K173" s="56"/>
      <c r="L173" s="49"/>
    </row>
    <row r="174" spans="1:12" x14ac:dyDescent="0.25">
      <c r="A174" s="41" t="str">
        <f>Orçamento!A157</f>
        <v xml:space="preserve"> 16.1 </v>
      </c>
      <c r="B174" s="46" t="str">
        <f>Orçamento!D157</f>
        <v>Filtro TP Jacuzzi: 12 TP - 25A - M2 220V - MONO (1/4 CV - ATÉ 2,5 M³/h)</v>
      </c>
      <c r="C174" s="41" t="str">
        <f>Orçamento!E157</f>
        <v>UND</v>
      </c>
      <c r="D174" s="42"/>
      <c r="E174" s="43">
        <f>Orçamento!H157</f>
        <v>2282.33</v>
      </c>
      <c r="F174" s="43">
        <f>Orçamento!F157</f>
        <v>2</v>
      </c>
      <c r="G174" s="42"/>
      <c r="H174" s="42"/>
      <c r="I174" s="55">
        <f t="shared" si="20"/>
        <v>4564.66</v>
      </c>
      <c r="J174" s="55"/>
      <c r="K174" s="55"/>
      <c r="L174" s="44">
        <f t="shared" si="19"/>
        <v>0</v>
      </c>
    </row>
    <row r="175" spans="1:12" x14ac:dyDescent="0.25">
      <c r="A175" s="41" t="str">
        <f>Orçamento!A158</f>
        <v xml:space="preserve"> 16.2 </v>
      </c>
      <c r="B175" s="46" t="str">
        <f>Orçamento!D158</f>
        <v>BOMBA SUBMERSIVA BCS-255 0.5 M 60 220V 4P</v>
      </c>
      <c r="C175" s="41" t="str">
        <f>Orçamento!E158</f>
        <v>UND</v>
      </c>
      <c r="D175" s="42"/>
      <c r="E175" s="43">
        <f>Orçamento!H158</f>
        <v>5119.25</v>
      </c>
      <c r="F175" s="43">
        <f>Orçamento!F158</f>
        <v>2</v>
      </c>
      <c r="G175" s="42"/>
      <c r="H175" s="42"/>
      <c r="I175" s="55">
        <f t="shared" si="20"/>
        <v>10238.5</v>
      </c>
      <c r="J175" s="55"/>
      <c r="K175" s="55"/>
      <c r="L175" s="44">
        <f t="shared" si="19"/>
        <v>0</v>
      </c>
    </row>
    <row r="176" spans="1:12" x14ac:dyDescent="0.25">
      <c r="A176" s="41" t="str">
        <f>Orçamento!A159</f>
        <v xml:space="preserve"> 16.3 </v>
      </c>
      <c r="B176" s="46" t="str">
        <f>Orçamento!D159</f>
        <v>BOMBA DE RECALQUE BC-92S 1B 3 M 60 1/2,RT143</v>
      </c>
      <c r="C176" s="41" t="str">
        <f>Orçamento!E159</f>
        <v>UND</v>
      </c>
      <c r="D176" s="42"/>
      <c r="E176" s="43">
        <f>Orçamento!H159</f>
        <v>2493.98</v>
      </c>
      <c r="F176" s="43">
        <f>Orçamento!F159</f>
        <v>2</v>
      </c>
      <c r="G176" s="42"/>
      <c r="H176" s="42"/>
      <c r="I176" s="55">
        <f t="shared" si="20"/>
        <v>4987.96</v>
      </c>
      <c r="J176" s="55"/>
      <c r="K176" s="55"/>
      <c r="L176" s="44">
        <f t="shared" si="19"/>
        <v>0</v>
      </c>
    </row>
    <row r="177" spans="1:12" ht="25.5" x14ac:dyDescent="0.25">
      <c r="A177" s="41" t="str">
        <f>Orçamento!A160</f>
        <v xml:space="preserve"> 16.4 </v>
      </c>
      <c r="B177" s="46" t="str">
        <f>Orçamento!D160</f>
        <v>REGISTRO DE GAVETA BRUTO, LATÃO, ROSCÁVEL, 3/4", COM ACABAMENTO E CANOPLA CROMADOS - FORNECIMENTO E INSTALAÇÃO. AF_08/2021</v>
      </c>
      <c r="C177" s="41" t="str">
        <f>Orçamento!E160</f>
        <v>UN</v>
      </c>
      <c r="D177" s="42"/>
      <c r="E177" s="43">
        <f>Orçamento!H160</f>
        <v>110.11</v>
      </c>
      <c r="F177" s="43">
        <f>Orçamento!F160</f>
        <v>23</v>
      </c>
      <c r="G177" s="42"/>
      <c r="H177" s="42"/>
      <c r="I177" s="55">
        <f t="shared" si="20"/>
        <v>2532.5300000000002</v>
      </c>
      <c r="J177" s="55"/>
      <c r="K177" s="55"/>
      <c r="L177" s="44">
        <f t="shared" si="19"/>
        <v>0</v>
      </c>
    </row>
    <row r="178" spans="1:12" ht="25.5" x14ac:dyDescent="0.25">
      <c r="A178" s="41" t="str">
        <f>Orçamento!A161</f>
        <v xml:space="preserve"> 16.5 </v>
      </c>
      <c r="B178" s="46" t="str">
        <f>Orçamento!D161</f>
        <v>REGISTRO DE PRESSÃO, PVC, ROSCÁVEL, VOLANTE SIMPLES, 3/4" - FORNECIMENTO E INSTALAÇÃO. AF_08/2021</v>
      </c>
      <c r="C178" s="41" t="str">
        <f>Orçamento!E161</f>
        <v>UN</v>
      </c>
      <c r="D178" s="42"/>
      <c r="E178" s="43">
        <f>Orçamento!H161</f>
        <v>16.45</v>
      </c>
      <c r="F178" s="43">
        <f>Orçamento!F161</f>
        <v>4</v>
      </c>
      <c r="G178" s="42"/>
      <c r="H178" s="42"/>
      <c r="I178" s="55">
        <f t="shared" si="20"/>
        <v>65.8</v>
      </c>
      <c r="J178" s="55"/>
      <c r="K178" s="55"/>
      <c r="L178" s="44">
        <f t="shared" si="19"/>
        <v>0</v>
      </c>
    </row>
    <row r="179" spans="1:12" ht="25.5" x14ac:dyDescent="0.25">
      <c r="A179" s="41" t="str">
        <f>Orçamento!A162</f>
        <v xml:space="preserve"> 16.6 </v>
      </c>
      <c r="B179" s="46" t="str">
        <f>Orçamento!D162</f>
        <v>REGISTRO DE ESFERA, PVC, ROSCÁVEL, COM VOLANTE, 1 1/2" - FORNECIMENTO E INSTALAÇÃO. AF_08/2021</v>
      </c>
      <c r="C179" s="41" t="str">
        <f>Orçamento!E162</f>
        <v>UN</v>
      </c>
      <c r="D179" s="42"/>
      <c r="E179" s="43">
        <f>Orçamento!H162</f>
        <v>47.73</v>
      </c>
      <c r="F179" s="43">
        <f>Orçamento!F162</f>
        <v>2</v>
      </c>
      <c r="G179" s="42"/>
      <c r="H179" s="42"/>
      <c r="I179" s="55">
        <f t="shared" si="20"/>
        <v>95.46</v>
      </c>
      <c r="J179" s="55"/>
      <c r="K179" s="55"/>
      <c r="L179" s="44">
        <f t="shared" si="19"/>
        <v>0</v>
      </c>
    </row>
    <row r="180" spans="1:12" ht="25.5" x14ac:dyDescent="0.25">
      <c r="A180" s="41" t="str">
        <f>Orçamento!A163</f>
        <v xml:space="preserve"> 16.7 </v>
      </c>
      <c r="B180" s="46" t="str">
        <f>Orçamento!D163</f>
        <v>VÁLVULA DE RETENÇÃO HORIZONTAL, DE BRONZE, ROSCÁVEL, 1 1/2"  - FORNECIMENTO E INSTALAÇÃO. AF_08/2021</v>
      </c>
      <c r="C180" s="41" t="str">
        <f>Orçamento!E163</f>
        <v>UN</v>
      </c>
      <c r="D180" s="42"/>
      <c r="E180" s="43">
        <f>Orçamento!H163</f>
        <v>302</v>
      </c>
      <c r="F180" s="43">
        <f>Orçamento!F163</f>
        <v>2</v>
      </c>
      <c r="G180" s="42"/>
      <c r="H180" s="42"/>
      <c r="I180" s="55">
        <f t="shared" si="20"/>
        <v>604</v>
      </c>
      <c r="J180" s="55"/>
      <c r="K180" s="55"/>
      <c r="L180" s="44">
        <f t="shared" si="19"/>
        <v>0</v>
      </c>
    </row>
    <row r="181" spans="1:12" x14ac:dyDescent="0.25">
      <c r="A181" s="41" t="str">
        <f>Orçamento!A164</f>
        <v xml:space="preserve"> 16.8 </v>
      </c>
      <c r="B181" s="46" t="str">
        <f>Orçamento!D164</f>
        <v>VÁLVULA DE RETENÇÃO VERTICAL Ø 40MM (1.1/2") - FORNECIMENTO E INSTALAÇÃO</v>
      </c>
      <c r="C181" s="41" t="str">
        <f>Orçamento!E164</f>
        <v>UN</v>
      </c>
      <c r="D181" s="42"/>
      <c r="E181" s="43">
        <f>Orçamento!H164</f>
        <v>184.81</v>
      </c>
      <c r="F181" s="43">
        <f>Orçamento!F164</f>
        <v>2</v>
      </c>
      <c r="G181" s="42"/>
      <c r="H181" s="42"/>
      <c r="I181" s="55">
        <f t="shared" si="20"/>
        <v>369.62</v>
      </c>
      <c r="J181" s="55"/>
      <c r="K181" s="55"/>
      <c r="L181" s="44">
        <f t="shared" si="19"/>
        <v>0</v>
      </c>
    </row>
    <row r="182" spans="1:12" ht="25.5" x14ac:dyDescent="0.25">
      <c r="A182" s="41" t="str">
        <f>Orçamento!A165</f>
        <v xml:space="preserve"> 16.9 </v>
      </c>
      <c r="B182" s="46" t="str">
        <f>Orçamento!D165</f>
        <v>VÁLVULA DE RETENÇÃO VERTICAL, DE BRONZE, ROSCÁVEL, 1 1/4" - FORNECIMENTO E INSTALAÇÃO. AF_08/2021</v>
      </c>
      <c r="C182" s="41" t="str">
        <f>Orçamento!E165</f>
        <v>UN</v>
      </c>
      <c r="D182" s="42"/>
      <c r="E182" s="43">
        <f>Orçamento!H165</f>
        <v>142.96</v>
      </c>
      <c r="F182" s="43">
        <f>Orçamento!F165</f>
        <v>2</v>
      </c>
      <c r="G182" s="42"/>
      <c r="H182" s="42"/>
      <c r="I182" s="55">
        <f t="shared" si="20"/>
        <v>285.92</v>
      </c>
      <c r="J182" s="55"/>
      <c r="K182" s="55"/>
      <c r="L182" s="44">
        <f t="shared" si="19"/>
        <v>0</v>
      </c>
    </row>
    <row r="183" spans="1:12" ht="25.5" x14ac:dyDescent="0.25">
      <c r="A183" s="41" t="str">
        <f>Orçamento!A166</f>
        <v xml:space="preserve"> 16.10 </v>
      </c>
      <c r="B183" s="46" t="str">
        <f>Orçamento!D166</f>
        <v>REGISTRO DE ESFERA, PVC, SOLDÁVEL, COM VOLANTE, DN  40 MM - FORNECIMENTO E INSTALAÇÃO. AF_08/2021</v>
      </c>
      <c r="C183" s="41" t="str">
        <f>Orçamento!E166</f>
        <v>UN</v>
      </c>
      <c r="D183" s="42"/>
      <c r="E183" s="43">
        <f>Orçamento!H166</f>
        <v>41.72</v>
      </c>
      <c r="F183" s="43">
        <f>Orçamento!F166</f>
        <v>8</v>
      </c>
      <c r="G183" s="42"/>
      <c r="H183" s="42"/>
      <c r="I183" s="55">
        <f t="shared" si="20"/>
        <v>333.76</v>
      </c>
      <c r="J183" s="55"/>
      <c r="K183" s="55"/>
      <c r="L183" s="44">
        <f t="shared" si="19"/>
        <v>0</v>
      </c>
    </row>
    <row r="184" spans="1:12" ht="25.5" x14ac:dyDescent="0.25">
      <c r="A184" s="41" t="str">
        <f>Orçamento!A167</f>
        <v xml:space="preserve"> 16.11 </v>
      </c>
      <c r="B184" s="46" t="str">
        <f>Orçamento!D167</f>
        <v>REGISTRO DE ESFERA, PVC, SOLDÁVEL, COM VOLANTE, DN  50 MM - FORNECIMENTO E INSTALAÇÃO. AF_08/2021</v>
      </c>
      <c r="C184" s="41" t="str">
        <f>Orçamento!E167</f>
        <v>UN</v>
      </c>
      <c r="D184" s="42"/>
      <c r="E184" s="43">
        <f>Orçamento!H167</f>
        <v>42.83</v>
      </c>
      <c r="F184" s="43">
        <f>Orçamento!F167</f>
        <v>4</v>
      </c>
      <c r="G184" s="42"/>
      <c r="H184" s="42"/>
      <c r="I184" s="55">
        <f t="shared" si="20"/>
        <v>171.32</v>
      </c>
      <c r="J184" s="55"/>
      <c r="K184" s="55"/>
      <c r="L184" s="44">
        <f t="shared" si="19"/>
        <v>0</v>
      </c>
    </row>
    <row r="185" spans="1:12" ht="25.5" x14ac:dyDescent="0.25">
      <c r="A185" s="41" t="str">
        <f>Orçamento!A168</f>
        <v xml:space="preserve"> 16.12 </v>
      </c>
      <c r="B185" s="46" t="str">
        <f>Orçamento!D168</f>
        <v>REGISTRO DE ESFERA, PVC, SOLDÁVEL, COM VOLANTE, DN  60 MM - FORNECIMENTO E INSTALAÇÃO. AF_08/2021</v>
      </c>
      <c r="C185" s="41" t="str">
        <f>Orçamento!E168</f>
        <v>UN</v>
      </c>
      <c r="D185" s="42"/>
      <c r="E185" s="43">
        <f>Orçamento!H168</f>
        <v>78.48</v>
      </c>
      <c r="F185" s="43">
        <f>Orçamento!F168</f>
        <v>2</v>
      </c>
      <c r="G185" s="42"/>
      <c r="H185" s="42"/>
      <c r="I185" s="55">
        <f t="shared" si="20"/>
        <v>156.96</v>
      </c>
      <c r="J185" s="55"/>
      <c r="K185" s="55"/>
      <c r="L185" s="44">
        <f t="shared" si="19"/>
        <v>0</v>
      </c>
    </row>
    <row r="186" spans="1:12" ht="38.25" x14ac:dyDescent="0.25">
      <c r="A186" s="41" t="str">
        <f>Orçamento!A169</f>
        <v xml:space="preserve"> 16.13 </v>
      </c>
      <c r="B186" s="46" t="str">
        <f>Orçamento!D169</f>
        <v>(COMPOSIÇÃO REPRESENTATIVA) DO SERVIÇO DE INSTALAÇÃO DE TUBOS DE PVC, SOLDÁVEL, ÁGUA FRIA, DN 25 MM (INSTALADO EM RAMAL, SUB-RAMAL, RAMAL DE DISTRIBUIÇÃO OU PRUMADA), INCLUSIVE CONEXÕES, CORTES E FIXAÇÕES, PARA PRÉDIOS. AF_10/2015</v>
      </c>
      <c r="C186" s="41" t="str">
        <f>Orçamento!E169</f>
        <v>M</v>
      </c>
      <c r="D186" s="42"/>
      <c r="E186" s="43">
        <f>Orçamento!H169</f>
        <v>43.1</v>
      </c>
      <c r="F186" s="43">
        <f>Orçamento!F169</f>
        <v>223.7</v>
      </c>
      <c r="G186" s="42"/>
      <c r="H186" s="42"/>
      <c r="I186" s="55">
        <f t="shared" si="20"/>
        <v>9641.4699999999993</v>
      </c>
      <c r="J186" s="55"/>
      <c r="K186" s="55"/>
      <c r="L186" s="44">
        <f t="shared" si="19"/>
        <v>0</v>
      </c>
    </row>
    <row r="187" spans="1:12" ht="38.25" x14ac:dyDescent="0.25">
      <c r="A187" s="41" t="str">
        <f>Orçamento!A170</f>
        <v xml:space="preserve"> 16.14 </v>
      </c>
      <c r="B187" s="46" t="str">
        <f>Orçamento!D170</f>
        <v>(COMPOSIÇÃO REPRESENTATIVA) DO SERVIÇO DE INSTALAÇÃO TUBOS DE PVC, SOLDÁVEL, ÁGUA FRIA, DN 32 MM (INSTALADO EM RAMAL, SUB-RAMAL, RAMAL DE DISTRIBUIÇÃO OU PRUMADA), INCLUSIVE CONEXÕES, CORTES E FIXAÇÕES, PARA PRÉDIOS. AF_10/2015</v>
      </c>
      <c r="C187" s="41" t="str">
        <f>Orçamento!E170</f>
        <v>M</v>
      </c>
      <c r="D187" s="42"/>
      <c r="E187" s="43">
        <f>Orçamento!H170</f>
        <v>35.06</v>
      </c>
      <c r="F187" s="43">
        <f>Orçamento!F170</f>
        <v>95.31</v>
      </c>
      <c r="G187" s="42"/>
      <c r="H187" s="42"/>
      <c r="I187" s="55">
        <f t="shared" si="20"/>
        <v>3341.5686000000005</v>
      </c>
      <c r="J187" s="55"/>
      <c r="K187" s="55"/>
      <c r="L187" s="44">
        <f t="shared" si="19"/>
        <v>0</v>
      </c>
    </row>
    <row r="188" spans="1:12" ht="38.25" x14ac:dyDescent="0.25">
      <c r="A188" s="41" t="str">
        <f>Orçamento!A171</f>
        <v xml:space="preserve"> 16.15 </v>
      </c>
      <c r="B188" s="46" t="str">
        <f>Orçamento!D171</f>
        <v>(COMPOSIÇÃO REPRESENTATIVA) DO SERVIÇO DE INSTALAÇÃO DE TUBOS DE PVC, SOLDÁVEL, ÁGUA FRIA, DN 40 MM (INSTALADO EM PRUMADA), INCLUSIVE CONEXÕES, CORTES E FIXAÇÕES, PARA PRÉDIOS. AF_10/2015</v>
      </c>
      <c r="C188" s="41" t="str">
        <f>Orçamento!E171</f>
        <v>M</v>
      </c>
      <c r="D188" s="42"/>
      <c r="E188" s="43">
        <f>Orçamento!H171</f>
        <v>42.34</v>
      </c>
      <c r="F188" s="43">
        <f>Orçamento!F171</f>
        <v>75.8</v>
      </c>
      <c r="G188" s="42"/>
      <c r="H188" s="42"/>
      <c r="I188" s="55">
        <f t="shared" si="20"/>
        <v>3209.3720000000003</v>
      </c>
      <c r="J188" s="55"/>
      <c r="K188" s="55"/>
      <c r="L188" s="44">
        <f t="shared" si="19"/>
        <v>0</v>
      </c>
    </row>
    <row r="189" spans="1:12" ht="38.25" x14ac:dyDescent="0.25">
      <c r="A189" s="41" t="str">
        <f>Orçamento!A172</f>
        <v xml:space="preserve"> 16.16 </v>
      </c>
      <c r="B189" s="46" t="str">
        <f>Orçamento!D172</f>
        <v>(COMPOSIÇÃO REPRESENTATIVA) DO SERVIÇO DE INSTALAÇÃO DE TUBOS DE PVC, SOLDÁVEL, ÁGUA FRIA, DN 50 MM (INSTALADO EM PRUMADA), INCLUSIVE CONEXÕES, CORTES E FIXAÇÕES, PARA PRÉDIOS. AF_10/2015</v>
      </c>
      <c r="C189" s="41" t="str">
        <f>Orçamento!E172</f>
        <v>M</v>
      </c>
      <c r="D189" s="42"/>
      <c r="E189" s="43">
        <f>Orçamento!H172</f>
        <v>52.68</v>
      </c>
      <c r="F189" s="43">
        <f>Orçamento!F172</f>
        <v>219.33</v>
      </c>
      <c r="G189" s="42"/>
      <c r="H189" s="42"/>
      <c r="I189" s="55">
        <f t="shared" si="20"/>
        <v>11554.304400000001</v>
      </c>
      <c r="J189" s="55"/>
      <c r="K189" s="55"/>
      <c r="L189" s="44">
        <f t="shared" si="19"/>
        <v>0</v>
      </c>
    </row>
    <row r="190" spans="1:12" ht="38.25" x14ac:dyDescent="0.25">
      <c r="A190" s="41" t="str">
        <f>Orçamento!A173</f>
        <v xml:space="preserve"> 16.17 </v>
      </c>
      <c r="B190" s="46" t="str">
        <f>Orçamento!D173</f>
        <v>(COMPOSIÇÃO REPRESENTATIVA) DO SERVIÇO DE INSTALAÇÃO DE TUBOS DE PVC, SÉRIE R, ÁGUA PLUVIAL, DN 75 MM (INSTALADO EM RAMAL DE ENCAMINHAMENTO, OU CONDUTORES VERTICAIS), INCLUSIVE CONEXÕES, CORTE E FIXAÇÕES, PARA PRÉDIOS. AF_10/2015</v>
      </c>
      <c r="C190" s="41" t="str">
        <f>Orçamento!E173</f>
        <v>M</v>
      </c>
      <c r="D190" s="42"/>
      <c r="E190" s="43">
        <f>Orçamento!H173</f>
        <v>57.45</v>
      </c>
      <c r="F190" s="43">
        <f>Orçamento!F173</f>
        <v>107.24</v>
      </c>
      <c r="G190" s="42"/>
      <c r="H190" s="42"/>
      <c r="I190" s="55">
        <f t="shared" si="20"/>
        <v>6160.9380000000001</v>
      </c>
      <c r="J190" s="55"/>
      <c r="K190" s="55"/>
      <c r="L190" s="44">
        <f t="shared" si="19"/>
        <v>0</v>
      </c>
    </row>
    <row r="191" spans="1:12" ht="25.5" x14ac:dyDescent="0.25">
      <c r="A191" s="41" t="str">
        <f>Orçamento!A174</f>
        <v xml:space="preserve"> 16.18 </v>
      </c>
      <c r="B191" s="46" t="str">
        <f>Orçamento!D174</f>
        <v>CAIXA D´ÁGUA EM POLIÉSTER REFORÇADO COM FIBRA DE VIDRO, 10000 LITROS - FORNECIMENTO E INSTALAÇÃO. AF_06/2021</v>
      </c>
      <c r="C191" s="41" t="str">
        <f>Orçamento!E174</f>
        <v>UN</v>
      </c>
      <c r="D191" s="42"/>
      <c r="E191" s="43">
        <f>Orçamento!H174</f>
        <v>7491.47</v>
      </c>
      <c r="F191" s="43">
        <f>Orçamento!F174</f>
        <v>5</v>
      </c>
      <c r="G191" s="42"/>
      <c r="H191" s="42"/>
      <c r="I191" s="55">
        <f t="shared" si="20"/>
        <v>37457.35</v>
      </c>
      <c r="J191" s="55"/>
      <c r="K191" s="55"/>
      <c r="L191" s="44">
        <f t="shared" si="19"/>
        <v>0</v>
      </c>
    </row>
    <row r="192" spans="1:12" x14ac:dyDescent="0.25">
      <c r="A192" s="39" t="str">
        <f>Orçamento!A175</f>
        <v xml:space="preserve"> 17 </v>
      </c>
      <c r="B192" s="45" t="str">
        <f>Orçamento!D175</f>
        <v>INSTALAÇÕES SANITÁRIAS</v>
      </c>
      <c r="C192" s="39"/>
      <c r="D192" s="47"/>
      <c r="E192" s="48"/>
      <c r="F192" s="48"/>
      <c r="G192" s="47"/>
      <c r="H192" s="47"/>
      <c r="I192" s="56"/>
      <c r="J192" s="56"/>
      <c r="K192" s="56"/>
      <c r="L192" s="49"/>
    </row>
    <row r="193" spans="1:12" ht="38.25" x14ac:dyDescent="0.25">
      <c r="A193" s="41" t="str">
        <f>Orçamento!A176</f>
        <v xml:space="preserve"> 17.1 </v>
      </c>
      <c r="B193" s="46" t="str">
        <f>Orçamento!D176</f>
        <v>(COMPOSIÇÃO REPRESENTATIVA) DO SERVIÇO DE INST. TUBO PVC, SÉRIE N, ESGOTO PREDIAL, 100 MM (INST. RAMAL DESCARGA, RAMAL DE ESG. SANIT., PRUMADA ESG. SANIT., VENTILAÇÃO OU SUB-COLETOR AÉREO), INCL. CONEXÕES E CORTES, FIXAÇÕES, P/ PRÉDIOS. AF_10/2015</v>
      </c>
      <c r="C193" s="41" t="str">
        <f>Orçamento!E176</f>
        <v>M</v>
      </c>
      <c r="D193" s="42"/>
      <c r="E193" s="43">
        <f>Orçamento!H176</f>
        <v>73.61</v>
      </c>
      <c r="F193" s="43">
        <f>Orçamento!F176</f>
        <v>191</v>
      </c>
      <c r="G193" s="42"/>
      <c r="H193" s="42"/>
      <c r="I193" s="55">
        <f t="shared" si="20"/>
        <v>14059.51</v>
      </c>
      <c r="J193" s="55"/>
      <c r="K193" s="55"/>
      <c r="L193" s="44">
        <f t="shared" si="19"/>
        <v>0</v>
      </c>
    </row>
    <row r="194" spans="1:12" ht="38.25" x14ac:dyDescent="0.25">
      <c r="A194" s="41" t="str">
        <f>Orçamento!A177</f>
        <v xml:space="preserve"> 17.2 </v>
      </c>
      <c r="B194" s="46" t="str">
        <f>Orçamento!D177</f>
        <v>(COMPOSIÇÃO REPRESENTATIVA) DO SERVIÇO DE INST. TUBO PVC, SÉRIE N, ESGOTO PREDIAL, DN 75 MM, (INST. EM RAMAL DE DESCARGA, RAMAL DE ESG. SANITÁRIO, PRUMADA DE ESG. SANITÁRIO OU VENTILAÇÃO), INCL. CONEXÕES, CORTES E FIXAÇÕES, P/ PRÉDIOS. AF_10/2015</v>
      </c>
      <c r="C194" s="41" t="str">
        <f>Orçamento!E177</f>
        <v>M</v>
      </c>
      <c r="D194" s="42"/>
      <c r="E194" s="43">
        <f>Orçamento!H177</f>
        <v>46.1</v>
      </c>
      <c r="F194" s="43">
        <f>Orçamento!F177</f>
        <v>77</v>
      </c>
      <c r="G194" s="42"/>
      <c r="H194" s="42"/>
      <c r="I194" s="55">
        <f t="shared" si="20"/>
        <v>3549.7000000000003</v>
      </c>
      <c r="J194" s="55"/>
      <c r="K194" s="55"/>
      <c r="L194" s="44">
        <f t="shared" si="19"/>
        <v>0</v>
      </c>
    </row>
    <row r="195" spans="1:12" ht="38.25" x14ac:dyDescent="0.25">
      <c r="A195" s="41" t="str">
        <f>Orçamento!A178</f>
        <v xml:space="preserve"> 17.3 </v>
      </c>
      <c r="B195" s="46" t="str">
        <f>Orçamento!D178</f>
        <v>(COMPOSIÇÃO REPRESENTATIVA) DO SERVIÇO DE INSTALAÇÃO DE TUBO DE PVC, SÉRIE NORMAL, ESGOTO PREDIAL, DN 50 MM (INSTALADO EM RAMAL DE DESCARGA OU RAMAL DE ESGOTO SANITÁRIO), INCLUSIVE CONEXÕES, CORTES E FIXAÇÕES PARA, PRÉDIOS. AF_10/2015</v>
      </c>
      <c r="C195" s="41" t="str">
        <f>Orçamento!E178</f>
        <v>M</v>
      </c>
      <c r="D195" s="42"/>
      <c r="E195" s="43">
        <f>Orçamento!H178</f>
        <v>92.81</v>
      </c>
      <c r="F195" s="43">
        <f>Orçamento!F178</f>
        <v>96</v>
      </c>
      <c r="G195" s="42"/>
      <c r="H195" s="42"/>
      <c r="I195" s="55">
        <f t="shared" si="20"/>
        <v>8909.76</v>
      </c>
      <c r="J195" s="55"/>
      <c r="K195" s="55"/>
      <c r="L195" s="44">
        <f t="shared" si="19"/>
        <v>0</v>
      </c>
    </row>
    <row r="196" spans="1:12" ht="38.25" x14ac:dyDescent="0.25">
      <c r="A196" s="41" t="str">
        <f>Orçamento!A179</f>
        <v xml:space="preserve"> 17.4 </v>
      </c>
      <c r="B196" s="46" t="str">
        <f>Orçamento!D179</f>
        <v>(COMPOSIÇÃO REPRESENTATIVA) DO SERVIÇO DE INSTALAÇÃO DE TUBO DE PVC, SÉRIE NORMAL, ESGOTO PREDIAL, DN 40 MM (INSTALADO EM RAMAL DE DESCARGA OU RAMAL DE ESGOTO SANITÁRIO), INCLUSIVE CONEXÕES, CORTES E FIXAÇÕES, PARA PRÉDIOS. AF_10/2015</v>
      </c>
      <c r="C196" s="41" t="str">
        <f>Orçamento!E179</f>
        <v>M</v>
      </c>
      <c r="D196" s="42"/>
      <c r="E196" s="43">
        <f>Orçamento!H179</f>
        <v>58.84</v>
      </c>
      <c r="F196" s="43">
        <f>Orçamento!F179</f>
        <v>25</v>
      </c>
      <c r="G196" s="42"/>
      <c r="H196" s="42"/>
      <c r="I196" s="55">
        <f t="shared" si="20"/>
        <v>1471</v>
      </c>
      <c r="J196" s="55"/>
      <c r="K196" s="55"/>
      <c r="L196" s="44">
        <f t="shared" si="19"/>
        <v>0</v>
      </c>
    </row>
    <row r="197" spans="1:12" ht="25.5" x14ac:dyDescent="0.25">
      <c r="A197" s="41" t="str">
        <f>Orçamento!A180</f>
        <v xml:space="preserve"> 17.5 </v>
      </c>
      <c r="B197" s="46" t="str">
        <f>Orçamento!D180</f>
        <v>CAIXA ENTERRADA HIDRÁULICA RETANGULAR, EM ALVENARIA COM BLOCOS DE CONCRETO, DIMENSÕES INTERNAS: 0,6X0,6X0,6 M PARA REDE DE ESGOTO. AF_12/2020</v>
      </c>
      <c r="C197" s="41" t="str">
        <f>Orçamento!E180</f>
        <v>UN</v>
      </c>
      <c r="D197" s="42"/>
      <c r="E197" s="43">
        <f>Orçamento!H180</f>
        <v>424.97</v>
      </c>
      <c r="F197" s="43">
        <f>Orçamento!F180</f>
        <v>30</v>
      </c>
      <c r="G197" s="42"/>
      <c r="H197" s="42"/>
      <c r="I197" s="55">
        <f t="shared" si="20"/>
        <v>12749.1</v>
      </c>
      <c r="J197" s="55"/>
      <c r="K197" s="55"/>
      <c r="L197" s="44">
        <f t="shared" si="19"/>
        <v>0</v>
      </c>
    </row>
    <row r="198" spans="1:12" x14ac:dyDescent="0.25">
      <c r="A198" s="41" t="str">
        <f>Orçamento!A181</f>
        <v xml:space="preserve"> 17.6 </v>
      </c>
      <c r="B198" s="46" t="str">
        <f>Orçamento!D181</f>
        <v>PROLONGAMENTO / PROLONGADOR PARA CAIXA SIFONADA, PVC, 150 MM X 150 MM (NBR 5688)</v>
      </c>
      <c r="C198" s="41" t="str">
        <f>Orçamento!E181</f>
        <v>UN</v>
      </c>
      <c r="D198" s="42"/>
      <c r="E198" s="43">
        <f>Orçamento!H181</f>
        <v>13.66</v>
      </c>
      <c r="F198" s="43">
        <f>Orçamento!F181</f>
        <v>20</v>
      </c>
      <c r="G198" s="42"/>
      <c r="H198" s="42"/>
      <c r="I198" s="55">
        <f t="shared" si="20"/>
        <v>273.2</v>
      </c>
      <c r="J198" s="55"/>
      <c r="K198" s="55"/>
      <c r="L198" s="44">
        <f t="shared" si="19"/>
        <v>0</v>
      </c>
    </row>
    <row r="199" spans="1:12" ht="25.5" x14ac:dyDescent="0.25">
      <c r="A199" s="41" t="str">
        <f>Orçamento!A182</f>
        <v xml:space="preserve"> 17.7 </v>
      </c>
      <c r="B199" s="46" t="str">
        <f>Orçamento!D182</f>
        <v>CAIXA DE GORDURA PEQUENA (CAPACIDADE: 19 L), CIRCULAR, EM PVC, DIÂMETRO INTERNO= 0,3 M. AF_12/2020</v>
      </c>
      <c r="C199" s="41" t="str">
        <f>Orçamento!E182</f>
        <v>UN</v>
      </c>
      <c r="D199" s="42"/>
      <c r="E199" s="43">
        <f>Orçamento!H182</f>
        <v>401.33</v>
      </c>
      <c r="F199" s="43">
        <f>Orçamento!F182</f>
        <v>20</v>
      </c>
      <c r="G199" s="42"/>
      <c r="H199" s="42"/>
      <c r="I199" s="55">
        <f t="shared" si="20"/>
        <v>8026.5999999999995</v>
      </c>
      <c r="J199" s="55"/>
      <c r="K199" s="55"/>
      <c r="L199" s="44">
        <f t="shared" si="19"/>
        <v>0</v>
      </c>
    </row>
    <row r="200" spans="1:12" x14ac:dyDescent="0.25">
      <c r="A200" s="41" t="str">
        <f>Orçamento!A183</f>
        <v xml:space="preserve"> 17.8 </v>
      </c>
      <c r="B200" s="46" t="str">
        <f>Orçamento!D183</f>
        <v>GRELHA FIXA, EM PVC BRANCA, QUADRADA, 150 X 150 MM, PARA RALOS E CAIXAS</v>
      </c>
      <c r="C200" s="41" t="str">
        <f>Orçamento!E183</f>
        <v>UN</v>
      </c>
      <c r="D200" s="42"/>
      <c r="E200" s="43">
        <f>Orçamento!H183</f>
        <v>10.46</v>
      </c>
      <c r="F200" s="43">
        <f>Orçamento!F183</f>
        <v>17</v>
      </c>
      <c r="G200" s="42"/>
      <c r="H200" s="42"/>
      <c r="I200" s="55">
        <f t="shared" si="20"/>
        <v>177.82000000000002</v>
      </c>
      <c r="J200" s="55"/>
      <c r="K200" s="55"/>
      <c r="L200" s="44">
        <f t="shared" si="19"/>
        <v>0</v>
      </c>
    </row>
    <row r="201" spans="1:12" ht="25.5" x14ac:dyDescent="0.25">
      <c r="A201" s="41" t="str">
        <f>Orçamento!A184</f>
        <v xml:space="preserve"> 17.9 </v>
      </c>
      <c r="B201" s="46" t="str">
        <f>Orçamento!D184</f>
        <v>TUBO DE PVC CORRUGADO DE DUPLA PAREDE PARA REDE COLETORA DE ESGOTO, DN 200 MM, JUNTA ELÁSTICA - FORNECIMENTO E ASSENTAMENTO. AF_01/2021</v>
      </c>
      <c r="C201" s="41" t="str">
        <f>Orçamento!E184</f>
        <v>M</v>
      </c>
      <c r="D201" s="42"/>
      <c r="E201" s="43">
        <f>Orçamento!H184</f>
        <v>141.57</v>
      </c>
      <c r="F201" s="43">
        <f>Orçamento!F184</f>
        <v>103</v>
      </c>
      <c r="G201" s="42"/>
      <c r="H201" s="42"/>
      <c r="I201" s="55">
        <f t="shared" si="20"/>
        <v>14581.71</v>
      </c>
      <c r="J201" s="55"/>
      <c r="K201" s="55"/>
      <c r="L201" s="44">
        <f t="shared" si="19"/>
        <v>0</v>
      </c>
    </row>
    <row r="202" spans="1:12" x14ac:dyDescent="0.25">
      <c r="A202" s="39" t="str">
        <f>Orçamento!A185</f>
        <v xml:space="preserve"> 18 </v>
      </c>
      <c r="B202" s="45" t="str">
        <f>Orçamento!D185</f>
        <v>INSTALAÇÕES PLUVIAIS</v>
      </c>
      <c r="C202" s="39"/>
      <c r="D202" s="47"/>
      <c r="E202" s="48"/>
      <c r="F202" s="48"/>
      <c r="G202" s="47"/>
      <c r="H202" s="47"/>
      <c r="I202" s="56"/>
      <c r="J202" s="56"/>
      <c r="K202" s="56"/>
      <c r="L202" s="49"/>
    </row>
    <row r="203" spans="1:12" ht="38.25" x14ac:dyDescent="0.25">
      <c r="A203" s="41" t="str">
        <f>Orçamento!A186</f>
        <v xml:space="preserve"> 18.1 </v>
      </c>
      <c r="B203" s="46" t="str">
        <f>Orçamento!D186</f>
        <v>(COMPOSIÇÃO REPRESENTATIVA) DO SERVIÇO DE INST. TUBO PVC, SÉRIE N, ESGOTO PREDIAL, 100 MM (INST. RAMAL DESCARGA, RAMAL DE ESG. SANIT., PRUMADA ESG. SANIT., VENTILAÇÃO OU SUB-COLETOR AÉREO), INCL. CONEXÕES E CORTES, FIXAÇÕES, P/ PRÉDIOS. AF_10/2015</v>
      </c>
      <c r="C203" s="41" t="str">
        <f>Orçamento!E186</f>
        <v>M</v>
      </c>
      <c r="D203" s="42"/>
      <c r="E203" s="43">
        <f>Orçamento!H186</f>
        <v>73.61</v>
      </c>
      <c r="F203" s="43">
        <f>Orçamento!F186</f>
        <v>575</v>
      </c>
      <c r="G203" s="42"/>
      <c r="H203" s="42"/>
      <c r="I203" s="55">
        <f t="shared" si="20"/>
        <v>42325.75</v>
      </c>
      <c r="J203" s="55"/>
      <c r="K203" s="55"/>
      <c r="L203" s="44">
        <f t="shared" si="19"/>
        <v>0</v>
      </c>
    </row>
    <row r="204" spans="1:12" ht="25.5" x14ac:dyDescent="0.25">
      <c r="A204" s="41" t="str">
        <f>Orçamento!A187</f>
        <v xml:space="preserve"> 18.2 </v>
      </c>
      <c r="B204" s="46" t="str">
        <f>Orçamento!D187</f>
        <v>CAIXA SIFONADA, PVC, DN 100 X 100 X 50 MM, FORNECIDA E INSTALADA EM RAMAIS DE ENCAMINHAMENTO DE ÁGUA PLUVIAL. AF_06/2022</v>
      </c>
      <c r="C204" s="41" t="str">
        <f>Orçamento!E187</f>
        <v>UN</v>
      </c>
      <c r="D204" s="42"/>
      <c r="E204" s="43">
        <f>Orçamento!H187</f>
        <v>41.61</v>
      </c>
      <c r="F204" s="43">
        <f>Orçamento!F187</f>
        <v>17</v>
      </c>
      <c r="G204" s="42"/>
      <c r="H204" s="42"/>
      <c r="I204" s="55">
        <f t="shared" si="20"/>
        <v>707.37</v>
      </c>
      <c r="J204" s="55"/>
      <c r="K204" s="55"/>
      <c r="L204" s="44">
        <f t="shared" si="19"/>
        <v>0</v>
      </c>
    </row>
    <row r="205" spans="1:12" ht="25.5" x14ac:dyDescent="0.25">
      <c r="A205" s="41" t="str">
        <f>Orçamento!A188</f>
        <v xml:space="preserve"> 18.3 </v>
      </c>
      <c r="B205" s="46" t="str">
        <f>Orçamento!D188</f>
        <v>CAIXA ENTERRADA HIDRÁULICA RETANGULAR, EM ALVENARIA COM BLOCOS DE CONCRETO, DIMENSÕES INTERNAS: 0,6X0,6X0,6 M PARA REDE DE ESGOTO. AF_12/2020</v>
      </c>
      <c r="C205" s="41" t="str">
        <f>Orçamento!E188</f>
        <v>UN</v>
      </c>
      <c r="D205" s="42"/>
      <c r="E205" s="43">
        <f>Orçamento!H188</f>
        <v>424.97</v>
      </c>
      <c r="F205" s="43">
        <f>Orçamento!F188</f>
        <v>14</v>
      </c>
      <c r="G205" s="42"/>
      <c r="H205" s="42"/>
      <c r="I205" s="55">
        <f t="shared" si="20"/>
        <v>5949.58</v>
      </c>
      <c r="J205" s="55"/>
      <c r="K205" s="55"/>
      <c r="L205" s="44">
        <f t="shared" si="19"/>
        <v>0</v>
      </c>
    </row>
    <row r="206" spans="1:12" ht="25.5" x14ac:dyDescent="0.25">
      <c r="A206" s="41" t="str">
        <f>Orçamento!A189</f>
        <v xml:space="preserve"> 18.4 </v>
      </c>
      <c r="B206" s="46" t="str">
        <f>Orçamento!D189</f>
        <v>CAIXA DE GORDURA DUPLA (CAPACIDADE: 126 L), RETANGULAR, EM ALVENARIA COM BLOCOS DE CONCRETO, DIMENSÕES INTERNAS = 0,4X0,7 M, ALTURA INTERNA = 0,8 M. AF_12/2020</v>
      </c>
      <c r="C206" s="41" t="str">
        <f>Orçamento!E189</f>
        <v>UN</v>
      </c>
      <c r="D206" s="42"/>
      <c r="E206" s="43">
        <f>Orçamento!H189</f>
        <v>460.68</v>
      </c>
      <c r="F206" s="43">
        <f>Orçamento!F189</f>
        <v>30</v>
      </c>
      <c r="G206" s="42"/>
      <c r="H206" s="42"/>
      <c r="I206" s="55">
        <f t="shared" si="20"/>
        <v>13820.4</v>
      </c>
      <c r="J206" s="55"/>
      <c r="K206" s="55"/>
      <c r="L206" s="44">
        <f t="shared" si="19"/>
        <v>0</v>
      </c>
    </row>
    <row r="207" spans="1:12" x14ac:dyDescent="0.25">
      <c r="A207" s="41" t="str">
        <f>Orçamento!A190</f>
        <v xml:space="preserve"> 18.5 </v>
      </c>
      <c r="B207" s="46" t="str">
        <f>Orçamento!D190</f>
        <v>RALO FOFO SEMIESFERICO, 100 MM, PARA LAJES/ CALHAS</v>
      </c>
      <c r="C207" s="41" t="str">
        <f>Orçamento!E190</f>
        <v>UN</v>
      </c>
      <c r="D207" s="42"/>
      <c r="E207" s="43">
        <f>Orçamento!H190</f>
        <v>28.72</v>
      </c>
      <c r="F207" s="43">
        <f>Orçamento!F190</f>
        <v>35</v>
      </c>
      <c r="G207" s="42"/>
      <c r="H207" s="42"/>
      <c r="I207" s="55">
        <f t="shared" si="20"/>
        <v>1005.1999999999999</v>
      </c>
      <c r="J207" s="55"/>
      <c r="K207" s="55"/>
      <c r="L207" s="44">
        <f t="shared" si="19"/>
        <v>0</v>
      </c>
    </row>
    <row r="208" spans="1:12" x14ac:dyDescent="0.25">
      <c r="A208" s="39" t="str">
        <f>Orçamento!A191</f>
        <v xml:space="preserve"> 19 </v>
      </c>
      <c r="B208" s="45" t="str">
        <f>Orçamento!D191</f>
        <v>INSTALAÇÕES ELÉTRICAS</v>
      </c>
      <c r="C208" s="39"/>
      <c r="D208" s="47"/>
      <c r="E208" s="48"/>
      <c r="F208" s="48"/>
      <c r="G208" s="47"/>
      <c r="H208" s="47"/>
      <c r="I208" s="56"/>
      <c r="J208" s="56"/>
      <c r="K208" s="56"/>
      <c r="L208" s="49"/>
    </row>
    <row r="209" spans="1:12" ht="25.5" x14ac:dyDescent="0.25">
      <c r="A209" s="41" t="str">
        <f>Orçamento!A192</f>
        <v xml:space="preserve"> 19.1 </v>
      </c>
      <c r="B209" s="46" t="str">
        <f>Orçamento!D192</f>
        <v>CABO DE COBRE FLEXÍVEL ISOLADO, 1,5 MM², ANTI-CHAMA 450/750 V, PARA CIRCUITOS TERMINAIS - FORNECIMENTO E INSTALAÇÃO. AF_12/2015</v>
      </c>
      <c r="C209" s="41" t="str">
        <f>Orçamento!E192</f>
        <v>M</v>
      </c>
      <c r="D209" s="42"/>
      <c r="E209" s="43">
        <f>Orçamento!H192</f>
        <v>3.04</v>
      </c>
      <c r="F209" s="43">
        <f>Orçamento!F192</f>
        <v>3386.01</v>
      </c>
      <c r="G209" s="42"/>
      <c r="H209" s="42"/>
      <c r="I209" s="55">
        <f t="shared" si="20"/>
        <v>10293.4704</v>
      </c>
      <c r="J209" s="55"/>
      <c r="K209" s="55"/>
      <c r="L209" s="44">
        <f t="shared" si="19"/>
        <v>0</v>
      </c>
    </row>
    <row r="210" spans="1:12" ht="25.5" x14ac:dyDescent="0.25">
      <c r="A210" s="41" t="str">
        <f>Orçamento!A193</f>
        <v xml:space="preserve"> 19.2 </v>
      </c>
      <c r="B210" s="46" t="str">
        <f>Orçamento!D193</f>
        <v>CABO DE COBRE FLEXÍVEL ISOLADO, 2,5 MM², ANTI-CHAMA 450/750 V, PARA CIRCUITOS TERMINAIS - FORNECIMENTO E INSTALAÇÃO. AF_12/2015</v>
      </c>
      <c r="C210" s="41" t="str">
        <f>Orçamento!E193</f>
        <v>M</v>
      </c>
      <c r="D210" s="42"/>
      <c r="E210" s="43">
        <f>Orçamento!H193</f>
        <v>4.49</v>
      </c>
      <c r="F210" s="43">
        <f>Orçamento!F193</f>
        <v>7458.78</v>
      </c>
      <c r="G210" s="42"/>
      <c r="H210" s="42"/>
      <c r="I210" s="55">
        <f t="shared" si="20"/>
        <v>33489.922200000001</v>
      </c>
      <c r="J210" s="55"/>
      <c r="K210" s="55"/>
      <c r="L210" s="44">
        <f t="shared" si="19"/>
        <v>0</v>
      </c>
    </row>
    <row r="211" spans="1:12" ht="25.5" x14ac:dyDescent="0.25">
      <c r="A211" s="41" t="str">
        <f>Orçamento!A194</f>
        <v xml:space="preserve"> 19.3 </v>
      </c>
      <c r="B211" s="46" t="str">
        <f>Orçamento!D194</f>
        <v>CABO DE COBRE FLEXÍVEL ISOLADO, 4 MM², ANTI-CHAMA 450/750 V, PARA CIRCUITOS TERMINAIS - FORNECIMENTO E INSTALAÇÃO. AF_12/2015</v>
      </c>
      <c r="C211" s="41" t="str">
        <f>Orçamento!E194</f>
        <v>M</v>
      </c>
      <c r="D211" s="42"/>
      <c r="E211" s="43">
        <f>Orçamento!H194</f>
        <v>7.01</v>
      </c>
      <c r="F211" s="43">
        <f>Orçamento!F194</f>
        <v>4181.41</v>
      </c>
      <c r="G211" s="42"/>
      <c r="H211" s="42"/>
      <c r="I211" s="55">
        <f t="shared" si="20"/>
        <v>29311.684099999999</v>
      </c>
      <c r="J211" s="55"/>
      <c r="K211" s="55"/>
      <c r="L211" s="44">
        <f t="shared" si="19"/>
        <v>0</v>
      </c>
    </row>
    <row r="212" spans="1:12" ht="25.5" x14ac:dyDescent="0.25">
      <c r="A212" s="41" t="str">
        <f>Orçamento!A195</f>
        <v xml:space="preserve"> 19.4 </v>
      </c>
      <c r="B212" s="46" t="str">
        <f>Orçamento!D195</f>
        <v>CABO DE COBRE FLEXÍVEL ISOLADO, 6 MM², ANTI-CHAMA 450/750 V, PARA CIRCUITOS TERMINAIS - FORNECIMENTO E INSTALAÇÃO. AF_12/2015</v>
      </c>
      <c r="C212" s="41" t="str">
        <f>Orçamento!E195</f>
        <v>M</v>
      </c>
      <c r="D212" s="42"/>
      <c r="E212" s="43">
        <f>Orçamento!H195</f>
        <v>9.81</v>
      </c>
      <c r="F212" s="43">
        <f>Orçamento!F195</f>
        <v>1006.03</v>
      </c>
      <c r="G212" s="42"/>
      <c r="H212" s="42"/>
      <c r="I212" s="55">
        <f t="shared" si="20"/>
        <v>9869.1543000000001</v>
      </c>
      <c r="J212" s="55"/>
      <c r="K212" s="55"/>
      <c r="L212" s="44">
        <f t="shared" si="19"/>
        <v>0</v>
      </c>
    </row>
    <row r="213" spans="1:12" ht="25.5" x14ac:dyDescent="0.25">
      <c r="A213" s="41" t="str">
        <f>Orçamento!A196</f>
        <v xml:space="preserve"> 19.5 </v>
      </c>
      <c r="B213" s="46" t="str">
        <f>Orçamento!D196</f>
        <v>CABO DE COBRE FLEXÍVEL ISOLADO, 16 MM², ANTI-CHAMA 0,6/1,0 KV, PARA DISTRIBUIÇÃO - FORNECIMENTO E INSTALAÇÃO. AF_12/2015</v>
      </c>
      <c r="C213" s="41" t="str">
        <f>Orçamento!E196</f>
        <v>M</v>
      </c>
      <c r="D213" s="42"/>
      <c r="E213" s="43">
        <f>Orçamento!H196</f>
        <v>19.5</v>
      </c>
      <c r="F213" s="43">
        <f>Orçamento!F196</f>
        <v>1179.54</v>
      </c>
      <c r="G213" s="42"/>
      <c r="H213" s="42"/>
      <c r="I213" s="55">
        <f t="shared" si="20"/>
        <v>23001.03</v>
      </c>
      <c r="J213" s="55"/>
      <c r="K213" s="55"/>
      <c r="L213" s="44">
        <f t="shared" si="19"/>
        <v>0</v>
      </c>
    </row>
    <row r="214" spans="1:12" ht="25.5" x14ac:dyDescent="0.25">
      <c r="A214" s="41" t="str">
        <f>Orçamento!A197</f>
        <v xml:space="preserve"> 19.6 </v>
      </c>
      <c r="B214" s="46" t="str">
        <f>Orçamento!D197</f>
        <v>CURVA 135 GRAUS, PARA ELETRODUTO, EM ACO GALVANIZADO ELETROLITICO, DIAMETRO DE 15 MM (1/2")</v>
      </c>
      <c r="C214" s="41" t="str">
        <f>Orçamento!E197</f>
        <v>UN</v>
      </c>
      <c r="D214" s="42"/>
      <c r="E214" s="43">
        <f>Orçamento!H197</f>
        <v>7.21</v>
      </c>
      <c r="F214" s="43">
        <f>Orçamento!F197</f>
        <v>48</v>
      </c>
      <c r="G214" s="42"/>
      <c r="H214" s="42"/>
      <c r="I214" s="55">
        <f t="shared" si="20"/>
        <v>346.08</v>
      </c>
      <c r="J214" s="55"/>
      <c r="K214" s="55"/>
      <c r="L214" s="44">
        <f t="shared" si="19"/>
        <v>0</v>
      </c>
    </row>
    <row r="215" spans="1:12" x14ac:dyDescent="0.25">
      <c r="A215" s="41" t="str">
        <f>Orçamento!A198</f>
        <v xml:space="preserve"> 19.7 </v>
      </c>
      <c r="B215" s="46" t="str">
        <f>Orçamento!D198</f>
        <v>CURVA 135 GRAUS, DE PVC RIGIDO ROSCAVEL, DE 3/4", PARA ELETRODUTO</v>
      </c>
      <c r="C215" s="41" t="str">
        <f>Orçamento!E198</f>
        <v>UN</v>
      </c>
      <c r="D215" s="42"/>
      <c r="E215" s="43">
        <f>Orçamento!H198</f>
        <v>1.87</v>
      </c>
      <c r="F215" s="43">
        <f>Orçamento!F198</f>
        <v>99</v>
      </c>
      <c r="G215" s="42"/>
      <c r="H215" s="42"/>
      <c r="I215" s="55">
        <f t="shared" si="20"/>
        <v>185.13000000000002</v>
      </c>
      <c r="J215" s="55"/>
      <c r="K215" s="55"/>
      <c r="L215" s="44">
        <f t="shared" si="19"/>
        <v>0</v>
      </c>
    </row>
    <row r="216" spans="1:12" x14ac:dyDescent="0.25">
      <c r="A216" s="41" t="str">
        <f>Orçamento!A199</f>
        <v xml:space="preserve"> 19.8 </v>
      </c>
      <c r="B216" s="46" t="str">
        <f>Orçamento!D199</f>
        <v>CURVA 90 GRAUS, CURTA, DE PVC RIGIDO ROSCAVEL, DE 1/2", PARA ELETRODUTO</v>
      </c>
      <c r="C216" s="41" t="str">
        <f>Orçamento!E199</f>
        <v>UN</v>
      </c>
      <c r="D216" s="42"/>
      <c r="E216" s="43">
        <f>Orçamento!H199</f>
        <v>1.55</v>
      </c>
      <c r="F216" s="43">
        <f>Orçamento!F199</f>
        <v>92</v>
      </c>
      <c r="G216" s="42"/>
      <c r="H216" s="42"/>
      <c r="I216" s="55">
        <f t="shared" si="20"/>
        <v>142.6</v>
      </c>
      <c r="J216" s="55"/>
      <c r="K216" s="55"/>
      <c r="L216" s="44">
        <f t="shared" ref="L216:L279" si="21">K216/I216</f>
        <v>0</v>
      </c>
    </row>
    <row r="217" spans="1:12" x14ac:dyDescent="0.25">
      <c r="A217" s="41" t="str">
        <f>Orçamento!A200</f>
        <v xml:space="preserve"> 19.9 </v>
      </c>
      <c r="B217" s="46" t="str">
        <f>Orçamento!D200</f>
        <v>CURVA 90 GRAUS, CURTA, DE PVC RIGIDO ROSCAVEL, DE 3/4", PARA ELETRODUTO</v>
      </c>
      <c r="C217" s="41" t="str">
        <f>Orçamento!E200</f>
        <v>UN</v>
      </c>
      <c r="D217" s="42"/>
      <c r="E217" s="43">
        <f>Orçamento!H200</f>
        <v>1.91</v>
      </c>
      <c r="F217" s="43">
        <f>Orçamento!F200</f>
        <v>237</v>
      </c>
      <c r="G217" s="42"/>
      <c r="H217" s="42"/>
      <c r="I217" s="55">
        <f t="shared" si="20"/>
        <v>452.66999999999996</v>
      </c>
      <c r="J217" s="55"/>
      <c r="K217" s="55"/>
      <c r="L217" s="44">
        <f t="shared" si="21"/>
        <v>0</v>
      </c>
    </row>
    <row r="218" spans="1:12" x14ac:dyDescent="0.25">
      <c r="A218" s="41" t="str">
        <f>Orçamento!A201</f>
        <v xml:space="preserve"> 19.10 </v>
      </c>
      <c r="B218" s="46" t="str">
        <f>Orçamento!D201</f>
        <v>CURVA 90 GRAUS, CURTA, DE PVC RIGIDO ROSCAVEL, DE 1", PARA ELETRODUTO</v>
      </c>
      <c r="C218" s="41" t="str">
        <f>Orçamento!E201</f>
        <v>UN</v>
      </c>
      <c r="D218" s="42"/>
      <c r="E218" s="43">
        <f>Orçamento!H201</f>
        <v>2.64</v>
      </c>
      <c r="F218" s="43">
        <f>Orçamento!F201</f>
        <v>14</v>
      </c>
      <c r="G218" s="42"/>
      <c r="H218" s="42"/>
      <c r="I218" s="55">
        <f t="shared" si="20"/>
        <v>36.96</v>
      </c>
      <c r="J218" s="55"/>
      <c r="K218" s="55"/>
      <c r="L218" s="44">
        <f t="shared" si="21"/>
        <v>0</v>
      </c>
    </row>
    <row r="219" spans="1:12" x14ac:dyDescent="0.25">
      <c r="A219" s="41" t="str">
        <f>Orçamento!A202</f>
        <v xml:space="preserve"> 19.11 </v>
      </c>
      <c r="B219" s="46" t="str">
        <f>Orçamento!D202</f>
        <v>CURVA 90 GRAUS, LONGA, DE PVC RIGIDO ROSCAVEL, DE 1 1/4", PARA ELETRODUTO</v>
      </c>
      <c r="C219" s="41" t="str">
        <f>Orçamento!E202</f>
        <v>UN</v>
      </c>
      <c r="D219" s="42"/>
      <c r="E219" s="43">
        <f>Orçamento!H202</f>
        <v>3.49</v>
      </c>
      <c r="F219" s="43">
        <f>Orçamento!F202</f>
        <v>19</v>
      </c>
      <c r="G219" s="42"/>
      <c r="H219" s="42"/>
      <c r="I219" s="55">
        <f t="shared" si="20"/>
        <v>66.31</v>
      </c>
      <c r="J219" s="55"/>
      <c r="K219" s="55"/>
      <c r="L219" s="44">
        <f t="shared" si="21"/>
        <v>0</v>
      </c>
    </row>
    <row r="220" spans="1:12" x14ac:dyDescent="0.25">
      <c r="A220" s="41" t="str">
        <f>Orçamento!A203</f>
        <v xml:space="preserve"> 19.12 </v>
      </c>
      <c r="B220" s="46" t="str">
        <f>Orçamento!D203</f>
        <v>CURVA 90 GRAUS, LONGA, DE PVC RIGIDO ROSCAVEL, DE 1 1/2", PARA ELETRODUTO</v>
      </c>
      <c r="C220" s="41" t="str">
        <f>Orçamento!E203</f>
        <v>UN</v>
      </c>
      <c r="D220" s="42"/>
      <c r="E220" s="43">
        <f>Orçamento!H203</f>
        <v>4.21</v>
      </c>
      <c r="F220" s="43">
        <f>Orçamento!F203</f>
        <v>27</v>
      </c>
      <c r="G220" s="42"/>
      <c r="H220" s="42"/>
      <c r="I220" s="55">
        <f t="shared" si="20"/>
        <v>113.67</v>
      </c>
      <c r="J220" s="55"/>
      <c r="K220" s="55"/>
      <c r="L220" s="44">
        <f t="shared" si="21"/>
        <v>0</v>
      </c>
    </row>
    <row r="221" spans="1:12" ht="25.5" x14ac:dyDescent="0.25">
      <c r="A221" s="41" t="str">
        <f>Orçamento!A204</f>
        <v xml:space="preserve"> 19.13 </v>
      </c>
      <c r="B221" s="46" t="str">
        <f>Orçamento!D204</f>
        <v>INTERRUPTOR PARALELO (1 MÓDULO), 10A/250V, INCLUINDO SUPORTE E PLACA - FORNECIMENTO E INSTALAÇÃO. AF_12/2015</v>
      </c>
      <c r="C221" s="41" t="str">
        <f>Orçamento!E204</f>
        <v>UN</v>
      </c>
      <c r="D221" s="42"/>
      <c r="E221" s="43">
        <f>Orçamento!H204</f>
        <v>28.72</v>
      </c>
      <c r="F221" s="43">
        <f>Orçamento!F204</f>
        <v>2</v>
      </c>
      <c r="G221" s="42"/>
      <c r="H221" s="42"/>
      <c r="I221" s="55">
        <f t="shared" si="20"/>
        <v>57.44</v>
      </c>
      <c r="J221" s="55"/>
      <c r="K221" s="55"/>
      <c r="L221" s="44">
        <f t="shared" si="21"/>
        <v>0</v>
      </c>
    </row>
    <row r="222" spans="1:12" ht="25.5" x14ac:dyDescent="0.25">
      <c r="A222" s="41" t="str">
        <f>Orçamento!A205</f>
        <v xml:space="preserve"> 19.14 </v>
      </c>
      <c r="B222" s="46" t="str">
        <f>Orçamento!D205</f>
        <v>INTERRUPTOR SIMPLES (1 MÓDULO), 10A/250V, INCLUINDO SUPORTE E PLACA - FORNECIMENTO E INSTALAÇÃO. AF_12/2015</v>
      </c>
      <c r="C222" s="41" t="str">
        <f>Orçamento!E205</f>
        <v>UN</v>
      </c>
      <c r="D222" s="42"/>
      <c r="E222" s="43">
        <f>Orçamento!H205</f>
        <v>23.21</v>
      </c>
      <c r="F222" s="43">
        <f>Orçamento!F205</f>
        <v>33</v>
      </c>
      <c r="G222" s="42"/>
      <c r="H222" s="42"/>
      <c r="I222" s="55">
        <f t="shared" si="20"/>
        <v>765.93000000000006</v>
      </c>
      <c r="J222" s="55"/>
      <c r="K222" s="55"/>
      <c r="L222" s="44">
        <f t="shared" si="21"/>
        <v>0</v>
      </c>
    </row>
    <row r="223" spans="1:12" ht="25.5" x14ac:dyDescent="0.25">
      <c r="A223" s="41" t="str">
        <f>Orçamento!A206</f>
        <v xml:space="preserve"> 19.15 </v>
      </c>
      <c r="B223" s="46" t="str">
        <f>Orçamento!D206</f>
        <v>INTERRUPTOR SIMPLES (2 MÓDULOS), 10A/250V, INCLUINDO SUPORTE E PLACA - FORNECIMENTO E INSTALAÇÃO. AF_12/2015</v>
      </c>
      <c r="C223" s="41" t="str">
        <f>Orçamento!E206</f>
        <v>UN</v>
      </c>
      <c r="D223" s="42"/>
      <c r="E223" s="43">
        <f>Orçamento!H206</f>
        <v>36.72</v>
      </c>
      <c r="F223" s="43">
        <f>Orçamento!F206</f>
        <v>10</v>
      </c>
      <c r="G223" s="42"/>
      <c r="H223" s="42"/>
      <c r="I223" s="55">
        <f t="shared" si="20"/>
        <v>367.2</v>
      </c>
      <c r="J223" s="55"/>
      <c r="K223" s="55"/>
      <c r="L223" s="44">
        <f t="shared" si="21"/>
        <v>0</v>
      </c>
    </row>
    <row r="224" spans="1:12" ht="25.5" x14ac:dyDescent="0.25">
      <c r="A224" s="41" t="str">
        <f>Orçamento!A207</f>
        <v xml:space="preserve"> 19.16 </v>
      </c>
      <c r="B224" s="46" t="str">
        <f>Orçamento!D207</f>
        <v>INTERRUPTOR SIMPLES (1 MÓDULO) COM 1 TOMADA DE EMBUTIR 2P+T 10 A,  INCLUINDO SUPORTE E PLACA - FORNECIMENTO E INSTALAÇÃO. AF_12/2015</v>
      </c>
      <c r="C224" s="41" t="str">
        <f>Orçamento!E207</f>
        <v>UN</v>
      </c>
      <c r="D224" s="42"/>
      <c r="E224" s="43">
        <f>Orçamento!H207</f>
        <v>41.17</v>
      </c>
      <c r="F224" s="43">
        <f>Orçamento!F207</f>
        <v>11</v>
      </c>
      <c r="G224" s="42"/>
      <c r="H224" s="42"/>
      <c r="I224" s="55">
        <f t="shared" si="20"/>
        <v>452.87</v>
      </c>
      <c r="J224" s="55"/>
      <c r="K224" s="55"/>
      <c r="L224" s="44">
        <f t="shared" si="21"/>
        <v>0</v>
      </c>
    </row>
    <row r="225" spans="1:12" ht="25.5" x14ac:dyDescent="0.25">
      <c r="A225" s="41" t="str">
        <f>Orçamento!A208</f>
        <v xml:space="preserve"> 19.17 </v>
      </c>
      <c r="B225" s="46" t="str">
        <f>Orçamento!D208</f>
        <v>CAIXA RETANGULAR 4" X 2" MÉDIA (1,30 M DO PISO), PVC, INSTALADA EM PAREDE - FORNECIMENTO E INSTALAÇÃO. AF_12/2015</v>
      </c>
      <c r="C225" s="41" t="str">
        <f>Orçamento!E208</f>
        <v>UN</v>
      </c>
      <c r="D225" s="42"/>
      <c r="E225" s="43">
        <f>Orçamento!H208</f>
        <v>13.08</v>
      </c>
      <c r="F225" s="43">
        <f>Orçamento!F208</f>
        <v>66</v>
      </c>
      <c r="G225" s="42"/>
      <c r="H225" s="42"/>
      <c r="I225" s="55">
        <f t="shared" si="20"/>
        <v>863.28</v>
      </c>
      <c r="J225" s="55"/>
      <c r="K225" s="55"/>
      <c r="L225" s="44">
        <f t="shared" si="21"/>
        <v>0</v>
      </c>
    </row>
    <row r="226" spans="1:12" ht="25.5" x14ac:dyDescent="0.25">
      <c r="A226" s="41" t="str">
        <f>Orçamento!A209</f>
        <v xml:space="preserve"> 19.18 </v>
      </c>
      <c r="B226" s="46" t="str">
        <f>Orçamento!D209</f>
        <v>LUMINÁRIA TIPO SPOT, DE SOBREPOR, COM 1 LÂMPADA FLUORESCENTE DE 15 W, SEM REATOR - FORNECIMENTO E INSTALAÇÃO. AF_02/2020</v>
      </c>
      <c r="C226" s="41" t="str">
        <f>Orçamento!E209</f>
        <v>UN</v>
      </c>
      <c r="D226" s="42"/>
      <c r="E226" s="43">
        <f>Orçamento!H209</f>
        <v>167.43</v>
      </c>
      <c r="F226" s="43">
        <f>Orçamento!F209</f>
        <v>161</v>
      </c>
      <c r="G226" s="42"/>
      <c r="H226" s="42"/>
      <c r="I226" s="55">
        <f t="shared" si="20"/>
        <v>26956.23</v>
      </c>
      <c r="J226" s="55"/>
      <c r="K226" s="55"/>
      <c r="L226" s="44">
        <f t="shared" si="21"/>
        <v>0</v>
      </c>
    </row>
    <row r="227" spans="1:12" ht="25.5" x14ac:dyDescent="0.25">
      <c r="A227" s="41" t="str">
        <f>Orçamento!A210</f>
        <v xml:space="preserve"> 19.19 </v>
      </c>
      <c r="B227" s="46" t="str">
        <f>Orçamento!D210</f>
        <v>LUMINÁRIA TIPO PLAFON CIRCULAR, DE SOBREPOR, COM LED DE 12/13 W - FORNECIMENTO E INSTALAÇÃO. AF_03/2022</v>
      </c>
      <c r="C227" s="41" t="str">
        <f>Orçamento!E210</f>
        <v>UN</v>
      </c>
      <c r="D227" s="42"/>
      <c r="E227" s="43">
        <f>Orçamento!H210</f>
        <v>36.130000000000003</v>
      </c>
      <c r="F227" s="43">
        <f>Orçamento!F210</f>
        <v>39</v>
      </c>
      <c r="G227" s="42"/>
      <c r="H227" s="42"/>
      <c r="I227" s="55">
        <f t="shared" si="20"/>
        <v>1409.0700000000002</v>
      </c>
      <c r="J227" s="55"/>
      <c r="K227" s="55"/>
      <c r="L227" s="44">
        <f t="shared" si="21"/>
        <v>0</v>
      </c>
    </row>
    <row r="228" spans="1:12" ht="25.5" x14ac:dyDescent="0.25">
      <c r="A228" s="41" t="str">
        <f>Orçamento!A211</f>
        <v xml:space="preserve"> 19.20 </v>
      </c>
      <c r="B228" s="46" t="str">
        <f>Orçamento!D211</f>
        <v>QUADRO DE DISTRIBUIÇÃO DE ENERGIA EM PVC, DE EMBUTIR, SEM BARRAMENTO, PARA 6 DISJUNTORES - FORNECIMENTO E INSTALAÇÃO. AF_10/2020</v>
      </c>
      <c r="C228" s="41" t="str">
        <f>Orçamento!E211</f>
        <v>UN</v>
      </c>
      <c r="D228" s="42"/>
      <c r="E228" s="43">
        <f>Orçamento!H211</f>
        <v>86.77</v>
      </c>
      <c r="F228" s="43">
        <f>Orçamento!F211</f>
        <v>4</v>
      </c>
      <c r="G228" s="42"/>
      <c r="H228" s="42"/>
      <c r="I228" s="55">
        <f t="shared" si="20"/>
        <v>347.08</v>
      </c>
      <c r="J228" s="55"/>
      <c r="K228" s="55"/>
      <c r="L228" s="44">
        <f t="shared" si="21"/>
        <v>0</v>
      </c>
    </row>
    <row r="229" spans="1:12" ht="38.25" x14ac:dyDescent="0.25">
      <c r="A229" s="41" t="str">
        <f>Orçamento!A212</f>
        <v xml:space="preserve"> 19.21 </v>
      </c>
      <c r="B229" s="46" t="str">
        <f>Orçamento!D212</f>
        <v>QUADRO DE DISTRIBUIÇÃO DE ENERGIA EM CHAPA DE AÇO GALVANIZADO, DE EMBUTIR, COM BARRAMENTO TRIFÁSICO, PARA 12 DISJUNTORES DIN 100A - FORNECIMENTO E INSTALAÇÃO. AF_10/2020</v>
      </c>
      <c r="C229" s="41" t="str">
        <f>Orçamento!E212</f>
        <v>UN</v>
      </c>
      <c r="D229" s="42"/>
      <c r="E229" s="43">
        <f>Orçamento!H212</f>
        <v>418.05</v>
      </c>
      <c r="F229" s="43">
        <f>Orçamento!F212</f>
        <v>6</v>
      </c>
      <c r="G229" s="42"/>
      <c r="H229" s="42"/>
      <c r="I229" s="55">
        <f t="shared" si="20"/>
        <v>2508.3000000000002</v>
      </c>
      <c r="J229" s="55"/>
      <c r="K229" s="55"/>
      <c r="L229" s="44">
        <f t="shared" si="21"/>
        <v>0</v>
      </c>
    </row>
    <row r="230" spans="1:12" ht="38.25" x14ac:dyDescent="0.25">
      <c r="A230" s="41" t="str">
        <f>Orçamento!A213</f>
        <v xml:space="preserve"> 19.22 </v>
      </c>
      <c r="B230" s="46" t="str">
        <f>Orçamento!D213</f>
        <v>QUADRO DE DISTRIBUIÇÃO DE ENERGIA EM CHAPA DE AÇO GALVANIZADO, DE EMBUTIR, COM BARRAMENTO TRIFÁSICO, PARA 18 DISJUNTORES DIN 100A - FORNECIMENTO E INSTALAÇÃO. AF_10/2020</v>
      </c>
      <c r="C230" s="41" t="str">
        <f>Orçamento!E213</f>
        <v>UN</v>
      </c>
      <c r="D230" s="42"/>
      <c r="E230" s="43">
        <f>Orçamento!H213</f>
        <v>577.74</v>
      </c>
      <c r="F230" s="43">
        <f>Orçamento!F213</f>
        <v>2</v>
      </c>
      <c r="G230" s="42"/>
      <c r="H230" s="42"/>
      <c r="I230" s="55">
        <f t="shared" si="20"/>
        <v>1155.48</v>
      </c>
      <c r="J230" s="55"/>
      <c r="K230" s="55"/>
      <c r="L230" s="44">
        <f t="shared" si="21"/>
        <v>0</v>
      </c>
    </row>
    <row r="231" spans="1:12" ht="38.25" x14ac:dyDescent="0.25">
      <c r="A231" s="41" t="str">
        <f>Orçamento!A214</f>
        <v xml:space="preserve"> 19.23 </v>
      </c>
      <c r="B231" s="46" t="str">
        <f>Orçamento!D214</f>
        <v>QUADRO DE DISTRIBUIÇÃO DE ENERGIA EM CHAPA DE AÇO GALVANIZADO, DE EMBUTIR, COM BARRAMENTO TRIFÁSICO, PARA 40 DISJUNTORES DIN 100A - FORNECIMENTO E INSTALAÇÃO. AF_10/2020</v>
      </c>
      <c r="C231" s="41" t="str">
        <f>Orçamento!E214</f>
        <v>UN</v>
      </c>
      <c r="D231" s="42"/>
      <c r="E231" s="43">
        <f>Orçamento!H214</f>
        <v>1005.24</v>
      </c>
      <c r="F231" s="43">
        <f>Orçamento!F214</f>
        <v>5</v>
      </c>
      <c r="G231" s="42"/>
      <c r="H231" s="42"/>
      <c r="I231" s="55">
        <f t="shared" si="20"/>
        <v>5026.2</v>
      </c>
      <c r="J231" s="55"/>
      <c r="K231" s="55"/>
      <c r="L231" s="44">
        <f t="shared" si="21"/>
        <v>0</v>
      </c>
    </row>
    <row r="232" spans="1:12" ht="25.5" x14ac:dyDescent="0.25">
      <c r="A232" s="41" t="str">
        <f>Orçamento!A215</f>
        <v xml:space="preserve"> 19.24 </v>
      </c>
      <c r="B232" s="46" t="str">
        <f>Orçamento!D215</f>
        <v>SENSOR DE PRESENÇA COM FOTOCÉLULA, FIXAÇÃO EM PAREDE - FORNECIMENTO E INSTALAÇÃO. AF_02/2020</v>
      </c>
      <c r="C232" s="41" t="str">
        <f>Orçamento!E215</f>
        <v>UN</v>
      </c>
      <c r="D232" s="42"/>
      <c r="E232" s="43">
        <f>Orçamento!H215</f>
        <v>116.71</v>
      </c>
      <c r="F232" s="43">
        <f>Orçamento!F215</f>
        <v>8</v>
      </c>
      <c r="G232" s="42"/>
      <c r="H232" s="42"/>
      <c r="I232" s="55">
        <f t="shared" si="20"/>
        <v>933.68</v>
      </c>
      <c r="J232" s="55"/>
      <c r="K232" s="55"/>
      <c r="L232" s="44">
        <f t="shared" si="21"/>
        <v>0</v>
      </c>
    </row>
    <row r="233" spans="1:12" ht="25.5" x14ac:dyDescent="0.25">
      <c r="A233" s="41" t="str">
        <f>Orçamento!A216</f>
        <v xml:space="preserve"> 19.25 </v>
      </c>
      <c r="B233" s="46" t="str">
        <f>Orçamento!D216</f>
        <v>TOMADA MÉDIA DE EMBUTIR (2 MÓDULOS), 2P+T 10 A, INCLUINDO SUPORTE E PLACA - FORNECIMENTO E INSTALAÇÃO. AF_12/2015</v>
      </c>
      <c r="C233" s="41" t="str">
        <f>Orçamento!E216</f>
        <v>UN</v>
      </c>
      <c r="D233" s="42"/>
      <c r="E233" s="43">
        <f>Orçamento!H216</f>
        <v>45.66</v>
      </c>
      <c r="F233" s="43">
        <f>Orçamento!F216</f>
        <v>35</v>
      </c>
      <c r="G233" s="42"/>
      <c r="H233" s="42"/>
      <c r="I233" s="55">
        <f t="shared" si="20"/>
        <v>1598.1</v>
      </c>
      <c r="J233" s="55"/>
      <c r="K233" s="55"/>
      <c r="L233" s="44">
        <f t="shared" si="21"/>
        <v>0</v>
      </c>
    </row>
    <row r="234" spans="1:12" ht="25.5" x14ac:dyDescent="0.25">
      <c r="A234" s="41" t="str">
        <f>Orçamento!A217</f>
        <v xml:space="preserve"> 19.26 </v>
      </c>
      <c r="B234" s="46" t="str">
        <f>Orçamento!D217</f>
        <v>TOMADA MÉDIA DE EMBUTIR (1 MÓDULO), 2P+T 20 A, INCLUINDO SUPORTE E PLACA - FORNECIMENTO E INSTALAÇÃO. AF_12/2015</v>
      </c>
      <c r="C234" s="41" t="str">
        <f>Orçamento!E217</f>
        <v>UN</v>
      </c>
      <c r="D234" s="42"/>
      <c r="E234" s="43">
        <f>Orçamento!H217</f>
        <v>29.7</v>
      </c>
      <c r="F234" s="43">
        <f>Orçamento!F217</f>
        <v>26</v>
      </c>
      <c r="G234" s="42"/>
      <c r="H234" s="42"/>
      <c r="I234" s="55">
        <f t="shared" si="20"/>
        <v>772.19999999999993</v>
      </c>
      <c r="J234" s="55"/>
      <c r="K234" s="55"/>
      <c r="L234" s="44">
        <f t="shared" si="21"/>
        <v>0</v>
      </c>
    </row>
    <row r="235" spans="1:12" ht="25.5" x14ac:dyDescent="0.25">
      <c r="A235" s="41" t="str">
        <f>Orçamento!A218</f>
        <v xml:space="preserve"> 19.27 </v>
      </c>
      <c r="B235" s="46" t="str">
        <f>Orçamento!D218</f>
        <v>TOMADA MÉDIA DE EMBUTIR (2 MÓDULOS), 2P+T 10 A, INCLUINDO SUPORTE E PLACA - FORNECIMENTO E INSTALAÇÃO. AF_12/2015</v>
      </c>
      <c r="C235" s="41" t="str">
        <f>Orçamento!E218</f>
        <v>UN</v>
      </c>
      <c r="D235" s="42"/>
      <c r="E235" s="43">
        <f>Orçamento!H218</f>
        <v>45.66</v>
      </c>
      <c r="F235" s="43">
        <f>Orçamento!F218</f>
        <v>142</v>
      </c>
      <c r="G235" s="42"/>
      <c r="H235" s="42"/>
      <c r="I235" s="55">
        <f t="shared" ref="I235:I298" si="22">F235*E235</f>
        <v>6483.7199999999993</v>
      </c>
      <c r="J235" s="55"/>
      <c r="K235" s="55"/>
      <c r="L235" s="44">
        <f t="shared" si="21"/>
        <v>0</v>
      </c>
    </row>
    <row r="236" spans="1:12" ht="25.5" x14ac:dyDescent="0.25">
      <c r="A236" s="41" t="str">
        <f>Orçamento!A219</f>
        <v xml:space="preserve"> 19.28 </v>
      </c>
      <c r="B236" s="46" t="str">
        <f>Orçamento!D219</f>
        <v>TOMADA MÉDIA DE EMBUTIR (3 MÓDULOS), 2P+T 10 A, INCLUINDO SUPORTE E PLACA - FORNECIMENTO E INSTALAÇÃO. AF_12/2015</v>
      </c>
      <c r="C236" s="41" t="str">
        <f>Orçamento!E219</f>
        <v>UN</v>
      </c>
      <c r="D236" s="42"/>
      <c r="E236" s="43">
        <f>Orçamento!H219</f>
        <v>63.64</v>
      </c>
      <c r="F236" s="43">
        <f>Orçamento!F219</f>
        <v>15</v>
      </c>
      <c r="G236" s="42"/>
      <c r="H236" s="42"/>
      <c r="I236" s="55">
        <f t="shared" si="22"/>
        <v>954.6</v>
      </c>
      <c r="J236" s="55"/>
      <c r="K236" s="55"/>
      <c r="L236" s="44">
        <f t="shared" si="21"/>
        <v>0</v>
      </c>
    </row>
    <row r="237" spans="1:12" x14ac:dyDescent="0.25">
      <c r="A237" s="41" t="str">
        <f>Orçamento!A220</f>
        <v xml:space="preserve"> 19.29 </v>
      </c>
      <c r="B237" s="46" t="str">
        <f>Orçamento!D220</f>
        <v>TOMADA DE REDE RJ45 - FORNECIMENTO E INSTALAÇÃO. AF_11/2019</v>
      </c>
      <c r="C237" s="41" t="str">
        <f>Orçamento!E220</f>
        <v>UN</v>
      </c>
      <c r="D237" s="42"/>
      <c r="E237" s="43">
        <f>Orçamento!H220</f>
        <v>42.01</v>
      </c>
      <c r="F237" s="43">
        <f>Orçamento!F220</f>
        <v>2</v>
      </c>
      <c r="G237" s="42"/>
      <c r="H237" s="42"/>
      <c r="I237" s="55">
        <f t="shared" si="22"/>
        <v>84.02</v>
      </c>
      <c r="J237" s="55"/>
      <c r="K237" s="55"/>
      <c r="L237" s="44">
        <f t="shared" si="21"/>
        <v>0</v>
      </c>
    </row>
    <row r="238" spans="1:12" ht="25.5" x14ac:dyDescent="0.25">
      <c r="A238" s="41" t="str">
        <f>Orçamento!A221</f>
        <v xml:space="preserve"> 19.30 </v>
      </c>
      <c r="B238" s="46" t="str">
        <f>Orçamento!D221</f>
        <v>ELETRODUTO RÍGIDO ROSCÁVEL, PVC, DN 20 MM (1/2"), PARA CIRCUITOS TERMINAIS, INSTALADO EM FORRO - FORNECIMENTO E INSTALAÇÃO. AF_12/2015</v>
      </c>
      <c r="C238" s="41" t="str">
        <f>Orçamento!E221</f>
        <v>M</v>
      </c>
      <c r="D238" s="42"/>
      <c r="E238" s="43">
        <f>Orçamento!H221</f>
        <v>10.79</v>
      </c>
      <c r="F238" s="43">
        <f>Orçamento!F221</f>
        <v>603.05999999999995</v>
      </c>
      <c r="G238" s="42"/>
      <c r="H238" s="42"/>
      <c r="I238" s="55">
        <f t="shared" si="22"/>
        <v>6507.0173999999988</v>
      </c>
      <c r="J238" s="55"/>
      <c r="K238" s="55"/>
      <c r="L238" s="44">
        <f t="shared" si="21"/>
        <v>0</v>
      </c>
    </row>
    <row r="239" spans="1:12" ht="25.5" x14ac:dyDescent="0.25">
      <c r="A239" s="41" t="str">
        <f>Orçamento!A222</f>
        <v xml:space="preserve"> 19.31 </v>
      </c>
      <c r="B239" s="46" t="str">
        <f>Orçamento!D222</f>
        <v>ELETRODUTO RÍGIDO ROSCÁVEL, PVC, DN 25 MM (3/4"), PARA CIRCUITOS TERMINAIS, INSTALADO EM FORRO - FORNECIMENTO E INSTALAÇÃO. AF_12/2015</v>
      </c>
      <c r="C239" s="41" t="str">
        <f>Orçamento!E222</f>
        <v>M</v>
      </c>
      <c r="D239" s="42"/>
      <c r="E239" s="43">
        <f>Orçamento!H222</f>
        <v>12.7</v>
      </c>
      <c r="F239" s="43">
        <f>Orçamento!F222</f>
        <v>1121.4000000000001</v>
      </c>
      <c r="G239" s="42"/>
      <c r="H239" s="42"/>
      <c r="I239" s="55">
        <f t="shared" si="22"/>
        <v>14241.78</v>
      </c>
      <c r="J239" s="55"/>
      <c r="K239" s="55"/>
      <c r="L239" s="44">
        <f t="shared" si="21"/>
        <v>0</v>
      </c>
    </row>
    <row r="240" spans="1:12" ht="25.5" x14ac:dyDescent="0.25">
      <c r="A240" s="41" t="str">
        <f>Orçamento!A223</f>
        <v xml:space="preserve"> 19.32 </v>
      </c>
      <c r="B240" s="46" t="str">
        <f>Orçamento!D223</f>
        <v>ELETRODUTO RÍGIDO ROSCÁVEL, PVC, DN 32 MM (1"), PARA CIRCUITOS TERMINAIS, INSTALADO EM PAREDE - FORNECIMENTO E INSTALAÇÃO. AF_12/2015</v>
      </c>
      <c r="C240" s="41" t="str">
        <f>Orçamento!E223</f>
        <v>M</v>
      </c>
      <c r="D240" s="42"/>
      <c r="E240" s="43">
        <f>Orçamento!H223</f>
        <v>17.71</v>
      </c>
      <c r="F240" s="43">
        <f>Orçamento!F223</f>
        <v>115.68</v>
      </c>
      <c r="G240" s="42"/>
      <c r="H240" s="42"/>
      <c r="I240" s="55">
        <f t="shared" si="22"/>
        <v>2048.6928000000003</v>
      </c>
      <c r="J240" s="55"/>
      <c r="K240" s="55"/>
      <c r="L240" s="44">
        <f t="shared" si="21"/>
        <v>0</v>
      </c>
    </row>
    <row r="241" spans="1:12" ht="25.5" x14ac:dyDescent="0.25">
      <c r="A241" s="41" t="str">
        <f>Orçamento!A224</f>
        <v xml:space="preserve"> 19.33 </v>
      </c>
      <c r="B241" s="46" t="str">
        <f>Orçamento!D224</f>
        <v>ELETRODUTO RÍGIDO ROSCÁVEL, PVC, DN 40 MM (1 1/4"), PARA CIRCUITOS TERMINAIS, INSTALADO EM LAJE - FORNECIMENTO E INSTALAÇÃO. AF_12/2015</v>
      </c>
      <c r="C241" s="41" t="str">
        <f>Orçamento!E224</f>
        <v>M</v>
      </c>
      <c r="D241" s="42"/>
      <c r="E241" s="43">
        <f>Orçamento!H224</f>
        <v>19.13</v>
      </c>
      <c r="F241" s="43">
        <f>Orçamento!F224</f>
        <v>93.39</v>
      </c>
      <c r="G241" s="42"/>
      <c r="H241" s="42"/>
      <c r="I241" s="55">
        <f t="shared" si="22"/>
        <v>1786.5507</v>
      </c>
      <c r="J241" s="55"/>
      <c r="K241" s="55"/>
      <c r="L241" s="44">
        <f t="shared" si="21"/>
        <v>0</v>
      </c>
    </row>
    <row r="242" spans="1:12" ht="25.5" x14ac:dyDescent="0.25">
      <c r="A242" s="41" t="str">
        <f>Orçamento!A225</f>
        <v xml:space="preserve"> 19.34 </v>
      </c>
      <c r="B242" s="46" t="str">
        <f>Orçamento!D225</f>
        <v>ELETRODUTO RÍGIDO ROSCÁVEL, PVC, DN 50 MM (1 1/2"), PARA REDE ENTERRADA DE DISTRIBUIÇÃO DE ENERGIA ELÉTRICA - FORNECIMENTO E INSTALAÇÃO. AF_12/2021</v>
      </c>
      <c r="C242" s="41" t="str">
        <f>Orçamento!E225</f>
        <v>M</v>
      </c>
      <c r="D242" s="42"/>
      <c r="E242" s="43">
        <f>Orçamento!H225</f>
        <v>19.579999999999998</v>
      </c>
      <c r="F242" s="43">
        <f>Orçamento!F225</f>
        <v>247.11</v>
      </c>
      <c r="G242" s="42"/>
      <c r="H242" s="42"/>
      <c r="I242" s="55">
        <f t="shared" si="22"/>
        <v>4838.4138000000003</v>
      </c>
      <c r="J242" s="55"/>
      <c r="K242" s="55"/>
      <c r="L242" s="44">
        <f t="shared" si="21"/>
        <v>0</v>
      </c>
    </row>
    <row r="243" spans="1:12" ht="25.5" x14ac:dyDescent="0.25">
      <c r="A243" s="41" t="str">
        <f>Orçamento!A226</f>
        <v xml:space="preserve"> 19.35 </v>
      </c>
      <c r="B243" s="46" t="str">
        <f>Orçamento!D226</f>
        <v>Fornecimento e instalação de eletrocalha perfurada 100 x   50 x 3000 mm (ref. mopa ou similar)</v>
      </c>
      <c r="C243" s="41" t="str">
        <f>Orçamento!E226</f>
        <v>m</v>
      </c>
      <c r="D243" s="42"/>
      <c r="E243" s="43">
        <f>Orçamento!H226</f>
        <v>41.86</v>
      </c>
      <c r="F243" s="43">
        <f>Orçamento!F226</f>
        <v>40</v>
      </c>
      <c r="G243" s="42"/>
      <c r="H243" s="42"/>
      <c r="I243" s="55">
        <f t="shared" si="22"/>
        <v>1674.4</v>
      </c>
      <c r="J243" s="55"/>
      <c r="K243" s="55"/>
      <c r="L243" s="44">
        <f t="shared" si="21"/>
        <v>0</v>
      </c>
    </row>
    <row r="244" spans="1:12" ht="25.5" x14ac:dyDescent="0.25">
      <c r="A244" s="41" t="str">
        <f>Orçamento!A227</f>
        <v xml:space="preserve"> 19.36 </v>
      </c>
      <c r="B244" s="46" t="str">
        <f>Orçamento!D227</f>
        <v>Fornecimento e instalação de eletrocalha metálica  75 x  75 x 3000 mm (ref. vl 3.01 ge 75/50 valemam ou similar)</v>
      </c>
      <c r="C244" s="41" t="str">
        <f>Orçamento!E227</f>
        <v>un</v>
      </c>
      <c r="D244" s="42"/>
      <c r="E244" s="43">
        <f>Orçamento!H227</f>
        <v>32.5</v>
      </c>
      <c r="F244" s="43">
        <f>Orçamento!F227</f>
        <v>35</v>
      </c>
      <c r="G244" s="42"/>
      <c r="H244" s="42"/>
      <c r="I244" s="55">
        <f t="shared" si="22"/>
        <v>1137.5</v>
      </c>
      <c r="J244" s="55"/>
      <c r="K244" s="55"/>
      <c r="L244" s="44">
        <f t="shared" si="21"/>
        <v>0</v>
      </c>
    </row>
    <row r="245" spans="1:12" ht="25.5" x14ac:dyDescent="0.25">
      <c r="A245" s="41" t="str">
        <f>Orçamento!A228</f>
        <v xml:space="preserve"> 19.37 </v>
      </c>
      <c r="B245" s="46" t="str">
        <f>Orçamento!D228</f>
        <v>DISJUNTOR MONOPOLAR TIPO DIN, CORRENTE NOMINAL DE 10A - FORNECIMENTO E INSTALAÇÃO. AF_10/2020</v>
      </c>
      <c r="C245" s="41" t="str">
        <f>Orçamento!E228</f>
        <v>UN</v>
      </c>
      <c r="D245" s="42"/>
      <c r="E245" s="43">
        <f>Orçamento!H228</f>
        <v>12.13</v>
      </c>
      <c r="F245" s="43">
        <f>Orçamento!F228</f>
        <v>35</v>
      </c>
      <c r="G245" s="42"/>
      <c r="H245" s="42"/>
      <c r="I245" s="55">
        <f t="shared" si="22"/>
        <v>424.55</v>
      </c>
      <c r="J245" s="55"/>
      <c r="K245" s="55"/>
      <c r="L245" s="44">
        <f t="shared" si="21"/>
        <v>0</v>
      </c>
    </row>
    <row r="246" spans="1:12" ht="25.5" x14ac:dyDescent="0.25">
      <c r="A246" s="41" t="str">
        <f>Orçamento!A229</f>
        <v xml:space="preserve"> 19.38 </v>
      </c>
      <c r="B246" s="46" t="str">
        <f>Orçamento!D229</f>
        <v>DISJUNTOR MONOPOLAR TIPO DIN, CORRENTE NOMINAL DE 16A - FORNECIMENTO E INSTALAÇÃO. AF_10/2020</v>
      </c>
      <c r="C246" s="41" t="str">
        <f>Orçamento!E229</f>
        <v>UN</v>
      </c>
      <c r="D246" s="42"/>
      <c r="E246" s="43">
        <f>Orçamento!H229</f>
        <v>12.67</v>
      </c>
      <c r="F246" s="43">
        <f>Orçamento!F229</f>
        <v>72</v>
      </c>
      <c r="G246" s="42"/>
      <c r="H246" s="42"/>
      <c r="I246" s="55">
        <f t="shared" si="22"/>
        <v>912.24</v>
      </c>
      <c r="J246" s="55"/>
      <c r="K246" s="55"/>
      <c r="L246" s="44">
        <f t="shared" si="21"/>
        <v>0</v>
      </c>
    </row>
    <row r="247" spans="1:12" ht="25.5" x14ac:dyDescent="0.25">
      <c r="A247" s="41" t="str">
        <f>Orçamento!A230</f>
        <v xml:space="preserve"> 19.39 </v>
      </c>
      <c r="B247" s="46" t="str">
        <f>Orçamento!D230</f>
        <v>DISJUNTOR MONOPOLAR TIPO DIN, CORRENTE NOMINAL DE 20A - FORNECIMENTO E INSTALAÇÃO. AF_10/2020</v>
      </c>
      <c r="C247" s="41" t="str">
        <f>Orçamento!E230</f>
        <v>UN</v>
      </c>
      <c r="D247" s="42"/>
      <c r="E247" s="43">
        <f>Orçamento!H230</f>
        <v>13.72</v>
      </c>
      <c r="F247" s="43">
        <f>Orçamento!F230</f>
        <v>59</v>
      </c>
      <c r="G247" s="42"/>
      <c r="H247" s="42"/>
      <c r="I247" s="55">
        <f t="shared" si="22"/>
        <v>809.48</v>
      </c>
      <c r="J247" s="55"/>
      <c r="K247" s="55"/>
      <c r="L247" s="44">
        <f t="shared" si="21"/>
        <v>0</v>
      </c>
    </row>
    <row r="248" spans="1:12" ht="25.5" x14ac:dyDescent="0.25">
      <c r="A248" s="41" t="str">
        <f>Orçamento!A231</f>
        <v xml:space="preserve"> 19.40 </v>
      </c>
      <c r="B248" s="46" t="str">
        <f>Orçamento!D231</f>
        <v>DISJUNTOR MONOPOLAR TIPO DIN, CORRENTE NOMINAL DE 32A - FORNECIMENTO E INSTALAÇÃO. AF_10/2020</v>
      </c>
      <c r="C248" s="41" t="str">
        <f>Orçamento!E231</f>
        <v>UN</v>
      </c>
      <c r="D248" s="42"/>
      <c r="E248" s="43">
        <f>Orçamento!H231</f>
        <v>15.05</v>
      </c>
      <c r="F248" s="43">
        <f>Orçamento!F231</f>
        <v>3</v>
      </c>
      <c r="G248" s="42"/>
      <c r="H248" s="42"/>
      <c r="I248" s="55">
        <f t="shared" si="22"/>
        <v>45.150000000000006</v>
      </c>
      <c r="J248" s="55"/>
      <c r="K248" s="55"/>
      <c r="L248" s="44">
        <f t="shared" si="21"/>
        <v>0</v>
      </c>
    </row>
    <row r="249" spans="1:12" ht="25.5" x14ac:dyDescent="0.25">
      <c r="A249" s="41" t="str">
        <f>Orçamento!A232</f>
        <v xml:space="preserve"> 19.41 </v>
      </c>
      <c r="B249" s="46" t="str">
        <f>Orçamento!D232</f>
        <v>DISJUNTOR TRIPOLAR TIPO DIN, CORRENTE NOMINAL DE 16A - FORNECIMENTO E INSTALAÇÃO. AF_10/2020</v>
      </c>
      <c r="C249" s="41" t="str">
        <f>Orçamento!E232</f>
        <v>UN</v>
      </c>
      <c r="D249" s="42"/>
      <c r="E249" s="43">
        <f>Orçamento!H232</f>
        <v>77.180000000000007</v>
      </c>
      <c r="F249" s="43">
        <f>Orçamento!F232</f>
        <v>2</v>
      </c>
      <c r="G249" s="42"/>
      <c r="H249" s="42"/>
      <c r="I249" s="55">
        <f t="shared" si="22"/>
        <v>154.36000000000001</v>
      </c>
      <c r="J249" s="55"/>
      <c r="K249" s="55"/>
      <c r="L249" s="44">
        <f t="shared" si="21"/>
        <v>0</v>
      </c>
    </row>
    <row r="250" spans="1:12" ht="25.5" x14ac:dyDescent="0.25">
      <c r="A250" s="41" t="str">
        <f>Orçamento!A233</f>
        <v xml:space="preserve"> 19.42 </v>
      </c>
      <c r="B250" s="46" t="str">
        <f>Orçamento!D233</f>
        <v>DISJUNTOR TRIPOLAR TIPO DIN, CORRENTE NOMINAL DE 20A - FORNECIMENTO E INSTALAÇÃO. AF_10/2020</v>
      </c>
      <c r="C250" s="41" t="str">
        <f>Orçamento!E233</f>
        <v>UN</v>
      </c>
      <c r="D250" s="42"/>
      <c r="E250" s="43">
        <f>Orçamento!H233</f>
        <v>80.37</v>
      </c>
      <c r="F250" s="43">
        <f>Orçamento!F233</f>
        <v>9</v>
      </c>
      <c r="G250" s="42"/>
      <c r="H250" s="42"/>
      <c r="I250" s="55">
        <f t="shared" si="22"/>
        <v>723.33</v>
      </c>
      <c r="J250" s="55"/>
      <c r="K250" s="55"/>
      <c r="L250" s="44">
        <f t="shared" si="21"/>
        <v>0</v>
      </c>
    </row>
    <row r="251" spans="1:12" ht="25.5" x14ac:dyDescent="0.25">
      <c r="A251" s="41" t="str">
        <f>Orçamento!A234</f>
        <v xml:space="preserve"> 19.43 </v>
      </c>
      <c r="B251" s="46" t="str">
        <f>Orçamento!D234</f>
        <v>DISJUNTOR TRIPOLAR TIPO DIN, CORRENTE NOMINAL DE 40A - FORNECIMENTO E INSTALAÇÃO. AF_10/2020</v>
      </c>
      <c r="C251" s="41" t="str">
        <f>Orçamento!E234</f>
        <v>UN</v>
      </c>
      <c r="D251" s="42"/>
      <c r="E251" s="43">
        <f>Orçamento!H234</f>
        <v>90.39</v>
      </c>
      <c r="F251" s="43">
        <f>Orçamento!F234</f>
        <v>9</v>
      </c>
      <c r="G251" s="42"/>
      <c r="H251" s="42"/>
      <c r="I251" s="55">
        <f t="shared" si="22"/>
        <v>813.51</v>
      </c>
      <c r="J251" s="55"/>
      <c r="K251" s="55"/>
      <c r="L251" s="44">
        <f t="shared" si="21"/>
        <v>0</v>
      </c>
    </row>
    <row r="252" spans="1:12" ht="25.5" x14ac:dyDescent="0.25">
      <c r="A252" s="41" t="str">
        <f>Orçamento!A235</f>
        <v xml:space="preserve"> 19.44 </v>
      </c>
      <c r="B252" s="46" t="str">
        <f>Orçamento!D235</f>
        <v>DISJUNTOR TRIPOLAR TIPO NEMA, CORRENTE NOMINAL DE 60 ATÉ 100A - FORNECIMENTO E INSTALAÇÃO. AF_10/2020</v>
      </c>
      <c r="C252" s="41" t="str">
        <f>Orçamento!E235</f>
        <v>UN</v>
      </c>
      <c r="D252" s="42"/>
      <c r="E252" s="43">
        <f>Orçamento!H235</f>
        <v>160.55000000000001</v>
      </c>
      <c r="F252" s="43">
        <f>Orçamento!F235</f>
        <v>11</v>
      </c>
      <c r="G252" s="42"/>
      <c r="H252" s="42"/>
      <c r="I252" s="55">
        <f t="shared" si="22"/>
        <v>1766.0500000000002</v>
      </c>
      <c r="J252" s="55"/>
      <c r="K252" s="55"/>
      <c r="L252" s="44">
        <f t="shared" si="21"/>
        <v>0</v>
      </c>
    </row>
    <row r="253" spans="1:12" ht="25.5" x14ac:dyDescent="0.25">
      <c r="A253" s="41" t="str">
        <f>Orçamento!A236</f>
        <v xml:space="preserve"> 19.45 </v>
      </c>
      <c r="B253" s="46" t="str">
        <f>Orçamento!D236</f>
        <v>POSTE DE AÇO CONICO CONTÍNUO CURVO DUPLO, ENGASTADO, H=9M, INCLUSIVE LUMINÁRIAS, SEM LÂMPADAS - FORNECIMENTO E INSTALACAO. AF_11/2019</v>
      </c>
      <c r="C253" s="41" t="str">
        <f>Orçamento!E236</f>
        <v>UN</v>
      </c>
      <c r="D253" s="42"/>
      <c r="E253" s="43">
        <f>Orçamento!H236</f>
        <v>3449.23</v>
      </c>
      <c r="F253" s="43">
        <f>Orçamento!F236</f>
        <v>13</v>
      </c>
      <c r="G253" s="42"/>
      <c r="H253" s="42"/>
      <c r="I253" s="55">
        <f t="shared" si="22"/>
        <v>44839.99</v>
      </c>
      <c r="J253" s="55"/>
      <c r="K253" s="55"/>
      <c r="L253" s="44">
        <f t="shared" si="21"/>
        <v>0</v>
      </c>
    </row>
    <row r="254" spans="1:12" ht="25.5" x14ac:dyDescent="0.25">
      <c r="A254" s="41" t="str">
        <f>Orçamento!A237</f>
        <v xml:space="preserve"> 19.46 </v>
      </c>
      <c r="B254" s="46" t="str">
        <f>Orçamento!D237</f>
        <v>LUMINÁRIA DE LED PARA ILUMINAÇÃO PÚBLICA, DE 98 W ATÉ 137 W - FORNECIMENTO E INSTALAÇÃO. AF_08/2020</v>
      </c>
      <c r="C254" s="41" t="str">
        <f>Orçamento!E237</f>
        <v>UN</v>
      </c>
      <c r="D254" s="42"/>
      <c r="E254" s="43">
        <f>Orçamento!H237</f>
        <v>636.86</v>
      </c>
      <c r="F254" s="43">
        <f>Orçamento!F237</f>
        <v>26</v>
      </c>
      <c r="G254" s="42"/>
      <c r="H254" s="42"/>
      <c r="I254" s="55">
        <f t="shared" si="22"/>
        <v>16558.36</v>
      </c>
      <c r="J254" s="55"/>
      <c r="K254" s="55"/>
      <c r="L254" s="44">
        <f t="shared" si="21"/>
        <v>0</v>
      </c>
    </row>
    <row r="255" spans="1:12" ht="25.5" x14ac:dyDescent="0.25">
      <c r="A255" s="41" t="str">
        <f>Orçamento!A238</f>
        <v xml:space="preserve"> 19.47 </v>
      </c>
      <c r="B255" s="46" t="str">
        <f>Orçamento!D238</f>
        <v>GRUPO GERADOR DIESEL, COM CARENAGEM, POTENCIA STANDART ENTRE 140 E 150 KVA, VELOCIDADE DE 1800 RPM, FREQUENCIA DE 60 HZ</v>
      </c>
      <c r="C255" s="41" t="str">
        <f>Orçamento!E238</f>
        <v>UN</v>
      </c>
      <c r="D255" s="42"/>
      <c r="E255" s="43">
        <f>Orçamento!H238</f>
        <v>189016.09</v>
      </c>
      <c r="F255" s="43">
        <f>Orçamento!F238</f>
        <v>1</v>
      </c>
      <c r="G255" s="42"/>
      <c r="H255" s="42"/>
      <c r="I255" s="55">
        <f t="shared" si="22"/>
        <v>189016.09</v>
      </c>
      <c r="J255" s="55"/>
      <c r="K255" s="55"/>
      <c r="L255" s="44">
        <f t="shared" si="21"/>
        <v>0</v>
      </c>
    </row>
    <row r="256" spans="1:12" ht="25.5" x14ac:dyDescent="0.25">
      <c r="A256" s="41" t="str">
        <f>Orçamento!A239</f>
        <v xml:space="preserve"> 19.48 </v>
      </c>
      <c r="B256" s="46" t="str">
        <f>Orçamento!D239</f>
        <v>CAIXA ENTERRADA ELÉTRICA RETANGULAR, EM CONCRETO PRÉ-MOLDADO, FUNDO COM BRITA, DIMENSÕES INTERNAS: 0,3X0,3X0,3 M. AF_12/2020</v>
      </c>
      <c r="C256" s="41" t="str">
        <f>Orçamento!E239</f>
        <v>UN</v>
      </c>
      <c r="D256" s="42"/>
      <c r="E256" s="43">
        <f>Orçamento!H239</f>
        <v>135.71</v>
      </c>
      <c r="F256" s="43">
        <f>Orçamento!F239</f>
        <v>13</v>
      </c>
      <c r="G256" s="42"/>
      <c r="H256" s="42"/>
      <c r="I256" s="55">
        <f t="shared" si="22"/>
        <v>1764.23</v>
      </c>
      <c r="J256" s="55"/>
      <c r="K256" s="55"/>
      <c r="L256" s="44">
        <f t="shared" si="21"/>
        <v>0</v>
      </c>
    </row>
    <row r="257" spans="1:12" ht="25.5" x14ac:dyDescent="0.25">
      <c r="A257" s="41" t="str">
        <f>Orçamento!A240</f>
        <v xml:space="preserve"> 19.49 </v>
      </c>
      <c r="B257" s="46" t="str">
        <f>Orçamento!D240</f>
        <v>RELÉ FOTOELÉTRICO PARA COMANDO DE ILUMINAÇÃO EXTERNA 1000 W - FORNECIMENTO E INSTALAÇÃO. AF_08/2020</v>
      </c>
      <c r="C257" s="41" t="str">
        <f>Orçamento!E240</f>
        <v>UN</v>
      </c>
      <c r="D257" s="42"/>
      <c r="E257" s="43">
        <f>Orçamento!H240</f>
        <v>45.37</v>
      </c>
      <c r="F257" s="43">
        <f>Orçamento!F240</f>
        <v>13</v>
      </c>
      <c r="G257" s="42"/>
      <c r="H257" s="42"/>
      <c r="I257" s="55">
        <f t="shared" si="22"/>
        <v>589.80999999999995</v>
      </c>
      <c r="J257" s="55"/>
      <c r="K257" s="55"/>
      <c r="L257" s="44">
        <f t="shared" si="21"/>
        <v>0</v>
      </c>
    </row>
    <row r="258" spans="1:12" ht="25.5" x14ac:dyDescent="0.25">
      <c r="A258" s="41" t="str">
        <f>Orçamento!A241</f>
        <v xml:space="preserve"> 19.50 </v>
      </c>
      <c r="B258" s="46" t="str">
        <f>Orçamento!D241</f>
        <v>ENTRADA DE ENERGIA ELÉTRICA, AÉREA, TRIFÁSICA, COM CAIXA DE EMBUTIR, CABO DE 16 MM2 E DISJUNTOR DIN 50A (NÃO INCLUSO O POSTE DE CONCRETO). AF_07/2020</v>
      </c>
      <c r="C258" s="41" t="str">
        <f>Orçamento!E241</f>
        <v>UN</v>
      </c>
      <c r="D258" s="42"/>
      <c r="E258" s="43">
        <f>Orçamento!H241</f>
        <v>2152.9299999999998</v>
      </c>
      <c r="F258" s="43">
        <f>Orçamento!F241</f>
        <v>1</v>
      </c>
      <c r="G258" s="42"/>
      <c r="H258" s="42"/>
      <c r="I258" s="55">
        <f t="shared" si="22"/>
        <v>2152.9299999999998</v>
      </c>
      <c r="J258" s="55"/>
      <c r="K258" s="55"/>
      <c r="L258" s="44">
        <f t="shared" si="21"/>
        <v>0</v>
      </c>
    </row>
    <row r="259" spans="1:12" x14ac:dyDescent="0.25">
      <c r="A259" s="41" t="str">
        <f>Orçamento!A242</f>
        <v xml:space="preserve"> 19.51 </v>
      </c>
      <c r="B259" s="46" t="str">
        <f>Orçamento!D242</f>
        <v>HASTE DE ATERRAMENTO 5/8  PARA SPDA - FORNECIMENTO E INSTALAÇÃO. AF_12/2017</v>
      </c>
      <c r="C259" s="41" t="str">
        <f>Orçamento!E242</f>
        <v>UN</v>
      </c>
      <c r="D259" s="42"/>
      <c r="E259" s="43">
        <f>Orçamento!H242</f>
        <v>60.71</v>
      </c>
      <c r="F259" s="43">
        <f>Orçamento!F242</f>
        <v>3</v>
      </c>
      <c r="G259" s="42"/>
      <c r="H259" s="42"/>
      <c r="I259" s="55">
        <f t="shared" si="22"/>
        <v>182.13</v>
      </c>
      <c r="J259" s="55"/>
      <c r="K259" s="55"/>
      <c r="L259" s="44">
        <f t="shared" si="21"/>
        <v>0</v>
      </c>
    </row>
    <row r="260" spans="1:12" x14ac:dyDescent="0.25">
      <c r="A260" s="39" t="str">
        <f>Orçamento!A243</f>
        <v xml:space="preserve"> 20 </v>
      </c>
      <c r="B260" s="45" t="str">
        <f>Orçamento!D243</f>
        <v>INSTALAÇÕES DE SPDA</v>
      </c>
      <c r="C260" s="39"/>
      <c r="D260" s="47"/>
      <c r="E260" s="48"/>
      <c r="F260" s="48"/>
      <c r="G260" s="47"/>
      <c r="H260" s="47"/>
      <c r="I260" s="56"/>
      <c r="J260" s="56"/>
      <c r="K260" s="56"/>
      <c r="L260" s="49"/>
    </row>
    <row r="261" spans="1:12" ht="25.5" x14ac:dyDescent="0.25">
      <c r="A261" s="41" t="str">
        <f>Orçamento!A244</f>
        <v xml:space="preserve"> 20.1 </v>
      </c>
      <c r="B261" s="46" t="str">
        <f>Orçamento!D244</f>
        <v>CAIXA ENTERRADA ELÉTRICA RETANGULAR, EM CONCRETO PRÉ-MOLDADO, FUNDO COM BRITA, DIMENSÕES INTERNAS: 0,3X0,3X0,3 M. AF_12/2020</v>
      </c>
      <c r="C261" s="41" t="str">
        <f>Orçamento!E244</f>
        <v>UN</v>
      </c>
      <c r="D261" s="42"/>
      <c r="E261" s="43">
        <f>Orçamento!H244</f>
        <v>135.71</v>
      </c>
      <c r="F261" s="43">
        <f>Orçamento!F244</f>
        <v>3</v>
      </c>
      <c r="G261" s="42"/>
      <c r="H261" s="42"/>
      <c r="I261" s="55">
        <f t="shared" si="22"/>
        <v>407.13</v>
      </c>
      <c r="J261" s="55"/>
      <c r="K261" s="55"/>
      <c r="L261" s="44">
        <f t="shared" si="21"/>
        <v>0</v>
      </c>
    </row>
    <row r="262" spans="1:12" ht="25.5" x14ac:dyDescent="0.25">
      <c r="A262" s="41" t="str">
        <f>Orçamento!A245</f>
        <v xml:space="preserve"> 20.2 </v>
      </c>
      <c r="B262" s="46" t="str">
        <f>Orçamento!D245</f>
        <v>HASTE DE ATERRAMENTO EM ACO COM 3,00 M DE COMPRIMENTO E DN = 5/8", REVESTIDA COM BAIXA CAMADA DE COBRE, COM CONECTOR TIPO GRAMPO</v>
      </c>
      <c r="C262" s="41" t="str">
        <f>Orçamento!E245</f>
        <v>UN</v>
      </c>
      <c r="D262" s="42"/>
      <c r="E262" s="43">
        <f>Orçamento!H245</f>
        <v>51.49</v>
      </c>
      <c r="F262" s="43">
        <f>Orçamento!F245</f>
        <v>14</v>
      </c>
      <c r="G262" s="42"/>
      <c r="H262" s="42"/>
      <c r="I262" s="55">
        <f t="shared" si="22"/>
        <v>720.86</v>
      </c>
      <c r="J262" s="55"/>
      <c r="K262" s="55"/>
      <c r="L262" s="44">
        <f t="shared" si="21"/>
        <v>0</v>
      </c>
    </row>
    <row r="263" spans="1:12" ht="25.5" x14ac:dyDescent="0.25">
      <c r="A263" s="41" t="str">
        <f>Orçamento!A246</f>
        <v xml:space="preserve"> 20.3 </v>
      </c>
      <c r="B263" s="46" t="str">
        <f>Orçamento!D246</f>
        <v>CAIXA DE INSPEÇÃO PARA ATERRAMENTO, CIRCULAR, EM POLIETILENO, DIÂMETRO INTERNO = 0,3 M. AF_12/2020</v>
      </c>
      <c r="C263" s="41" t="str">
        <f>Orçamento!E246</f>
        <v>UN</v>
      </c>
      <c r="D263" s="42"/>
      <c r="E263" s="43">
        <f>Orçamento!H246</f>
        <v>53.39</v>
      </c>
      <c r="F263" s="43">
        <f>Orçamento!F246</f>
        <v>14</v>
      </c>
      <c r="G263" s="42"/>
      <c r="H263" s="42"/>
      <c r="I263" s="55">
        <f t="shared" si="22"/>
        <v>747.46</v>
      </c>
      <c r="J263" s="55"/>
      <c r="K263" s="55"/>
      <c r="L263" s="44">
        <f t="shared" si="21"/>
        <v>0</v>
      </c>
    </row>
    <row r="264" spans="1:12" ht="25.5" x14ac:dyDescent="0.25">
      <c r="A264" s="41" t="str">
        <f>Orçamento!A247</f>
        <v xml:space="preserve"> 20.4 </v>
      </c>
      <c r="B264" s="46" t="str">
        <f>Orçamento!D247</f>
        <v>ABRACADEIRA EM ACO PARA AMARRACAO DE ELETRODUTOS, TIPO D, COM 1" E PARAFUSO DE FIXACAO</v>
      </c>
      <c r="C264" s="41" t="str">
        <f>Orçamento!E247</f>
        <v>UN</v>
      </c>
      <c r="D264" s="42"/>
      <c r="E264" s="43">
        <f>Orçamento!H247</f>
        <v>2.66</v>
      </c>
      <c r="F264" s="43">
        <f>Orçamento!F247</f>
        <v>14</v>
      </c>
      <c r="G264" s="42"/>
      <c r="H264" s="42"/>
      <c r="I264" s="55">
        <f t="shared" si="22"/>
        <v>37.24</v>
      </c>
      <c r="J264" s="55"/>
      <c r="K264" s="55"/>
      <c r="L264" s="44">
        <f t="shared" si="21"/>
        <v>0</v>
      </c>
    </row>
    <row r="265" spans="1:12" ht="25.5" x14ac:dyDescent="0.25">
      <c r="A265" s="41" t="str">
        <f>Orçamento!A248</f>
        <v xml:space="preserve"> 20.5 </v>
      </c>
      <c r="B265" s="46" t="str">
        <f>Orçamento!D248</f>
        <v>Caixa de equipotencialização em aço 200x200x90mm, para embutir com tampa, com 9 terminais, ref:TEL-901 ou similar (SPDA)</v>
      </c>
      <c r="C265" s="41" t="str">
        <f>Orçamento!E248</f>
        <v>un</v>
      </c>
      <c r="D265" s="42"/>
      <c r="E265" s="43">
        <f>Orçamento!H248</f>
        <v>588.87</v>
      </c>
      <c r="F265" s="43">
        <f>Orçamento!F248</f>
        <v>1</v>
      </c>
      <c r="G265" s="42"/>
      <c r="H265" s="42"/>
      <c r="I265" s="55">
        <f t="shared" si="22"/>
        <v>588.87</v>
      </c>
      <c r="J265" s="55"/>
      <c r="K265" s="55"/>
      <c r="L265" s="44">
        <f t="shared" si="21"/>
        <v>0</v>
      </c>
    </row>
    <row r="266" spans="1:12" ht="25.5" x14ac:dyDescent="0.25">
      <c r="A266" s="41" t="str">
        <f>Orçamento!A249</f>
        <v xml:space="preserve"> 20.6 </v>
      </c>
      <c r="B266" s="46" t="str">
        <f>Orçamento!D249</f>
        <v>CONDULETE DE PVC, TIPO B, PARA ELETRODUTO DE PVC SOLDÁVEL DN 32 MM (1''), APARENTE - FORNECIMENTO E INSTALAÇÃO. AF_11/2016</v>
      </c>
      <c r="C266" s="41" t="str">
        <f>Orçamento!E249</f>
        <v>UN</v>
      </c>
      <c r="D266" s="42"/>
      <c r="E266" s="43">
        <f>Orçamento!H249</f>
        <v>21.04</v>
      </c>
      <c r="F266" s="43">
        <f>Orçamento!F249</f>
        <v>14</v>
      </c>
      <c r="G266" s="42"/>
      <c r="H266" s="42"/>
      <c r="I266" s="55">
        <f t="shared" si="22"/>
        <v>294.56</v>
      </c>
      <c r="J266" s="55"/>
      <c r="K266" s="55"/>
      <c r="L266" s="44">
        <f t="shared" si="21"/>
        <v>0</v>
      </c>
    </row>
    <row r="267" spans="1:12" x14ac:dyDescent="0.25">
      <c r="A267" s="41" t="str">
        <f>Orçamento!A250</f>
        <v xml:space="preserve"> 20.7 </v>
      </c>
      <c r="B267" s="46" t="str">
        <f>Orçamento!D250</f>
        <v>Conector em latão tipo minigar para cabos 16 - 50 mm² (SPDA)</v>
      </c>
      <c r="C267" s="41" t="str">
        <f>Orçamento!E250</f>
        <v>un</v>
      </c>
      <c r="D267" s="42"/>
      <c r="E267" s="43">
        <f>Orçamento!H250</f>
        <v>29.51</v>
      </c>
      <c r="F267" s="43">
        <f>Orçamento!F250</f>
        <v>15</v>
      </c>
      <c r="G267" s="42"/>
      <c r="H267" s="42"/>
      <c r="I267" s="55">
        <f t="shared" si="22"/>
        <v>442.65000000000003</v>
      </c>
      <c r="J267" s="55"/>
      <c r="K267" s="55"/>
      <c r="L267" s="44">
        <f t="shared" si="21"/>
        <v>0</v>
      </c>
    </row>
    <row r="268" spans="1:12" ht="25.5" x14ac:dyDescent="0.25">
      <c r="A268" s="41" t="str">
        <f>Orçamento!A251</f>
        <v xml:space="preserve"> 20.8 </v>
      </c>
      <c r="B268" s="46" t="str">
        <f>Orçamento!D251</f>
        <v>CONECTOR METALICO TIPO PARAFUSO FENDIDO (SPLIT BOLT), COM SEPARADOR DE CABOS BIMETALICOS, PARA CABOS ATE 70 MM2</v>
      </c>
      <c r="C268" s="41" t="str">
        <f>Orçamento!E251</f>
        <v>UN</v>
      </c>
      <c r="D268" s="42"/>
      <c r="E268" s="43">
        <f>Orçamento!H251</f>
        <v>19.29</v>
      </c>
      <c r="F268" s="43">
        <f>Orçamento!F251</f>
        <v>96</v>
      </c>
      <c r="G268" s="42"/>
      <c r="H268" s="42"/>
      <c r="I268" s="55">
        <f t="shared" si="22"/>
        <v>1851.84</v>
      </c>
      <c r="J268" s="55"/>
      <c r="K268" s="55"/>
      <c r="L268" s="44">
        <f t="shared" si="21"/>
        <v>0</v>
      </c>
    </row>
    <row r="269" spans="1:12" x14ac:dyDescent="0.25">
      <c r="A269" s="41" t="str">
        <f>Orçamento!A252</f>
        <v xml:space="preserve"> 20.9 </v>
      </c>
      <c r="B269" s="46" t="str">
        <f>Orçamento!D252</f>
        <v>CONECTOR METALICO TIPO PARAFUSO FENDIDO (SPLIT BOLT), PARA CABOS ATE 50 MM2</v>
      </c>
      <c r="C269" s="41" t="str">
        <f>Orçamento!E252</f>
        <v>UN</v>
      </c>
      <c r="D269" s="42"/>
      <c r="E269" s="43">
        <f>Orçamento!H252</f>
        <v>12.5</v>
      </c>
      <c r="F269" s="43">
        <f>Orçamento!F252</f>
        <v>14</v>
      </c>
      <c r="G269" s="42"/>
      <c r="H269" s="42"/>
      <c r="I269" s="55">
        <f t="shared" si="22"/>
        <v>175</v>
      </c>
      <c r="J269" s="55"/>
      <c r="K269" s="55"/>
      <c r="L269" s="44">
        <f t="shared" si="21"/>
        <v>0</v>
      </c>
    </row>
    <row r="270" spans="1:12" x14ac:dyDescent="0.25">
      <c r="A270" s="41" t="str">
        <f>Orçamento!A253</f>
        <v xml:space="preserve"> 20.10 </v>
      </c>
      <c r="B270" s="46" t="str">
        <f>Orçamento!D253</f>
        <v>Conector em latão tipo minigar para cabos 16 - 50 mm² (SPDA)</v>
      </c>
      <c r="C270" s="41" t="str">
        <f>Orçamento!E253</f>
        <v>un</v>
      </c>
      <c r="D270" s="42"/>
      <c r="E270" s="43">
        <f>Orçamento!H253</f>
        <v>29.51</v>
      </c>
      <c r="F270" s="43">
        <f>Orçamento!F253</f>
        <v>40</v>
      </c>
      <c r="G270" s="42"/>
      <c r="H270" s="42"/>
      <c r="I270" s="55">
        <f t="shared" si="22"/>
        <v>1180.4000000000001</v>
      </c>
      <c r="J270" s="55"/>
      <c r="K270" s="55"/>
      <c r="L270" s="44">
        <f t="shared" si="21"/>
        <v>0</v>
      </c>
    </row>
    <row r="271" spans="1:12" ht="25.5" x14ac:dyDescent="0.25">
      <c r="A271" s="41" t="str">
        <f>Orçamento!A254</f>
        <v xml:space="preserve"> 20.11 </v>
      </c>
      <c r="B271" s="46" t="str">
        <f>Orçamento!D254</f>
        <v>MINICAPTOR, EM ACO GALVANIZADO A FOGO, FIXACAO HORIZONTAL DE 1 FUROS, SEM BANDEIRA, H=300 MM X DN=10 MM</v>
      </c>
      <c r="C271" s="41" t="str">
        <f>Orçamento!E254</f>
        <v>UN</v>
      </c>
      <c r="D271" s="42"/>
      <c r="E271" s="43">
        <f>Orçamento!H254</f>
        <v>5.04</v>
      </c>
      <c r="F271" s="43">
        <f>Orçamento!F254</f>
        <v>20</v>
      </c>
      <c r="G271" s="42"/>
      <c r="H271" s="42"/>
      <c r="I271" s="55">
        <f t="shared" si="22"/>
        <v>100.8</v>
      </c>
      <c r="J271" s="55"/>
      <c r="K271" s="55"/>
      <c r="L271" s="44">
        <f t="shared" si="21"/>
        <v>0</v>
      </c>
    </row>
    <row r="272" spans="1:12" x14ac:dyDescent="0.25">
      <c r="A272" s="41" t="str">
        <f>Orçamento!A255</f>
        <v xml:space="preserve"> 20.12 </v>
      </c>
      <c r="B272" s="46" t="str">
        <f>Orçamento!D255</f>
        <v>PARA-RAIOS DE DISTRIBUICAO, TENSAO NOMINAL 15 KV, CORRENTE NOMINAL DE DESCARGA 5 KA</v>
      </c>
      <c r="C272" s="41" t="str">
        <f>Orçamento!E255</f>
        <v>UN</v>
      </c>
      <c r="D272" s="42"/>
      <c r="E272" s="43">
        <f>Orçamento!H255</f>
        <v>134.72</v>
      </c>
      <c r="F272" s="43">
        <f>Orçamento!F255</f>
        <v>1</v>
      </c>
      <c r="G272" s="42"/>
      <c r="H272" s="42"/>
      <c r="I272" s="55">
        <f t="shared" si="22"/>
        <v>134.72</v>
      </c>
      <c r="J272" s="55"/>
      <c r="K272" s="55"/>
      <c r="L272" s="44">
        <f t="shared" si="21"/>
        <v>0</v>
      </c>
    </row>
    <row r="273" spans="1:12" x14ac:dyDescent="0.25">
      <c r="A273" s="41" t="str">
        <f>Orçamento!A256</f>
        <v xml:space="preserve"> 20.13 </v>
      </c>
      <c r="B273" s="46" t="str">
        <f>Orçamento!D256</f>
        <v>PARAFUSO, AUTO ATARRACHANTE, CABECA CHATA, FENDA SIMPLES, 1/4 (6,35 MM) X 25 MM</v>
      </c>
      <c r="C273" s="41" t="str">
        <f>Orçamento!E256</f>
        <v>CENTO</v>
      </c>
      <c r="D273" s="42"/>
      <c r="E273" s="43">
        <f>Orçamento!H256</f>
        <v>57.61</v>
      </c>
      <c r="F273" s="43">
        <f>Orçamento!F256</f>
        <v>55</v>
      </c>
      <c r="G273" s="42"/>
      <c r="H273" s="42"/>
      <c r="I273" s="55">
        <f t="shared" si="22"/>
        <v>3168.55</v>
      </c>
      <c r="J273" s="55"/>
      <c r="K273" s="55"/>
      <c r="L273" s="44">
        <f t="shared" si="21"/>
        <v>0</v>
      </c>
    </row>
    <row r="274" spans="1:12" ht="25.5" x14ac:dyDescent="0.25">
      <c r="A274" s="41" t="str">
        <f>Orçamento!A257</f>
        <v xml:space="preserve"> 20.14 </v>
      </c>
      <c r="B274" s="46" t="str">
        <f>Orçamento!D257</f>
        <v>PARAFUSO ZINCADO ROSCA SOBERBA, CABECA SEXTAVADA, 5/16 " X 50 MM, PARA FIXACAO DE TELHA EM MADEIRA</v>
      </c>
      <c r="C274" s="41" t="str">
        <f>Orçamento!E257</f>
        <v>UN</v>
      </c>
      <c r="D274" s="42"/>
      <c r="E274" s="43">
        <f>Orçamento!H257</f>
        <v>1.17</v>
      </c>
      <c r="F274" s="43">
        <f>Orçamento!F257</f>
        <v>280</v>
      </c>
      <c r="G274" s="42"/>
      <c r="H274" s="42"/>
      <c r="I274" s="55">
        <f t="shared" si="22"/>
        <v>327.59999999999997</v>
      </c>
      <c r="J274" s="55"/>
      <c r="K274" s="55"/>
      <c r="L274" s="44">
        <f t="shared" si="21"/>
        <v>0</v>
      </c>
    </row>
    <row r="275" spans="1:12" ht="25.5" x14ac:dyDescent="0.25">
      <c r="A275" s="41" t="str">
        <f>Orçamento!A258</f>
        <v xml:space="preserve"> 20.15 </v>
      </c>
      <c r="B275" s="46" t="str">
        <f>Orçamento!D258</f>
        <v>Presilha de latão, L=20mm, para fixação de cabos de cobre, furo d=5mm, para cabos 16mm² a 25mm², ref:TEL-743 ou similar (SPDA)</v>
      </c>
      <c r="C275" s="41" t="str">
        <f>Orçamento!E258</f>
        <v>un</v>
      </c>
      <c r="D275" s="42"/>
      <c r="E275" s="43">
        <f>Orçamento!H258</f>
        <v>2.0099999999999998</v>
      </c>
      <c r="F275" s="43">
        <f>Orçamento!F258</f>
        <v>480</v>
      </c>
      <c r="G275" s="42"/>
      <c r="H275" s="42"/>
      <c r="I275" s="55">
        <f t="shared" si="22"/>
        <v>964.8</v>
      </c>
      <c r="J275" s="55"/>
      <c r="K275" s="55"/>
      <c r="L275" s="44">
        <f t="shared" si="21"/>
        <v>0</v>
      </c>
    </row>
    <row r="276" spans="1:12" x14ac:dyDescent="0.25">
      <c r="A276" s="41" t="str">
        <f>Orçamento!A259</f>
        <v xml:space="preserve"> 20.16 </v>
      </c>
      <c r="B276" s="46" t="str">
        <f>Orçamento!D259</f>
        <v>Suporte guia reforçado 90º em chapa galvanizada c/ 2 roldanas ref:TEL-290 - SPDA</v>
      </c>
      <c r="C276" s="41" t="str">
        <f>Orçamento!E259</f>
        <v>un</v>
      </c>
      <c r="D276" s="42"/>
      <c r="E276" s="43">
        <f>Orçamento!H259</f>
        <v>49.86</v>
      </c>
      <c r="F276" s="43">
        <f>Orçamento!F259</f>
        <v>140</v>
      </c>
      <c r="G276" s="42"/>
      <c r="H276" s="42"/>
      <c r="I276" s="55">
        <f t="shared" si="22"/>
        <v>6980.4</v>
      </c>
      <c r="J276" s="55"/>
      <c r="K276" s="55"/>
      <c r="L276" s="44">
        <f t="shared" si="21"/>
        <v>0</v>
      </c>
    </row>
    <row r="277" spans="1:12" x14ac:dyDescent="0.25">
      <c r="A277" s="41" t="str">
        <f>Orçamento!A260</f>
        <v xml:space="preserve"> 20.17 </v>
      </c>
      <c r="B277" s="46" t="str">
        <f>Orçamento!D260</f>
        <v>Terminal aéreo em aço galvanizado 3/8" x 50cm, com fixação horizontal</v>
      </c>
      <c r="C277" s="41" t="str">
        <f>Orçamento!E260</f>
        <v>un</v>
      </c>
      <c r="D277" s="42"/>
      <c r="E277" s="43">
        <f>Orçamento!H260</f>
        <v>29.55</v>
      </c>
      <c r="F277" s="43">
        <f>Orçamento!F260</f>
        <v>6</v>
      </c>
      <c r="G277" s="42"/>
      <c r="H277" s="42"/>
      <c r="I277" s="55">
        <f t="shared" si="22"/>
        <v>177.3</v>
      </c>
      <c r="J277" s="55"/>
      <c r="K277" s="55"/>
      <c r="L277" s="44">
        <f t="shared" si="21"/>
        <v>0</v>
      </c>
    </row>
    <row r="278" spans="1:12" ht="25.5" x14ac:dyDescent="0.25">
      <c r="A278" s="41" t="str">
        <f>Orçamento!A261</f>
        <v xml:space="preserve"> 20.18 </v>
      </c>
      <c r="B278" s="46" t="str">
        <f>Orçamento!D261</f>
        <v>CORDOALHA DE COBRE NU 35 MM², NÃO ENTERRADA, COM ISOLADOR - FORNECIMENTO E INSTALAÇÃO. AF_12/2017</v>
      </c>
      <c r="C278" s="41" t="str">
        <f>Orçamento!E261</f>
        <v>M</v>
      </c>
      <c r="D278" s="42"/>
      <c r="E278" s="43">
        <f>Orçamento!H261</f>
        <v>67.05</v>
      </c>
      <c r="F278" s="43">
        <f>Orçamento!F261</f>
        <v>698.33</v>
      </c>
      <c r="G278" s="42"/>
      <c r="H278" s="42"/>
      <c r="I278" s="55">
        <f t="shared" si="22"/>
        <v>46823.0265</v>
      </c>
      <c r="J278" s="55"/>
      <c r="K278" s="55"/>
      <c r="L278" s="44">
        <f t="shared" si="21"/>
        <v>0</v>
      </c>
    </row>
    <row r="279" spans="1:12" ht="25.5" x14ac:dyDescent="0.25">
      <c r="A279" s="41" t="str">
        <f>Orçamento!A262</f>
        <v xml:space="preserve"> 20.19 </v>
      </c>
      <c r="B279" s="46" t="str">
        <f>Orçamento!D262</f>
        <v>CORDOALHA DE COBRE NU 50 MM², ENTERRADA, SEM ISOLADOR - FORNECIMENTO E INSTALAÇÃO. AF_12/2017</v>
      </c>
      <c r="C279" s="41" t="str">
        <f>Orçamento!E262</f>
        <v>M</v>
      </c>
      <c r="D279" s="42"/>
      <c r="E279" s="43">
        <f>Orçamento!H262</f>
        <v>70.489999999999995</v>
      </c>
      <c r="F279" s="43">
        <f>Orçamento!F262</f>
        <v>411.2</v>
      </c>
      <c r="G279" s="42"/>
      <c r="H279" s="42"/>
      <c r="I279" s="55">
        <f t="shared" si="22"/>
        <v>28985.487999999998</v>
      </c>
      <c r="J279" s="55"/>
      <c r="K279" s="55"/>
      <c r="L279" s="44">
        <f t="shared" si="21"/>
        <v>0</v>
      </c>
    </row>
    <row r="280" spans="1:12" ht="25.5" x14ac:dyDescent="0.25">
      <c r="A280" s="41" t="str">
        <f>Orçamento!A263</f>
        <v xml:space="preserve"> 20.20 </v>
      </c>
      <c r="B280" s="46" t="str">
        <f>Orçamento!D263</f>
        <v>ELETRODUTO RÍGIDO ROSCÁVEL, PVC, DN 32 MM (1"), PARA CIRCUITOS TERMINAIS, INSTALADO EM PAREDE - FORNECIMENTO E INSTALAÇÃO. AF_12/2015</v>
      </c>
      <c r="C280" s="41" t="str">
        <f>Orçamento!E263</f>
        <v>M</v>
      </c>
      <c r="D280" s="42"/>
      <c r="E280" s="43">
        <f>Orçamento!H263</f>
        <v>17.71</v>
      </c>
      <c r="F280" s="43">
        <f>Orçamento!F263</f>
        <v>48.11</v>
      </c>
      <c r="G280" s="42"/>
      <c r="H280" s="42"/>
      <c r="I280" s="55">
        <f t="shared" si="22"/>
        <v>852.02809999999999</v>
      </c>
      <c r="J280" s="55"/>
      <c r="K280" s="55"/>
      <c r="L280" s="44">
        <f t="shared" ref="L280:L343" si="23">K280/I280</f>
        <v>0</v>
      </c>
    </row>
    <row r="281" spans="1:12" x14ac:dyDescent="0.25">
      <c r="A281" s="39" t="str">
        <f>Orçamento!A264</f>
        <v xml:space="preserve"> 21 </v>
      </c>
      <c r="B281" s="45" t="str">
        <f>Orçamento!D264</f>
        <v>SISTEMA DE CABEAMENTO E COMUNICAÇÃO</v>
      </c>
      <c r="C281" s="39"/>
      <c r="D281" s="47"/>
      <c r="E281" s="48"/>
      <c r="F281" s="48"/>
      <c r="G281" s="47"/>
      <c r="H281" s="47"/>
      <c r="I281" s="56"/>
      <c r="J281" s="56"/>
      <c r="K281" s="56"/>
      <c r="L281" s="49"/>
    </row>
    <row r="282" spans="1:12" x14ac:dyDescent="0.25">
      <c r="A282" s="41" t="str">
        <f>Orçamento!A265</f>
        <v xml:space="preserve"> 21.1 </v>
      </c>
      <c r="B282" s="46" t="str">
        <f>Orçamento!D265</f>
        <v>PATCH PANEL 48 PORTAS, CATEGORIA 5E - FORNECIMENTO E INSTALAÇÃO. AF_11/2019</v>
      </c>
      <c r="C282" s="41" t="str">
        <f>Orçamento!E265</f>
        <v>UN</v>
      </c>
      <c r="D282" s="42"/>
      <c r="E282" s="43">
        <f>Orçamento!H265</f>
        <v>3023.44</v>
      </c>
      <c r="F282" s="43">
        <f>Orçamento!F265</f>
        <v>2</v>
      </c>
      <c r="G282" s="42"/>
      <c r="H282" s="42"/>
      <c r="I282" s="55">
        <f t="shared" si="22"/>
        <v>6046.88</v>
      </c>
      <c r="J282" s="55"/>
      <c r="K282" s="55"/>
      <c r="L282" s="44">
        <f t="shared" si="23"/>
        <v>0</v>
      </c>
    </row>
    <row r="283" spans="1:12" x14ac:dyDescent="0.25">
      <c r="A283" s="41" t="str">
        <f>Orçamento!A266</f>
        <v xml:space="preserve"> 21.2 </v>
      </c>
      <c r="B283" s="46" t="str">
        <f>Orçamento!D266</f>
        <v>CABO DE REDE, PAR TRANCADO U/UTP, 4 PARES, CATEGORIA 5E (CAT 5E), ISOLAMENTO PVC (LSZH)</v>
      </c>
      <c r="C283" s="41" t="str">
        <f>Orçamento!E266</f>
        <v>M</v>
      </c>
      <c r="D283" s="42"/>
      <c r="E283" s="43">
        <f>Orçamento!H266</f>
        <v>3.48</v>
      </c>
      <c r="F283" s="43">
        <f>Orçamento!F266</f>
        <v>558</v>
      </c>
      <c r="G283" s="42"/>
      <c r="H283" s="42"/>
      <c r="I283" s="55">
        <f t="shared" si="22"/>
        <v>1941.84</v>
      </c>
      <c r="J283" s="55"/>
      <c r="K283" s="55"/>
      <c r="L283" s="44">
        <f t="shared" si="23"/>
        <v>0</v>
      </c>
    </row>
    <row r="284" spans="1:12" x14ac:dyDescent="0.25">
      <c r="A284" s="41" t="str">
        <f>Orçamento!A267</f>
        <v xml:space="preserve"> 21.3 </v>
      </c>
      <c r="B284" s="46" t="str">
        <f>Orçamento!D267</f>
        <v>TOMADA PARA TELEFONE RJ11 - FORNECIMENTO E INSTALAÇÃO. AF_11/2019</v>
      </c>
      <c r="C284" s="41" t="str">
        <f>Orçamento!E267</f>
        <v>UN</v>
      </c>
      <c r="D284" s="42"/>
      <c r="E284" s="43">
        <f>Orçamento!H267</f>
        <v>27.68</v>
      </c>
      <c r="F284" s="43">
        <f>Orçamento!F267</f>
        <v>10</v>
      </c>
      <c r="G284" s="42"/>
      <c r="H284" s="42"/>
      <c r="I284" s="55">
        <f t="shared" si="22"/>
        <v>276.8</v>
      </c>
      <c r="J284" s="55"/>
      <c r="K284" s="55"/>
      <c r="L284" s="44">
        <f t="shared" si="23"/>
        <v>0</v>
      </c>
    </row>
    <row r="285" spans="1:12" x14ac:dyDescent="0.25">
      <c r="A285" s="41" t="str">
        <f>Orçamento!A268</f>
        <v xml:space="preserve"> 21.4 </v>
      </c>
      <c r="B285" s="46" t="str">
        <f>Orçamento!D268</f>
        <v>TOMADA DE REDE RJ45 - FORNECIMENTO E INSTALAÇÃO. AF_11/2019</v>
      </c>
      <c r="C285" s="41" t="str">
        <f>Orçamento!E268</f>
        <v>UN</v>
      </c>
      <c r="D285" s="42"/>
      <c r="E285" s="43">
        <f>Orçamento!H268</f>
        <v>42.01</v>
      </c>
      <c r="F285" s="43">
        <f>Orçamento!F268</f>
        <v>39</v>
      </c>
      <c r="G285" s="42"/>
      <c r="H285" s="42"/>
      <c r="I285" s="55">
        <f t="shared" si="22"/>
        <v>1638.3899999999999</v>
      </c>
      <c r="J285" s="55"/>
      <c r="K285" s="55"/>
      <c r="L285" s="44">
        <f t="shared" si="23"/>
        <v>0</v>
      </c>
    </row>
    <row r="286" spans="1:12" ht="25.5" x14ac:dyDescent="0.25">
      <c r="A286" s="41" t="str">
        <f>Orçamento!A269</f>
        <v xml:space="preserve"> 21.5 </v>
      </c>
      <c r="B286" s="46" t="str">
        <f>Orçamento!D269</f>
        <v>CABO TELEFÔNICO CCI-50 4 PARES, SEM BLINDAGEM, INSTALADO EM DISTRIBUIÇÃO DE EDIFICAÇÃO RESIDENCIAL - FORNECIMENTO E INSTALAÇÃO. AF_11/2019</v>
      </c>
      <c r="C286" s="41" t="str">
        <f>Orçamento!E269</f>
        <v>M</v>
      </c>
      <c r="D286" s="42"/>
      <c r="E286" s="43">
        <f>Orçamento!H269</f>
        <v>7.78</v>
      </c>
      <c r="F286" s="43">
        <f>Orçamento!F269</f>
        <v>1980</v>
      </c>
      <c r="G286" s="42"/>
      <c r="H286" s="42"/>
      <c r="I286" s="55">
        <f t="shared" si="22"/>
        <v>15404.4</v>
      </c>
      <c r="J286" s="55"/>
      <c r="K286" s="55"/>
      <c r="L286" s="44">
        <f t="shared" si="23"/>
        <v>0</v>
      </c>
    </row>
    <row r="287" spans="1:12" ht="25.5" x14ac:dyDescent="0.25">
      <c r="A287" s="41" t="str">
        <f>Orçamento!A270</f>
        <v xml:space="preserve"> 21.6 </v>
      </c>
      <c r="B287" s="46" t="str">
        <f>Orçamento!D270</f>
        <v>QUADRO DE DISTRIBUIÇÃO PARA TELEFONE N.2, 20X20X12CM EM CHAPA METALICA, DE EMBUTIR, SEM ACESSORIOS, PADRÃO TELEBRAS, FORNECIMENTO E INSTALAÇÃO. AF_11/2019</v>
      </c>
      <c r="C287" s="41" t="str">
        <f>Orçamento!E270</f>
        <v>UN</v>
      </c>
      <c r="D287" s="42"/>
      <c r="E287" s="43">
        <f>Orçamento!H270</f>
        <v>107.71</v>
      </c>
      <c r="F287" s="43">
        <f>Orçamento!F270</f>
        <v>2</v>
      </c>
      <c r="G287" s="42"/>
      <c r="H287" s="42"/>
      <c r="I287" s="55">
        <f t="shared" si="22"/>
        <v>215.42</v>
      </c>
      <c r="J287" s="55"/>
      <c r="K287" s="55"/>
      <c r="L287" s="44">
        <f t="shared" si="23"/>
        <v>0</v>
      </c>
    </row>
    <row r="288" spans="1:12" ht="25.5" x14ac:dyDescent="0.25">
      <c r="A288" s="41" t="str">
        <f>Orçamento!A271</f>
        <v xml:space="preserve"> 21.7 </v>
      </c>
      <c r="B288" s="46" t="str">
        <f>Orçamento!D271</f>
        <v>QUADRO DE DISTRIBUICAO PARA TELEFONE N.3, 40X40X12CM EM CHAPA METALICA, DE EMBUTIR, SEM ACESSORIOS, PADRAO TELEBRAS, FORNECIMENTO E INSTALAÇÃO. AF_11/2019</v>
      </c>
      <c r="C288" s="41" t="str">
        <f>Orçamento!E271</f>
        <v>UN</v>
      </c>
      <c r="D288" s="42"/>
      <c r="E288" s="43">
        <f>Orçamento!H271</f>
        <v>198.76</v>
      </c>
      <c r="F288" s="43">
        <f>Orçamento!F271</f>
        <v>1</v>
      </c>
      <c r="G288" s="42"/>
      <c r="H288" s="42"/>
      <c r="I288" s="55">
        <f t="shared" si="22"/>
        <v>198.76</v>
      </c>
      <c r="J288" s="55"/>
      <c r="K288" s="55"/>
      <c r="L288" s="44">
        <f t="shared" si="23"/>
        <v>0</v>
      </c>
    </row>
    <row r="289" spans="1:12" ht="25.5" x14ac:dyDescent="0.25">
      <c r="A289" s="41" t="str">
        <f>Orçamento!A272</f>
        <v xml:space="preserve"> 21.8 </v>
      </c>
      <c r="B289" s="46" t="str">
        <f>Orçamento!D272</f>
        <v>CAIXA RETANGULAR 4" X 2" MÉDIA (1,30 M DO PISO), METÁLICA, INSTALADA EM PAREDE - FORNECIMENTO E INSTALAÇÃO. AF_12/2015</v>
      </c>
      <c r="C289" s="41" t="str">
        <f>Orçamento!E272</f>
        <v>UN</v>
      </c>
      <c r="D289" s="42"/>
      <c r="E289" s="43">
        <f>Orçamento!H272</f>
        <v>13.06</v>
      </c>
      <c r="F289" s="43">
        <f>Orçamento!F272</f>
        <v>49</v>
      </c>
      <c r="G289" s="42"/>
      <c r="H289" s="42"/>
      <c r="I289" s="55">
        <f t="shared" si="22"/>
        <v>639.94000000000005</v>
      </c>
      <c r="J289" s="55"/>
      <c r="K289" s="55"/>
      <c r="L289" s="44">
        <f t="shared" si="23"/>
        <v>0</v>
      </c>
    </row>
    <row r="290" spans="1:12" x14ac:dyDescent="0.25">
      <c r="A290" s="41" t="str">
        <f>Orçamento!A273</f>
        <v xml:space="preserve"> 21.9 </v>
      </c>
      <c r="B290" s="46" t="str">
        <f>Orçamento!D273</f>
        <v>CONECTOR / TOMADA FEMEA RJ 45, CATEGORIA 5 E (CAT 5E) PARA CABOS</v>
      </c>
      <c r="C290" s="41" t="str">
        <f>Orçamento!E273</f>
        <v>UN</v>
      </c>
      <c r="D290" s="42"/>
      <c r="E290" s="43">
        <f>Orçamento!H273</f>
        <v>9.85</v>
      </c>
      <c r="F290" s="43">
        <f>Orçamento!F273</f>
        <v>98</v>
      </c>
      <c r="G290" s="42"/>
      <c r="H290" s="42"/>
      <c r="I290" s="55">
        <f t="shared" si="22"/>
        <v>965.3</v>
      </c>
      <c r="J290" s="55"/>
      <c r="K290" s="55"/>
      <c r="L290" s="44">
        <f t="shared" si="23"/>
        <v>0</v>
      </c>
    </row>
    <row r="291" spans="1:12" x14ac:dyDescent="0.25">
      <c r="A291" s="41" t="str">
        <f>Orçamento!A274</f>
        <v xml:space="preserve"> 21.10 </v>
      </c>
      <c r="B291" s="46" t="str">
        <f>Orçamento!D274</f>
        <v>Switch 24 portas 10/100 Mbps - fornecimento</v>
      </c>
      <c r="C291" s="41" t="str">
        <f>Orçamento!E274</f>
        <v>un</v>
      </c>
      <c r="D291" s="42"/>
      <c r="E291" s="43">
        <f>Orçamento!H274</f>
        <v>589.03</v>
      </c>
      <c r="F291" s="43">
        <f>Orçamento!F274</f>
        <v>2</v>
      </c>
      <c r="G291" s="42"/>
      <c r="H291" s="42"/>
      <c r="I291" s="55">
        <f t="shared" si="22"/>
        <v>1178.06</v>
      </c>
      <c r="J291" s="55"/>
      <c r="K291" s="55"/>
      <c r="L291" s="44">
        <f t="shared" si="23"/>
        <v>0</v>
      </c>
    </row>
    <row r="292" spans="1:12" x14ac:dyDescent="0.25">
      <c r="A292" s="41" t="str">
        <f>Orçamento!A275</f>
        <v xml:space="preserve"> 21.11 </v>
      </c>
      <c r="B292" s="46" t="str">
        <f>Orçamento!D275</f>
        <v>Fornecimento e montagem de rack fechado tipo armário 19" x 36u x 670mm</v>
      </c>
      <c r="C292" s="41" t="str">
        <f>Orçamento!E275</f>
        <v>un</v>
      </c>
      <c r="D292" s="42"/>
      <c r="E292" s="43">
        <f>Orçamento!H275</f>
        <v>3044.03</v>
      </c>
      <c r="F292" s="43">
        <f>Orçamento!F275</f>
        <v>2</v>
      </c>
      <c r="G292" s="42"/>
      <c r="H292" s="42"/>
      <c r="I292" s="55">
        <f t="shared" si="22"/>
        <v>6088.06</v>
      </c>
      <c r="J292" s="55"/>
      <c r="K292" s="55"/>
      <c r="L292" s="44">
        <f t="shared" si="23"/>
        <v>0</v>
      </c>
    </row>
    <row r="293" spans="1:12" ht="25.5" x14ac:dyDescent="0.25">
      <c r="A293" s="41" t="str">
        <f>Orçamento!A276</f>
        <v xml:space="preserve"> 21.12 </v>
      </c>
      <c r="B293" s="46" t="str">
        <f>Orçamento!D276</f>
        <v>ELETRODUTO RÍGIDO ROSCÁVEL, PVC, DN 32 MM (1"), PARA CIRCUITOS TERMINAIS, INSTALADO EM LAJE - FORNECIMENTO E INSTALAÇÃO. AF_12/2015</v>
      </c>
      <c r="C293" s="41" t="str">
        <f>Orçamento!E276</f>
        <v>M</v>
      </c>
      <c r="D293" s="42"/>
      <c r="E293" s="43">
        <f>Orçamento!H276</f>
        <v>14.82</v>
      </c>
      <c r="F293" s="43">
        <f>Orçamento!F276</f>
        <v>255</v>
      </c>
      <c r="G293" s="42"/>
      <c r="H293" s="42"/>
      <c r="I293" s="55">
        <f t="shared" si="22"/>
        <v>3779.1</v>
      </c>
      <c r="J293" s="55"/>
      <c r="K293" s="55"/>
      <c r="L293" s="44">
        <f t="shared" si="23"/>
        <v>0</v>
      </c>
    </row>
    <row r="294" spans="1:12" x14ac:dyDescent="0.25">
      <c r="A294" s="39" t="str">
        <f>Orçamento!A277</f>
        <v xml:space="preserve"> 22 </v>
      </c>
      <c r="B294" s="45" t="str">
        <f>Orçamento!D277</f>
        <v>SISTEMA DE CLIMATIZAÇÃO</v>
      </c>
      <c r="C294" s="39"/>
      <c r="D294" s="47"/>
      <c r="E294" s="48"/>
      <c r="F294" s="48"/>
      <c r="G294" s="47"/>
      <c r="H294" s="47"/>
      <c r="I294" s="56"/>
      <c r="J294" s="56"/>
      <c r="K294" s="56"/>
      <c r="L294" s="49"/>
    </row>
    <row r="295" spans="1:12" ht="38.25" x14ac:dyDescent="0.25">
      <c r="A295" s="41" t="str">
        <f>Orçamento!A278</f>
        <v xml:space="preserve"> 22.1 </v>
      </c>
      <c r="B295" s="46" t="str">
        <f>Orçamento!D278</f>
        <v>TUBO EM COBRE FLEXÍVEL, DN 1/4", COM ISOLAMENTO, INSTALADO EM RAMAL DE ALIMENTAÇÃO DE AR CONDICIONADO COM CONDENSADORA CENTRAL  FORNECIMENTO E INSTALAÇÃO. AF_12/2015</v>
      </c>
      <c r="C295" s="41" t="str">
        <f>Orçamento!E278</f>
        <v>M</v>
      </c>
      <c r="D295" s="42"/>
      <c r="E295" s="43">
        <f>Orçamento!H278</f>
        <v>31.86</v>
      </c>
      <c r="F295" s="43">
        <f>Orçamento!F278</f>
        <v>210</v>
      </c>
      <c r="G295" s="42"/>
      <c r="H295" s="42"/>
      <c r="I295" s="55">
        <f t="shared" si="22"/>
        <v>6690.5999999999995</v>
      </c>
      <c r="J295" s="55"/>
      <c r="K295" s="55"/>
      <c r="L295" s="44">
        <f t="shared" si="23"/>
        <v>0</v>
      </c>
    </row>
    <row r="296" spans="1:12" ht="38.25" x14ac:dyDescent="0.25">
      <c r="A296" s="41" t="str">
        <f>Orçamento!A279</f>
        <v xml:space="preserve"> 22.2 </v>
      </c>
      <c r="B296" s="46" t="str">
        <f>Orçamento!D279</f>
        <v>TUBO EM COBRE FLEXÍVEL, DN 1/2", COM ISOLAMENTO, INSTALADO EM RAMAL DE ALIMENTAÇÃO DE AR CONDICIONADO COM CONDENSADORA CENTRAL  FORNECIMENTO E INSTALAÇÃO. AF_12/2015</v>
      </c>
      <c r="C296" s="41" t="str">
        <f>Orçamento!E279</f>
        <v>M</v>
      </c>
      <c r="D296" s="42"/>
      <c r="E296" s="43">
        <f>Orçamento!H279</f>
        <v>69.790000000000006</v>
      </c>
      <c r="F296" s="43">
        <f>Orçamento!F279</f>
        <v>210</v>
      </c>
      <c r="G296" s="42"/>
      <c r="H296" s="42"/>
      <c r="I296" s="55">
        <f t="shared" si="22"/>
        <v>14655.900000000001</v>
      </c>
      <c r="J296" s="55"/>
      <c r="K296" s="55"/>
      <c r="L296" s="44">
        <f t="shared" si="23"/>
        <v>0</v>
      </c>
    </row>
    <row r="297" spans="1:12" ht="38.25" x14ac:dyDescent="0.25">
      <c r="A297" s="41" t="str">
        <f>Orçamento!A280</f>
        <v xml:space="preserve"> 22.3 </v>
      </c>
      <c r="B297" s="46" t="str">
        <f>Orçamento!D280</f>
        <v>TUBO EM COBRE FLEXÍVEL, DN 3/8", COM ISOLAMENTO, INSTALADO EM RAMAL DE ALIMENTAÇÃO DE AR CONDICIONADO COM CONDENSADORA CENTRAL  FORNECIMENTO E INSTALAÇÃO. AF_12/2015</v>
      </c>
      <c r="C297" s="41" t="str">
        <f>Orçamento!E280</f>
        <v>M</v>
      </c>
      <c r="D297" s="42"/>
      <c r="E297" s="43">
        <f>Orçamento!H280</f>
        <v>55.81</v>
      </c>
      <c r="F297" s="43">
        <f>Orçamento!F280</f>
        <v>389</v>
      </c>
      <c r="G297" s="42"/>
      <c r="H297" s="42"/>
      <c r="I297" s="55">
        <f t="shared" si="22"/>
        <v>21710.09</v>
      </c>
      <c r="J297" s="55"/>
      <c r="K297" s="55"/>
      <c r="L297" s="44">
        <f t="shared" si="23"/>
        <v>0</v>
      </c>
    </row>
    <row r="298" spans="1:12" ht="38.25" x14ac:dyDescent="0.25">
      <c r="A298" s="41" t="str">
        <f>Orçamento!A281</f>
        <v xml:space="preserve"> 22.4 </v>
      </c>
      <c r="B298" s="46" t="str">
        <f>Orçamento!D281</f>
        <v>TUBO EM COBRE FLEXÍVEL, DN 5/8", COM ISOLAMENTO, INSTALADO EM RAMAL DE ALIMENTAÇÃO DE AR CONDICIONADO COM CONDENSADORA INDIVIDUAL  FORNECIMENTO E INSTALAÇÃO. AF_12/2015</v>
      </c>
      <c r="C298" s="41" t="str">
        <f>Orçamento!E281</f>
        <v>M</v>
      </c>
      <c r="D298" s="42"/>
      <c r="E298" s="43">
        <f>Orçamento!H281</f>
        <v>84.71</v>
      </c>
      <c r="F298" s="43">
        <f>Orçamento!F281</f>
        <v>389</v>
      </c>
      <c r="G298" s="42"/>
      <c r="H298" s="42"/>
      <c r="I298" s="55">
        <f t="shared" si="22"/>
        <v>32952.189999999995</v>
      </c>
      <c r="J298" s="55"/>
      <c r="K298" s="55"/>
      <c r="L298" s="44">
        <f t="shared" si="23"/>
        <v>0</v>
      </c>
    </row>
    <row r="299" spans="1:12" ht="38.25" x14ac:dyDescent="0.25">
      <c r="A299" s="41" t="str">
        <f>Orçamento!A282</f>
        <v xml:space="preserve"> 22.5 </v>
      </c>
      <c r="B299" s="46" t="str">
        <f>Orçamento!D282</f>
        <v>(COMPOSIÇÃO REPRESENTATIVA) DO SERVIÇO DE INSTALAÇÃO DE TUBOS DE PVC, SOLDÁVEL, ÁGUA FRIA, DN 25 MM (INSTALADO EM RAMAL, SUB-RAMAL, RAMAL DE DISTRIBUIÇÃO OU PRUMADA), INCLUSIVE CONEXÕES, CORTES E FIXAÇÕES, PARA PRÉDIOS. AF_10/2015</v>
      </c>
      <c r="C299" s="41" t="str">
        <f>Orçamento!E282</f>
        <v>M</v>
      </c>
      <c r="D299" s="42"/>
      <c r="E299" s="43">
        <f>Orçamento!H282</f>
        <v>43.1</v>
      </c>
      <c r="F299" s="43">
        <f>Orçamento!F282</f>
        <v>285.3</v>
      </c>
      <c r="G299" s="42"/>
      <c r="H299" s="42"/>
      <c r="I299" s="55">
        <f t="shared" ref="I299:I353" si="24">F299*E299</f>
        <v>12296.43</v>
      </c>
      <c r="J299" s="55"/>
      <c r="K299" s="55"/>
      <c r="L299" s="44">
        <f t="shared" si="23"/>
        <v>0</v>
      </c>
    </row>
    <row r="300" spans="1:12" x14ac:dyDescent="0.25">
      <c r="A300" s="41" t="str">
        <f>Orçamento!A283</f>
        <v xml:space="preserve"> 22.6 </v>
      </c>
      <c r="B300" s="46" t="str">
        <f>Orçamento!D283</f>
        <v>Cabo de cobre PP Cordplast 3 x 1,5 mm2, 450/750v m</v>
      </c>
      <c r="C300" s="41" t="str">
        <f>Orçamento!E283</f>
        <v>m</v>
      </c>
      <c r="D300" s="42"/>
      <c r="E300" s="43">
        <f>Orçamento!H283</f>
        <v>7.47</v>
      </c>
      <c r="F300" s="43">
        <f>Orçamento!F283</f>
        <v>554</v>
      </c>
      <c r="G300" s="42"/>
      <c r="H300" s="42"/>
      <c r="I300" s="55">
        <f t="shared" si="24"/>
        <v>4138.38</v>
      </c>
      <c r="J300" s="55"/>
      <c r="K300" s="55"/>
      <c r="L300" s="44">
        <f t="shared" si="23"/>
        <v>0</v>
      </c>
    </row>
    <row r="301" spans="1:12" x14ac:dyDescent="0.25">
      <c r="A301" s="39" t="str">
        <f>Orçamento!A284</f>
        <v xml:space="preserve"> 23 </v>
      </c>
      <c r="B301" s="45" t="str">
        <f>Orçamento!D284</f>
        <v>SUBESTAÇÃO</v>
      </c>
      <c r="C301" s="39"/>
      <c r="D301" s="47"/>
      <c r="E301" s="48"/>
      <c r="F301" s="48"/>
      <c r="G301" s="47"/>
      <c r="H301" s="47"/>
      <c r="I301" s="56"/>
      <c r="J301" s="56"/>
      <c r="K301" s="56"/>
      <c r="L301" s="49"/>
    </row>
    <row r="302" spans="1:12" x14ac:dyDescent="0.25">
      <c r="A302" s="41" t="str">
        <f>Orçamento!A285</f>
        <v xml:space="preserve"> 23.1 </v>
      </c>
      <c r="B302" s="46" t="str">
        <f>Orçamento!D285</f>
        <v>Fornecimento de cruzeta de concreto tipo "t"  1900mm</v>
      </c>
      <c r="C302" s="41" t="str">
        <f>Orçamento!E285</f>
        <v>un</v>
      </c>
      <c r="D302" s="42"/>
      <c r="E302" s="43">
        <f>Orçamento!H285</f>
        <v>321.7</v>
      </c>
      <c r="F302" s="43">
        <f>Orçamento!F285</f>
        <v>2</v>
      </c>
      <c r="G302" s="42"/>
      <c r="H302" s="42"/>
      <c r="I302" s="55">
        <f t="shared" si="24"/>
        <v>643.4</v>
      </c>
      <c r="J302" s="55"/>
      <c r="K302" s="55"/>
      <c r="L302" s="44">
        <f t="shared" si="23"/>
        <v>0</v>
      </c>
    </row>
    <row r="303" spans="1:12" ht="25.5" x14ac:dyDescent="0.25">
      <c r="A303" s="41" t="str">
        <f>Orçamento!A286</f>
        <v xml:space="preserve"> 23.2 </v>
      </c>
      <c r="B303" s="46" t="str">
        <f>Orçamento!D286</f>
        <v>TRANSFORMADOR TRIFASICO DE DISTRIBUICAO, POTENCIA DE 500 KVA, TENSAO NOMINAL DE 15 KV, TENSAO SECUNDARIA DE 220/127V, EM OLEO ISOLANTE TIPO MINERAL</v>
      </c>
      <c r="C303" s="41" t="str">
        <f>Orçamento!E286</f>
        <v>UN</v>
      </c>
      <c r="D303" s="42"/>
      <c r="E303" s="43">
        <f>Orçamento!H286</f>
        <v>63957.68</v>
      </c>
      <c r="F303" s="43">
        <f>Orçamento!F286</f>
        <v>1</v>
      </c>
      <c r="G303" s="42"/>
      <c r="H303" s="42"/>
      <c r="I303" s="55">
        <f t="shared" si="24"/>
        <v>63957.68</v>
      </c>
      <c r="J303" s="55"/>
      <c r="K303" s="55"/>
      <c r="L303" s="44">
        <f t="shared" si="23"/>
        <v>0</v>
      </c>
    </row>
    <row r="304" spans="1:12" x14ac:dyDescent="0.25">
      <c r="A304" s="41" t="str">
        <f>Orçamento!A287</f>
        <v xml:space="preserve"> 23.3 </v>
      </c>
      <c r="B304" s="46" t="str">
        <f>Orçamento!D287</f>
        <v>ISOLADOR, TIPO DISCO, PARA TENSÃO 15 KV - FORNECIMENTO E INSTALAÇÃO. AF_07/2020</v>
      </c>
      <c r="C304" s="41" t="str">
        <f>Orçamento!E287</f>
        <v>UN</v>
      </c>
      <c r="D304" s="42"/>
      <c r="E304" s="43">
        <f>Orçamento!H287</f>
        <v>89.06</v>
      </c>
      <c r="F304" s="43">
        <f>Orçamento!F287</f>
        <v>3</v>
      </c>
      <c r="G304" s="42"/>
      <c r="H304" s="42"/>
      <c r="I304" s="55">
        <f t="shared" si="24"/>
        <v>267.18</v>
      </c>
      <c r="J304" s="55"/>
      <c r="K304" s="55"/>
      <c r="L304" s="44">
        <f t="shared" si="23"/>
        <v>0</v>
      </c>
    </row>
    <row r="305" spans="1:12" x14ac:dyDescent="0.25">
      <c r="A305" s="41" t="str">
        <f>Orçamento!A288</f>
        <v xml:space="preserve"> 23.4 </v>
      </c>
      <c r="B305" s="46" t="str">
        <f>Orçamento!D288</f>
        <v>ISOLADOR, TIPO PINO, PARA TENSÃO 15 KV - FORNECIMENTO E INSTALAÇÃO. AF_07/2020</v>
      </c>
      <c r="C305" s="41" t="str">
        <f>Orçamento!E288</f>
        <v>UN</v>
      </c>
      <c r="D305" s="42"/>
      <c r="E305" s="43">
        <f>Orçamento!H288</f>
        <v>28.38</v>
      </c>
      <c r="F305" s="43">
        <f>Orçamento!F288</f>
        <v>3</v>
      </c>
      <c r="G305" s="42"/>
      <c r="H305" s="42"/>
      <c r="I305" s="55">
        <f t="shared" si="24"/>
        <v>85.14</v>
      </c>
      <c r="J305" s="55"/>
      <c r="K305" s="55"/>
      <c r="L305" s="44">
        <f t="shared" si="23"/>
        <v>0</v>
      </c>
    </row>
    <row r="306" spans="1:12" x14ac:dyDescent="0.25">
      <c r="A306" s="41" t="str">
        <f>Orçamento!A289</f>
        <v xml:space="preserve"> 23.5 </v>
      </c>
      <c r="B306" s="46" t="str">
        <f>Orçamento!D289</f>
        <v>Fornecimento de alça preformada de alumínio p/ ca 2 awg</v>
      </c>
      <c r="C306" s="41" t="str">
        <f>Orçamento!E289</f>
        <v>un</v>
      </c>
      <c r="D306" s="42"/>
      <c r="E306" s="43">
        <f>Orçamento!H289</f>
        <v>18.52</v>
      </c>
      <c r="F306" s="43">
        <f>Orçamento!F289</f>
        <v>3</v>
      </c>
      <c r="G306" s="42"/>
      <c r="H306" s="42"/>
      <c r="I306" s="55">
        <f t="shared" si="24"/>
        <v>55.56</v>
      </c>
      <c r="J306" s="55"/>
      <c r="K306" s="55"/>
      <c r="L306" s="44">
        <f t="shared" si="23"/>
        <v>0</v>
      </c>
    </row>
    <row r="307" spans="1:12" x14ac:dyDescent="0.25">
      <c r="A307" s="41" t="str">
        <f>Orçamento!A290</f>
        <v xml:space="preserve"> 23.6 </v>
      </c>
      <c r="B307" s="46" t="str">
        <f>Orçamento!D290</f>
        <v>Conector cunha 4 x 4 AWG CAA, fornecimento</v>
      </c>
      <c r="C307" s="41" t="str">
        <f>Orçamento!E290</f>
        <v>un</v>
      </c>
      <c r="D307" s="42"/>
      <c r="E307" s="43">
        <f>Orçamento!H290</f>
        <v>40.19</v>
      </c>
      <c r="F307" s="43">
        <f>Orçamento!F290</f>
        <v>6</v>
      </c>
      <c r="G307" s="42"/>
      <c r="H307" s="42"/>
      <c r="I307" s="55">
        <f t="shared" si="24"/>
        <v>241.14</v>
      </c>
      <c r="J307" s="55"/>
      <c r="K307" s="55"/>
      <c r="L307" s="44">
        <f t="shared" si="23"/>
        <v>0</v>
      </c>
    </row>
    <row r="308" spans="1:12" x14ac:dyDescent="0.25">
      <c r="A308" s="41" t="str">
        <f>Orçamento!A291</f>
        <v xml:space="preserve"> 23.7 </v>
      </c>
      <c r="B308" s="46" t="str">
        <f>Orçamento!D291</f>
        <v>PARA-RAIOS DE DISTRIBUICAO, TENSAO NOMINAL 15 KV, CORRENTE NOMINAL DE DESCARGA 5 KA</v>
      </c>
      <c r="C308" s="41" t="str">
        <f>Orçamento!E291</f>
        <v>UN</v>
      </c>
      <c r="D308" s="42"/>
      <c r="E308" s="43">
        <f>Orçamento!H291</f>
        <v>134.72</v>
      </c>
      <c r="F308" s="43">
        <f>Orçamento!F291</f>
        <v>3</v>
      </c>
      <c r="G308" s="42"/>
      <c r="H308" s="42"/>
      <c r="I308" s="55">
        <f t="shared" si="24"/>
        <v>404.15999999999997</v>
      </c>
      <c r="J308" s="55"/>
      <c r="K308" s="55"/>
      <c r="L308" s="44">
        <f t="shared" si="23"/>
        <v>0</v>
      </c>
    </row>
    <row r="309" spans="1:12" ht="25.5" x14ac:dyDescent="0.25">
      <c r="A309" s="41" t="str">
        <f>Orçamento!A292</f>
        <v xml:space="preserve"> 23.8 </v>
      </c>
      <c r="B309" s="46" t="str">
        <f>Orçamento!D292</f>
        <v>CORDOALHA DE COBRE NU 50 MM², ENTERRADA, SEM ISOLADOR - FORNECIMENTO E INSTALAÇÃO. AF_12/2017</v>
      </c>
      <c r="C309" s="41" t="str">
        <f>Orçamento!E292</f>
        <v>M</v>
      </c>
      <c r="D309" s="42"/>
      <c r="E309" s="43">
        <f>Orçamento!H292</f>
        <v>70.489999999999995</v>
      </c>
      <c r="F309" s="43">
        <f>Orçamento!F292</f>
        <v>30</v>
      </c>
      <c r="G309" s="42"/>
      <c r="H309" s="42"/>
      <c r="I309" s="55">
        <f t="shared" si="24"/>
        <v>2114.6999999999998</v>
      </c>
      <c r="J309" s="55"/>
      <c r="K309" s="55"/>
      <c r="L309" s="44">
        <f t="shared" si="23"/>
        <v>0</v>
      </c>
    </row>
    <row r="310" spans="1:12" x14ac:dyDescent="0.25">
      <c r="A310" s="41" t="str">
        <f>Orçamento!A293</f>
        <v xml:space="preserve"> 23.9 </v>
      </c>
      <c r="B310" s="46" t="str">
        <f>Orçamento!D293</f>
        <v>CABO DE ALUMINIO NU COM ALMA DE ACO, BITOLA 2/0 AWG</v>
      </c>
      <c r="C310" s="41" t="str">
        <f>Orçamento!E293</f>
        <v>KG</v>
      </c>
      <c r="D310" s="42"/>
      <c r="E310" s="43">
        <f>Orçamento!H293</f>
        <v>58.01</v>
      </c>
      <c r="F310" s="43">
        <f>Orçamento!F293</f>
        <v>75</v>
      </c>
      <c r="G310" s="42"/>
      <c r="H310" s="42"/>
      <c r="I310" s="55">
        <f t="shared" si="24"/>
        <v>4350.75</v>
      </c>
      <c r="J310" s="55"/>
      <c r="K310" s="55"/>
      <c r="L310" s="44">
        <f t="shared" si="23"/>
        <v>0</v>
      </c>
    </row>
    <row r="311" spans="1:12" ht="25.5" x14ac:dyDescent="0.25">
      <c r="A311" s="41" t="str">
        <f>Orçamento!A294</f>
        <v xml:space="preserve"> 23.10 </v>
      </c>
      <c r="B311" s="46" t="str">
        <f>Orçamento!D294</f>
        <v>CABO DE COBRE FLEXÍVEL ISOLADO, 70 MM², 0,6/1,0 KV, PARA REDE AÉREA DE DISTRIBUIÇÃO DE ENERGIA ELÉTRICA DE BAIXA TENSÃO - FORNECIMENTO E INSTALAÇÃO. AF_07/2020</v>
      </c>
      <c r="C311" s="41" t="str">
        <f>Orçamento!E294</f>
        <v>M</v>
      </c>
      <c r="D311" s="42"/>
      <c r="E311" s="43">
        <f>Orçamento!H294</f>
        <v>86.95</v>
      </c>
      <c r="F311" s="43">
        <f>Orçamento!F294</f>
        <v>240</v>
      </c>
      <c r="G311" s="42"/>
      <c r="H311" s="42"/>
      <c r="I311" s="55">
        <f t="shared" si="24"/>
        <v>20868</v>
      </c>
      <c r="J311" s="55"/>
      <c r="K311" s="55"/>
      <c r="L311" s="44">
        <f t="shared" si="23"/>
        <v>0</v>
      </c>
    </row>
    <row r="312" spans="1:12" ht="25.5" x14ac:dyDescent="0.25">
      <c r="A312" s="41" t="str">
        <f>Orçamento!A295</f>
        <v xml:space="preserve"> 23.11 </v>
      </c>
      <c r="B312" s="46" t="str">
        <f>Orçamento!D295</f>
        <v>CABO DE COBRE FLEXÍVEL ISOLADO, 35 MM², ANTI-CHAMA 0,6/1,0 KV, PARA REDE ENTERRADA DE DISTRIBUIÇÃO DE ENERGIA ELÉTRICA - FORNECIMENTO E INSTALAÇÃO. AF_12/2021</v>
      </c>
      <c r="C312" s="41" t="str">
        <f>Orçamento!E295</f>
        <v>M</v>
      </c>
      <c r="D312" s="42"/>
      <c r="E312" s="43">
        <f>Orçamento!H295</f>
        <v>44.03</v>
      </c>
      <c r="F312" s="43">
        <f>Orçamento!F295</f>
        <v>120</v>
      </c>
      <c r="G312" s="42"/>
      <c r="H312" s="42"/>
      <c r="I312" s="55">
        <f t="shared" si="24"/>
        <v>5283.6</v>
      </c>
      <c r="J312" s="55"/>
      <c r="K312" s="55"/>
      <c r="L312" s="44">
        <f t="shared" si="23"/>
        <v>0</v>
      </c>
    </row>
    <row r="313" spans="1:12" ht="25.5" x14ac:dyDescent="0.25">
      <c r="A313" s="41" t="str">
        <f>Orçamento!A296</f>
        <v xml:space="preserve"> 23.12 </v>
      </c>
      <c r="B313" s="46" t="str">
        <f>Orçamento!D296</f>
        <v>CABECOTE PARA ENTRADA DE LINHA DE ALIMENTACAO PARA ELETRODUTO, EM LIGA DE ALUMINIO COM ACABAMENTO ANTI CORROSIVO, COM FIXACAO POR ENCAIXE LISO DE 360 GRAUS, DE 3"</v>
      </c>
      <c r="C313" s="41" t="str">
        <f>Orçamento!E296</f>
        <v>UN</v>
      </c>
      <c r="D313" s="42"/>
      <c r="E313" s="43">
        <f>Orçamento!H296</f>
        <v>45.17</v>
      </c>
      <c r="F313" s="43">
        <f>Orçamento!F296</f>
        <v>3</v>
      </c>
      <c r="G313" s="42"/>
      <c r="H313" s="42"/>
      <c r="I313" s="55">
        <f t="shared" si="24"/>
        <v>135.51</v>
      </c>
      <c r="J313" s="55"/>
      <c r="K313" s="55"/>
      <c r="L313" s="44">
        <f t="shared" si="23"/>
        <v>0</v>
      </c>
    </row>
    <row r="314" spans="1:12" x14ac:dyDescent="0.25">
      <c r="A314" s="41" t="str">
        <f>Orçamento!A297</f>
        <v xml:space="preserve"> 23.13 </v>
      </c>
      <c r="B314" s="46" t="str">
        <f>Orçamento!D297</f>
        <v>ELETRODUTO FLEXIVEL, EM ACO, TIPO CONDUITE, DIAMETRO DE 3"</v>
      </c>
      <c r="C314" s="41" t="str">
        <f>Orçamento!E297</f>
        <v>M</v>
      </c>
      <c r="D314" s="42"/>
      <c r="E314" s="43">
        <f>Orçamento!H297</f>
        <v>82.85</v>
      </c>
      <c r="F314" s="43">
        <f>Orçamento!F297</f>
        <v>28</v>
      </c>
      <c r="G314" s="42"/>
      <c r="H314" s="42"/>
      <c r="I314" s="55">
        <f t="shared" si="24"/>
        <v>2319.7999999999997</v>
      </c>
      <c r="J314" s="55"/>
      <c r="K314" s="55"/>
      <c r="L314" s="44">
        <f t="shared" si="23"/>
        <v>0</v>
      </c>
    </row>
    <row r="315" spans="1:12" x14ac:dyDescent="0.25">
      <c r="A315" s="41" t="str">
        <f>Orçamento!A298</f>
        <v xml:space="preserve"> 23.14 </v>
      </c>
      <c r="B315" s="46" t="str">
        <f>Orçamento!D298</f>
        <v>FITA ACO INOX PARA CINTAR POSTE, L = 19 MM, E = 0,5 MM (ROLO DE 30M)</v>
      </c>
      <c r="C315" s="41" t="str">
        <f>Orçamento!E298</f>
        <v>UN</v>
      </c>
      <c r="D315" s="42"/>
      <c r="E315" s="43">
        <f>Orçamento!H298</f>
        <v>96.83</v>
      </c>
      <c r="F315" s="43">
        <f>Orçamento!F298</f>
        <v>0.5</v>
      </c>
      <c r="G315" s="42"/>
      <c r="H315" s="42"/>
      <c r="I315" s="55">
        <f t="shared" si="24"/>
        <v>48.414999999999999</v>
      </c>
      <c r="J315" s="55"/>
      <c r="K315" s="55"/>
      <c r="L315" s="44">
        <f t="shared" si="23"/>
        <v>0</v>
      </c>
    </row>
    <row r="316" spans="1:12" x14ac:dyDescent="0.25">
      <c r="A316" s="41" t="str">
        <f>Orçamento!A299</f>
        <v xml:space="preserve"> 23.15 </v>
      </c>
      <c r="B316" s="46" t="str">
        <f>Orçamento!D299</f>
        <v>HASTE DE ATERRAMENTO 5/8  PARA SPDA - FORNECIMENTO E INSTALAÇÃO. AF_12/2017</v>
      </c>
      <c r="C316" s="41" t="str">
        <f>Orçamento!E299</f>
        <v>UN</v>
      </c>
      <c r="D316" s="42"/>
      <c r="E316" s="43">
        <f>Orçamento!H299</f>
        <v>60.71</v>
      </c>
      <c r="F316" s="43">
        <f>Orçamento!F299</f>
        <v>3</v>
      </c>
      <c r="G316" s="42"/>
      <c r="H316" s="42"/>
      <c r="I316" s="55">
        <f t="shared" si="24"/>
        <v>182.13</v>
      </c>
      <c r="J316" s="55"/>
      <c r="K316" s="55"/>
      <c r="L316" s="44">
        <f t="shared" si="23"/>
        <v>0</v>
      </c>
    </row>
    <row r="317" spans="1:12" x14ac:dyDescent="0.25">
      <c r="A317" s="41" t="str">
        <f>Orçamento!A300</f>
        <v xml:space="preserve"> 23.16 </v>
      </c>
      <c r="B317" s="46" t="str">
        <f>Orçamento!D300</f>
        <v>GRAMPO U DE 5/8 " N8 EM FERRO GALVANIZADO</v>
      </c>
      <c r="C317" s="41" t="str">
        <f>Orçamento!E300</f>
        <v>UN</v>
      </c>
      <c r="D317" s="42"/>
      <c r="E317" s="43">
        <f>Orçamento!H300</f>
        <v>15.95</v>
      </c>
      <c r="F317" s="43">
        <f>Orçamento!F300</f>
        <v>3</v>
      </c>
      <c r="G317" s="42"/>
      <c r="H317" s="42"/>
      <c r="I317" s="55">
        <f t="shared" si="24"/>
        <v>47.849999999999994</v>
      </c>
      <c r="J317" s="55"/>
      <c r="K317" s="55"/>
      <c r="L317" s="44">
        <f t="shared" si="23"/>
        <v>0</v>
      </c>
    </row>
    <row r="318" spans="1:12" ht="25.5" x14ac:dyDescent="0.25">
      <c r="A318" s="41" t="str">
        <f>Orçamento!A301</f>
        <v xml:space="preserve"> 23.17 </v>
      </c>
      <c r="B318" s="46" t="str">
        <f>Orçamento!D301</f>
        <v>CAIXA DE INSPEÇÃO PARA ATERRAMENTO, CIRCULAR, EM POLIETILENO, DIÂMETRO INTERNO = 0,3 M. AF_12/2020</v>
      </c>
      <c r="C318" s="41" t="str">
        <f>Orçamento!E301</f>
        <v>UN</v>
      </c>
      <c r="D318" s="42"/>
      <c r="E318" s="43">
        <f>Orçamento!H301</f>
        <v>53.39</v>
      </c>
      <c r="F318" s="43">
        <f>Orçamento!F301</f>
        <v>3</v>
      </c>
      <c r="G318" s="42"/>
      <c r="H318" s="42"/>
      <c r="I318" s="55">
        <f t="shared" si="24"/>
        <v>160.17000000000002</v>
      </c>
      <c r="J318" s="55"/>
      <c r="K318" s="55"/>
      <c r="L318" s="44">
        <f t="shared" si="23"/>
        <v>0</v>
      </c>
    </row>
    <row r="319" spans="1:12" x14ac:dyDescent="0.25">
      <c r="A319" s="41" t="str">
        <f>Orçamento!A302</f>
        <v xml:space="preserve"> 23.18 </v>
      </c>
      <c r="B319" s="46" t="str">
        <f>Orçamento!D302</f>
        <v>Estrado (tapete) de borracha isolante 15 kv - dimensões 1.000 x 1.000 x 25 mm</v>
      </c>
      <c r="C319" s="41" t="str">
        <f>Orçamento!E302</f>
        <v>pç</v>
      </c>
      <c r="D319" s="42"/>
      <c r="E319" s="43">
        <f>Orçamento!H302</f>
        <v>732.66</v>
      </c>
      <c r="F319" s="43">
        <f>Orçamento!F302</f>
        <v>1</v>
      </c>
      <c r="G319" s="42"/>
      <c r="H319" s="42"/>
      <c r="I319" s="55">
        <f t="shared" si="24"/>
        <v>732.66</v>
      </c>
      <c r="J319" s="55"/>
      <c r="K319" s="55"/>
      <c r="L319" s="44">
        <f t="shared" si="23"/>
        <v>0</v>
      </c>
    </row>
    <row r="320" spans="1:12" ht="25.5" x14ac:dyDescent="0.25">
      <c r="A320" s="41" t="str">
        <f>Orçamento!A303</f>
        <v xml:space="preserve"> 23.19 </v>
      </c>
      <c r="B320" s="46" t="str">
        <f>Orçamento!D303</f>
        <v>DISJUNTOR TERMOMAGNÉTICO TRIPOLAR , CORRENTE NOMINAL DE 250A - FORNECIMENTO E INSTALAÇÃO. AF_10/2020</v>
      </c>
      <c r="C320" s="41" t="str">
        <f>Orçamento!E303</f>
        <v>UN</v>
      </c>
      <c r="D320" s="42"/>
      <c r="E320" s="43">
        <f>Orçamento!H303</f>
        <v>1082.3599999999999</v>
      </c>
      <c r="F320" s="43">
        <f>Orçamento!F303</f>
        <v>1</v>
      </c>
      <c r="G320" s="42"/>
      <c r="H320" s="42"/>
      <c r="I320" s="55">
        <f t="shared" si="24"/>
        <v>1082.3599999999999</v>
      </c>
      <c r="J320" s="55"/>
      <c r="K320" s="55"/>
      <c r="L320" s="44">
        <f t="shared" si="23"/>
        <v>0</v>
      </c>
    </row>
    <row r="321" spans="1:12" x14ac:dyDescent="0.25">
      <c r="A321" s="39" t="str">
        <f>Orçamento!A304</f>
        <v xml:space="preserve"> 24 </v>
      </c>
      <c r="B321" s="45" t="str">
        <f>Orçamento!D304</f>
        <v>INSTALAÇÕES DE COMBATE A INCÊNDIO</v>
      </c>
      <c r="C321" s="39"/>
      <c r="D321" s="47"/>
      <c r="E321" s="48"/>
      <c r="F321" s="48"/>
      <c r="G321" s="47"/>
      <c r="H321" s="47"/>
      <c r="I321" s="56"/>
      <c r="J321" s="56"/>
      <c r="K321" s="56"/>
      <c r="L321" s="49"/>
    </row>
    <row r="322" spans="1:12" ht="38.25" x14ac:dyDescent="0.25">
      <c r="A322" s="41" t="str">
        <f>Orçamento!A305</f>
        <v xml:space="preserve"> 24.1 </v>
      </c>
      <c r="B322" s="46" t="str">
        <f>Orçamento!D305</f>
        <v>PLACA DE SINALIZACAO DE SEGURANCA CONTRA INCENDIO, FOTOLUMINESCENTE, QUADRADA, *20 X 20* CM, EM PVC *2* MM ANTI-CHAMAS (SIMBOLOS, CORES E PICTOGRAMAS CONFORME NBR 16820)</v>
      </c>
      <c r="C322" s="41" t="str">
        <f>Orçamento!E305</f>
        <v>UN</v>
      </c>
      <c r="D322" s="42"/>
      <c r="E322" s="43">
        <f>Orçamento!H305</f>
        <v>22.92</v>
      </c>
      <c r="F322" s="43">
        <f>Orçamento!F305</f>
        <v>155</v>
      </c>
      <c r="G322" s="42"/>
      <c r="H322" s="42"/>
      <c r="I322" s="55">
        <f t="shared" si="24"/>
        <v>3552.6000000000004</v>
      </c>
      <c r="J322" s="55"/>
      <c r="K322" s="55"/>
      <c r="L322" s="44">
        <f t="shared" si="23"/>
        <v>0</v>
      </c>
    </row>
    <row r="323" spans="1:12" ht="25.5" x14ac:dyDescent="0.25">
      <c r="A323" s="41" t="str">
        <f>Orçamento!A306</f>
        <v xml:space="preserve"> 24.2 </v>
      </c>
      <c r="B323" s="46" t="str">
        <f>Orçamento!D306</f>
        <v>Luminária de emergência, de sobrepor, tipo bloco autônomo, com autonomia de 1h, modelo LLE-LLEDDF, da KBR ou si</v>
      </c>
      <c r="C323" s="41" t="str">
        <f>Orçamento!E306</f>
        <v>un</v>
      </c>
      <c r="D323" s="42"/>
      <c r="E323" s="43">
        <f>Orçamento!H306</f>
        <v>174.9</v>
      </c>
      <c r="F323" s="43">
        <f>Orçamento!F306</f>
        <v>35</v>
      </c>
      <c r="G323" s="42"/>
      <c r="H323" s="42"/>
      <c r="I323" s="55">
        <f t="shared" si="24"/>
        <v>6121.5</v>
      </c>
      <c r="J323" s="55"/>
      <c r="K323" s="55"/>
      <c r="L323" s="44">
        <f t="shared" si="23"/>
        <v>0</v>
      </c>
    </row>
    <row r="324" spans="1:12" ht="25.5" x14ac:dyDescent="0.25">
      <c r="A324" s="41" t="str">
        <f>Orçamento!A307</f>
        <v xml:space="preserve"> 24.3 </v>
      </c>
      <c r="B324" s="46" t="str">
        <f>Orçamento!D307</f>
        <v>LUMINÁRIA DE EMERGÊNCIA, COM 30 LÂMPADAS LED DE 2 W, SEM REATOR - FORNECIMENTO E INSTALAÇÃO. AF_02/2020</v>
      </c>
      <c r="C324" s="41" t="str">
        <f>Orçamento!E307</f>
        <v>UN</v>
      </c>
      <c r="D324" s="42"/>
      <c r="E324" s="43">
        <f>Orçamento!H307</f>
        <v>27.69</v>
      </c>
      <c r="F324" s="43">
        <f>Orçamento!F307</f>
        <v>28</v>
      </c>
      <c r="G324" s="42"/>
      <c r="H324" s="42"/>
      <c r="I324" s="55">
        <f t="shared" si="24"/>
        <v>775.32</v>
      </c>
      <c r="J324" s="55"/>
      <c r="K324" s="55"/>
      <c r="L324" s="44">
        <f t="shared" si="23"/>
        <v>0</v>
      </c>
    </row>
    <row r="325" spans="1:12" ht="25.5" x14ac:dyDescent="0.25">
      <c r="A325" s="41" t="str">
        <f>Orçamento!A308</f>
        <v xml:space="preserve"> 24.4 </v>
      </c>
      <c r="B325" s="46" t="str">
        <f>Orçamento!D308</f>
        <v>EXTINTOR DE INCÊNDIO PORTÁTIL COM CARGA DE CO2 DE 6 KG, CLASSE BC - FORNECIMENTO E INSTALAÇÃO. AF_10/2020_P</v>
      </c>
      <c r="C325" s="41" t="str">
        <f>Orçamento!E308</f>
        <v>UN</v>
      </c>
      <c r="D325" s="42"/>
      <c r="E325" s="43">
        <f>Orçamento!H308</f>
        <v>1057.06</v>
      </c>
      <c r="F325" s="43">
        <f>Orçamento!F308</f>
        <v>16</v>
      </c>
      <c r="G325" s="42"/>
      <c r="H325" s="42"/>
      <c r="I325" s="55">
        <f t="shared" si="24"/>
        <v>16912.96</v>
      </c>
      <c r="J325" s="55"/>
      <c r="K325" s="55"/>
      <c r="L325" s="44">
        <f t="shared" si="23"/>
        <v>0</v>
      </c>
    </row>
    <row r="326" spans="1:12" ht="25.5" x14ac:dyDescent="0.25">
      <c r="A326" s="41" t="str">
        <f>Orçamento!A309</f>
        <v xml:space="preserve"> 24.5 </v>
      </c>
      <c r="B326" s="46" t="str">
        <f>Orçamento!D309</f>
        <v>EXTINTOR DE INCÊNDIO PORTÁTIL COM CARGA DE ÁGUA PRESSURIZADA DE 10 L, CLASSE A - FORNECIMENTO E INSTALAÇÃO. AF_10/2020_P</v>
      </c>
      <c r="C326" s="41" t="str">
        <f>Orçamento!E309</f>
        <v>UN</v>
      </c>
      <c r="D326" s="42"/>
      <c r="E326" s="43">
        <f>Orçamento!H309</f>
        <v>322.89</v>
      </c>
      <c r="F326" s="43">
        <f>Orçamento!F309</f>
        <v>10</v>
      </c>
      <c r="G326" s="42"/>
      <c r="H326" s="42"/>
      <c r="I326" s="55">
        <f t="shared" si="24"/>
        <v>3228.8999999999996</v>
      </c>
      <c r="J326" s="55"/>
      <c r="K326" s="55"/>
      <c r="L326" s="44">
        <f t="shared" si="23"/>
        <v>0</v>
      </c>
    </row>
    <row r="327" spans="1:12" ht="25.5" x14ac:dyDescent="0.25">
      <c r="A327" s="41" t="str">
        <f>Orçamento!A310</f>
        <v xml:space="preserve"> 24.6 </v>
      </c>
      <c r="B327" s="46" t="str">
        <f>Orçamento!D310</f>
        <v>Motobomba marca schneider ou similar, modelo SH55 BPI-21, 2 1/2", motor a combustão - gasolina , 5,5cv</v>
      </c>
      <c r="C327" s="41" t="str">
        <f>Orçamento!E310</f>
        <v>Un</v>
      </c>
      <c r="D327" s="42"/>
      <c r="E327" s="43">
        <f>Orçamento!H310</f>
        <v>11081.89</v>
      </c>
      <c r="F327" s="43">
        <f>Orçamento!F310</f>
        <v>1</v>
      </c>
      <c r="G327" s="42"/>
      <c r="H327" s="42"/>
      <c r="I327" s="55">
        <f t="shared" si="24"/>
        <v>11081.89</v>
      </c>
      <c r="J327" s="55"/>
      <c r="K327" s="55"/>
      <c r="L327" s="44">
        <f t="shared" si="23"/>
        <v>0</v>
      </c>
    </row>
    <row r="328" spans="1:12" ht="38.25" x14ac:dyDescent="0.25">
      <c r="A328" s="41" t="str">
        <f>Orçamento!A311</f>
        <v xml:space="preserve"> 24.7 </v>
      </c>
      <c r="B328" s="46" t="str">
        <f>Orçamento!D311</f>
        <v>ABRIGO PARA HIDRANTE, 90X60X17CM, COM REGISTRO GLOBO ANGULAR 45 GRAUS 2 1/2", ADAPTADOR STORZ 2 1/2", MANGUEIRA DE INCÊNDIO 20M, REDUÇÃO 2 1/2" X 1 1/2" E ESGUICHO EM LATÃO 1 1/2" - FORNECIMENTO E INSTALAÇÃO. AF_10/2020</v>
      </c>
      <c r="C328" s="41" t="str">
        <f>Orçamento!E311</f>
        <v>UN</v>
      </c>
      <c r="D328" s="42"/>
      <c r="E328" s="43">
        <f>Orçamento!H311</f>
        <v>1888.95</v>
      </c>
      <c r="F328" s="43">
        <f>Orçamento!F311</f>
        <v>7</v>
      </c>
      <c r="G328" s="42"/>
      <c r="H328" s="42"/>
      <c r="I328" s="55">
        <f t="shared" si="24"/>
        <v>13222.65</v>
      </c>
      <c r="J328" s="55"/>
      <c r="K328" s="55"/>
      <c r="L328" s="44">
        <f t="shared" si="23"/>
        <v>0</v>
      </c>
    </row>
    <row r="329" spans="1:12" ht="25.5" x14ac:dyDescent="0.25">
      <c r="A329" s="41" t="str">
        <f>Orçamento!A312</f>
        <v xml:space="preserve"> 24.8 </v>
      </c>
      <c r="B329" s="46" t="str">
        <f>Orçamento!D312</f>
        <v>TUBO DE AÇO GALVANIZADO COM COSTURA, CLASSE MÉDIA, CONEXÃO RANHURADA, DN 80 (3"), INSTALADO EM PRUMADAS - FORNECIMENTO E INSTALAÇÃO. AF_10/2020</v>
      </c>
      <c r="C329" s="41" t="str">
        <f>Orçamento!E312</f>
        <v>M</v>
      </c>
      <c r="D329" s="42"/>
      <c r="E329" s="43">
        <f>Orçamento!H312</f>
        <v>183.87</v>
      </c>
      <c r="F329" s="43">
        <f>Orçamento!F312</f>
        <v>189.33</v>
      </c>
      <c r="G329" s="42"/>
      <c r="H329" s="42"/>
      <c r="I329" s="55">
        <f t="shared" si="24"/>
        <v>34812.107100000001</v>
      </c>
      <c r="J329" s="55"/>
      <c r="K329" s="55"/>
      <c r="L329" s="44">
        <f t="shared" si="23"/>
        <v>0</v>
      </c>
    </row>
    <row r="330" spans="1:12" x14ac:dyDescent="0.25">
      <c r="A330" s="41" t="str">
        <f>Orçamento!A313</f>
        <v xml:space="preserve"> 24.9 </v>
      </c>
      <c r="B330" s="46" t="str">
        <f>Orçamento!D313</f>
        <v>REGISTRO DE GAVETA BRUTO, LATÃO, ROSCÁVEL, 3" - FORNECIMENTO E INSTALAÇÃO. AF_08/2021</v>
      </c>
      <c r="C330" s="41" t="str">
        <f>Orçamento!E313</f>
        <v>UN</v>
      </c>
      <c r="D330" s="42"/>
      <c r="E330" s="43">
        <f>Orçamento!H313</f>
        <v>416.59</v>
      </c>
      <c r="F330" s="43">
        <f>Orçamento!F313</f>
        <v>5</v>
      </c>
      <c r="G330" s="42"/>
      <c r="H330" s="42"/>
      <c r="I330" s="55">
        <f t="shared" si="24"/>
        <v>2082.9499999999998</v>
      </c>
      <c r="J330" s="55"/>
      <c r="K330" s="55"/>
      <c r="L330" s="44">
        <f t="shared" si="23"/>
        <v>0</v>
      </c>
    </row>
    <row r="331" spans="1:12" ht="25.5" x14ac:dyDescent="0.25">
      <c r="A331" s="41" t="str">
        <f>Orçamento!A314</f>
        <v xml:space="preserve"> 24.10 </v>
      </c>
      <c r="B331" s="46" t="str">
        <f>Orçamento!D314</f>
        <v>TÊ, EM FERRO GALVANIZADO, CONEXÃO ROSQUEADA, DN 80 (3"), INSTALADO EM REDE DE ALIMENTAÇÃO PARA HIDRANTE - FORNECIMENTO E INSTALAÇÃO. AF_10/2020</v>
      </c>
      <c r="C331" s="41" t="str">
        <f>Orçamento!E314</f>
        <v>UN</v>
      </c>
      <c r="D331" s="42"/>
      <c r="E331" s="43">
        <f>Orçamento!H314</f>
        <v>270.33999999999997</v>
      </c>
      <c r="F331" s="43">
        <f>Orçamento!F314</f>
        <v>6</v>
      </c>
      <c r="G331" s="42"/>
      <c r="H331" s="42"/>
      <c r="I331" s="55">
        <f t="shared" si="24"/>
        <v>1622.04</v>
      </c>
      <c r="J331" s="55"/>
      <c r="K331" s="55"/>
      <c r="L331" s="44">
        <f t="shared" si="23"/>
        <v>0</v>
      </c>
    </row>
    <row r="332" spans="1:12" ht="25.5" x14ac:dyDescent="0.25">
      <c r="A332" s="41" t="str">
        <f>Orçamento!A315</f>
        <v xml:space="preserve"> 24.11 </v>
      </c>
      <c r="B332" s="46" t="str">
        <f>Orçamento!D315</f>
        <v>REGISTRO OU VÁLVULA GLOBO ANGULAR EM LATÃO, PARA HIDRANTES EM INSTALAÇÃO PREDIAL DE INCÊNDIO, 45 GRAUS, 2 1/2" - FORNECIMENTO E INSTALAÇÃO. AF_08/2021</v>
      </c>
      <c r="C332" s="41" t="str">
        <f>Orçamento!E315</f>
        <v>UN</v>
      </c>
      <c r="D332" s="42"/>
      <c r="E332" s="43">
        <f>Orçamento!H315</f>
        <v>245.78</v>
      </c>
      <c r="F332" s="43">
        <f>Orçamento!F315</f>
        <v>5</v>
      </c>
      <c r="G332" s="42"/>
      <c r="H332" s="42"/>
      <c r="I332" s="55">
        <f t="shared" si="24"/>
        <v>1228.9000000000001</v>
      </c>
      <c r="J332" s="55"/>
      <c r="K332" s="55"/>
      <c r="L332" s="44">
        <f t="shared" si="23"/>
        <v>0</v>
      </c>
    </row>
    <row r="333" spans="1:12" ht="25.5" x14ac:dyDescent="0.25">
      <c r="A333" s="41" t="str">
        <f>Orçamento!A316</f>
        <v xml:space="preserve"> 24.12 </v>
      </c>
      <c r="B333" s="46" t="str">
        <f>Orçamento!D316</f>
        <v>VÁLVULA DE RETENÇÃO HORIZONTAL, DE BRONZE, ROSCÁVEL, 2 1/2" - FORNECIMENTO E INSTALAÇÃO. AF_08/2021</v>
      </c>
      <c r="C333" s="41" t="str">
        <f>Orçamento!E316</f>
        <v>UN</v>
      </c>
      <c r="D333" s="42"/>
      <c r="E333" s="43">
        <f>Orçamento!H316</f>
        <v>601.97</v>
      </c>
      <c r="F333" s="43">
        <f>Orçamento!F316</f>
        <v>4</v>
      </c>
      <c r="G333" s="42"/>
      <c r="H333" s="42"/>
      <c r="I333" s="55">
        <f t="shared" si="24"/>
        <v>2407.88</v>
      </c>
      <c r="J333" s="55"/>
      <c r="K333" s="55"/>
      <c r="L333" s="44">
        <f t="shared" si="23"/>
        <v>0</v>
      </c>
    </row>
    <row r="334" spans="1:12" ht="25.5" x14ac:dyDescent="0.25">
      <c r="A334" s="41" t="str">
        <f>Orçamento!A317</f>
        <v xml:space="preserve"> 24.13 </v>
      </c>
      <c r="B334" s="46" t="str">
        <f>Orçamento!D317</f>
        <v>MANÔMETRO 0 A 200 PSI (0 A 14 KGF/CM2), D = 50MM - FORNECIMENTO E INSTALAÇÃO. AF_10/2020</v>
      </c>
      <c r="C334" s="41" t="str">
        <f>Orçamento!E317</f>
        <v>UN</v>
      </c>
      <c r="D334" s="42"/>
      <c r="E334" s="43">
        <f>Orçamento!H317</f>
        <v>157.72999999999999</v>
      </c>
      <c r="F334" s="43">
        <f>Orçamento!F317</f>
        <v>1</v>
      </c>
      <c r="G334" s="42"/>
      <c r="H334" s="42"/>
      <c r="I334" s="55">
        <f t="shared" si="24"/>
        <v>157.72999999999999</v>
      </c>
      <c r="J334" s="55"/>
      <c r="K334" s="55"/>
      <c r="L334" s="44">
        <f t="shared" si="23"/>
        <v>0</v>
      </c>
    </row>
    <row r="335" spans="1:12" ht="25.5" x14ac:dyDescent="0.25">
      <c r="A335" s="41" t="str">
        <f>Orçamento!A318</f>
        <v xml:space="preserve"> 24.14 </v>
      </c>
      <c r="B335" s="46" t="str">
        <f>Orçamento!D318</f>
        <v>MANÔMETRO 0 A 200 PSI (0 A 14 KGF/CM2), D = 50MM - FORNECIMENTO E INSTALAÇÃO. AF_10/2020</v>
      </c>
      <c r="C335" s="41" t="str">
        <f>Orçamento!E318</f>
        <v>UN</v>
      </c>
      <c r="D335" s="42"/>
      <c r="E335" s="43">
        <f>Orçamento!H318</f>
        <v>157.72999999999999</v>
      </c>
      <c r="F335" s="43">
        <f>Orçamento!F318</f>
        <v>1</v>
      </c>
      <c r="G335" s="42"/>
      <c r="H335" s="42"/>
      <c r="I335" s="55">
        <f t="shared" si="24"/>
        <v>157.72999999999999</v>
      </c>
      <c r="J335" s="55"/>
      <c r="K335" s="55"/>
      <c r="L335" s="44">
        <f t="shared" si="23"/>
        <v>0</v>
      </c>
    </row>
    <row r="336" spans="1:12" ht="25.5" x14ac:dyDescent="0.25">
      <c r="A336" s="41" t="str">
        <f>Orçamento!A319</f>
        <v xml:space="preserve"> 24.15 </v>
      </c>
      <c r="B336" s="46" t="str">
        <f>Orçamento!D319</f>
        <v>TAMPA PARA CAIXA TIPO R1, EM FERRO FUNDIDO, DIMENSÕES INTERNAS: 0,40 X 0,60 M - FORNECIMENTO E INSTALAÇÃO. AF_12/2020</v>
      </c>
      <c r="C336" s="41" t="str">
        <f>Orçamento!E319</f>
        <v>UN</v>
      </c>
      <c r="D336" s="42"/>
      <c r="E336" s="43">
        <f>Orçamento!H319</f>
        <v>421.1</v>
      </c>
      <c r="F336" s="43">
        <f>Orçamento!F319</f>
        <v>1</v>
      </c>
      <c r="G336" s="42"/>
      <c r="H336" s="42"/>
      <c r="I336" s="55">
        <f t="shared" si="24"/>
        <v>421.1</v>
      </c>
      <c r="J336" s="55"/>
      <c r="K336" s="55"/>
      <c r="L336" s="44">
        <f t="shared" si="23"/>
        <v>0</v>
      </c>
    </row>
    <row r="337" spans="1:12" ht="25.5" x14ac:dyDescent="0.25">
      <c r="A337" s="41" t="str">
        <f>Orçamento!A320</f>
        <v xml:space="preserve"> 24.16 </v>
      </c>
      <c r="B337" s="46" t="str">
        <f>Orçamento!D320</f>
        <v>CAIXA ENTERRADA ELÉTRICA RETANGULAR, EM ALVENARIA COM TIJOLOS CERÂMICOS MACIÇOS, FUNDO COM BRITA, DIMENSÕES INTERNAS: 0,8X0,8X0,6 M. AF_12/2020</v>
      </c>
      <c r="C337" s="41" t="str">
        <f>Orçamento!E320</f>
        <v>UN</v>
      </c>
      <c r="D337" s="42"/>
      <c r="E337" s="43">
        <f>Orçamento!H320</f>
        <v>653.03</v>
      </c>
      <c r="F337" s="43">
        <f>Orçamento!F320</f>
        <v>1</v>
      </c>
      <c r="G337" s="42"/>
      <c r="H337" s="42"/>
      <c r="I337" s="55">
        <f t="shared" si="24"/>
        <v>653.03</v>
      </c>
      <c r="J337" s="55"/>
      <c r="K337" s="55"/>
      <c r="L337" s="44">
        <f t="shared" si="23"/>
        <v>0</v>
      </c>
    </row>
    <row r="338" spans="1:12" x14ac:dyDescent="0.25">
      <c r="A338" s="41" t="str">
        <f>Orçamento!A321</f>
        <v xml:space="preserve"> 24.17 </v>
      </c>
      <c r="B338" s="46" t="str">
        <f>Orçamento!D321</f>
        <v>Acionador manual (botoeira) "aperte aqui", p/instal. incendio - endereçável</v>
      </c>
      <c r="C338" s="41" t="str">
        <f>Orçamento!E321</f>
        <v>un</v>
      </c>
      <c r="D338" s="42"/>
      <c r="E338" s="43">
        <f>Orçamento!H321</f>
        <v>173.5</v>
      </c>
      <c r="F338" s="43">
        <f>Orçamento!F321</f>
        <v>7</v>
      </c>
      <c r="G338" s="42"/>
      <c r="H338" s="42"/>
      <c r="I338" s="55">
        <f t="shared" si="24"/>
        <v>1214.5</v>
      </c>
      <c r="J338" s="55"/>
      <c r="K338" s="55"/>
      <c r="L338" s="44">
        <f t="shared" si="23"/>
        <v>0</v>
      </c>
    </row>
    <row r="339" spans="1:12" ht="25.5" x14ac:dyDescent="0.25">
      <c r="A339" s="41" t="str">
        <f>Orçamento!A322</f>
        <v xml:space="preserve"> 24.18 </v>
      </c>
      <c r="B339" s="46" t="str">
        <f>Orçamento!D322</f>
        <v>Central de alarme e detecção de incendio, capacidade: 8 laços, com 2 linhas, mod.VR-8L, Verin ou similar</v>
      </c>
      <c r="C339" s="41" t="str">
        <f>Orçamento!E322</f>
        <v>un</v>
      </c>
      <c r="D339" s="42"/>
      <c r="E339" s="43">
        <f>Orçamento!H322</f>
        <v>468.71</v>
      </c>
      <c r="F339" s="43">
        <f>Orçamento!F322</f>
        <v>1</v>
      </c>
      <c r="G339" s="42"/>
      <c r="H339" s="42"/>
      <c r="I339" s="55">
        <f t="shared" si="24"/>
        <v>468.71</v>
      </c>
      <c r="J339" s="55"/>
      <c r="K339" s="55"/>
      <c r="L339" s="44">
        <f t="shared" si="23"/>
        <v>0</v>
      </c>
    </row>
    <row r="340" spans="1:12" x14ac:dyDescent="0.25">
      <c r="A340" s="41" t="str">
        <f>Orçamento!A323</f>
        <v xml:space="preserve"> 24.19 </v>
      </c>
      <c r="B340" s="46" t="str">
        <f>Orçamento!D323</f>
        <v>Sirene aúdiovisual endereçavel, 120db, para alarme de incêndio</v>
      </c>
      <c r="C340" s="41" t="str">
        <f>Orçamento!E323</f>
        <v>un</v>
      </c>
      <c r="D340" s="42"/>
      <c r="E340" s="43">
        <f>Orçamento!H323</f>
        <v>225.94</v>
      </c>
      <c r="F340" s="43">
        <f>Orçamento!F323</f>
        <v>7</v>
      </c>
      <c r="G340" s="42"/>
      <c r="H340" s="42"/>
      <c r="I340" s="55">
        <f t="shared" si="24"/>
        <v>1581.58</v>
      </c>
      <c r="J340" s="55"/>
      <c r="K340" s="55"/>
      <c r="L340" s="44">
        <f t="shared" si="23"/>
        <v>0</v>
      </c>
    </row>
    <row r="341" spans="1:12" x14ac:dyDescent="0.25">
      <c r="A341" s="39" t="str">
        <f>Orçamento!A324</f>
        <v xml:space="preserve"> 25 </v>
      </c>
      <c r="B341" s="45" t="str">
        <f>Orçamento!D324</f>
        <v>SERVIÇOS COMPLEMENTARES</v>
      </c>
      <c r="C341" s="39"/>
      <c r="D341" s="47"/>
      <c r="E341" s="48"/>
      <c r="F341" s="48"/>
      <c r="G341" s="47"/>
      <c r="H341" s="47"/>
      <c r="I341" s="56"/>
      <c r="J341" s="56"/>
      <c r="K341" s="56"/>
      <c r="L341" s="49"/>
    </row>
    <row r="342" spans="1:12" ht="38.25" x14ac:dyDescent="0.25">
      <c r="A342" s="41" t="str">
        <f>Orçamento!A325</f>
        <v xml:space="preserve"> 25.1 </v>
      </c>
      <c r="B342" s="46" t="str">
        <f>Orçamento!D325</f>
        <v>ELEVADOR AÇO INOX CAPACIDADE P/ (8 PASSAGEIROS OU 1  CADEIRANTE + 1 ACOMPANHANTES), COM O1 PARADA, E DESNIVEL DE  4,30MM,PORTAS DE ACESSO OPOSTO , CAPACIDADE 250 KG,  VELOCIDADE 6,00 M/MIN, /MIN - FORNECIMENTO E INSTALACAO</v>
      </c>
      <c r="C342" s="41" t="str">
        <f>Orçamento!E325</f>
        <v>und</v>
      </c>
      <c r="D342" s="42"/>
      <c r="E342" s="43">
        <f>Orçamento!H325</f>
        <v>130267.14</v>
      </c>
      <c r="F342" s="43">
        <f>Orçamento!F325</f>
        <v>1</v>
      </c>
      <c r="G342" s="42"/>
      <c r="H342" s="42"/>
      <c r="I342" s="55">
        <f t="shared" si="24"/>
        <v>130267.14</v>
      </c>
      <c r="J342" s="55"/>
      <c r="K342" s="55"/>
      <c r="L342" s="44">
        <f t="shared" si="23"/>
        <v>0</v>
      </c>
    </row>
    <row r="343" spans="1:12" x14ac:dyDescent="0.25">
      <c r="A343" s="41" t="str">
        <f>Orçamento!A326</f>
        <v xml:space="preserve"> 25.2 </v>
      </c>
      <c r="B343" s="46" t="str">
        <f>Orçamento!D326</f>
        <v>Banco de madeira de lei sem encosto, tipo sueco, medindo 45x45x300cm</v>
      </c>
      <c r="C343" s="41" t="str">
        <f>Orçamento!E326</f>
        <v>un</v>
      </c>
      <c r="D343" s="42"/>
      <c r="E343" s="43">
        <f>Orçamento!H326</f>
        <v>887.35</v>
      </c>
      <c r="F343" s="43">
        <f>Orçamento!F326</f>
        <v>10</v>
      </c>
      <c r="G343" s="42"/>
      <c r="H343" s="42"/>
      <c r="I343" s="55">
        <f t="shared" si="24"/>
        <v>8873.5</v>
      </c>
      <c r="J343" s="55"/>
      <c r="K343" s="55"/>
      <c r="L343" s="44">
        <f t="shared" si="23"/>
        <v>0</v>
      </c>
    </row>
    <row r="344" spans="1:12" ht="25.5" x14ac:dyDescent="0.25">
      <c r="A344" s="41" t="str">
        <f>Orçamento!A327</f>
        <v xml:space="preserve"> 25.3 </v>
      </c>
      <c r="B344" s="46" t="str">
        <f>Orçamento!D327</f>
        <v>PLANTIO DE ÁRVORE ORNAMENTAL COM ALTURA DE MUDA MAIOR QUE 2,00 M E MENOR OU IGUAL A 4,00 M. AF_05/2018</v>
      </c>
      <c r="C344" s="41" t="str">
        <f>Orçamento!E327</f>
        <v>UN</v>
      </c>
      <c r="D344" s="42"/>
      <c r="E344" s="43">
        <f>Orçamento!H327</f>
        <v>271.86</v>
      </c>
      <c r="F344" s="43">
        <f>Orçamento!F327</f>
        <v>6</v>
      </c>
      <c r="G344" s="42"/>
      <c r="H344" s="42"/>
      <c r="I344" s="55">
        <f t="shared" si="24"/>
        <v>1631.16</v>
      </c>
      <c r="J344" s="55"/>
      <c r="K344" s="55"/>
      <c r="L344" s="44">
        <f t="shared" ref="L344:L371" si="25">K344/I344</f>
        <v>0</v>
      </c>
    </row>
    <row r="345" spans="1:12" x14ac:dyDescent="0.25">
      <c r="A345" s="41" t="str">
        <f>Orçamento!A328</f>
        <v xml:space="preserve"> 25.4 </v>
      </c>
      <c r="B345" s="46" t="str">
        <f>Orçamento!D328</f>
        <v>PLANTIO DE PALMEIRA COM ALTURA DE MUDA MENOR OU IGUAL A 2,00 M. AF_05/2018</v>
      </c>
      <c r="C345" s="41" t="str">
        <f>Orçamento!E328</f>
        <v>UN</v>
      </c>
      <c r="D345" s="42"/>
      <c r="E345" s="43">
        <f>Orçamento!H328</f>
        <v>487.51</v>
      </c>
      <c r="F345" s="43">
        <f>Orçamento!F328</f>
        <v>6</v>
      </c>
      <c r="G345" s="42"/>
      <c r="H345" s="42"/>
      <c r="I345" s="55">
        <f t="shared" si="24"/>
        <v>2925.06</v>
      </c>
      <c r="J345" s="55"/>
      <c r="K345" s="55"/>
      <c r="L345" s="44">
        <f t="shared" si="25"/>
        <v>0</v>
      </c>
    </row>
    <row r="346" spans="1:12" x14ac:dyDescent="0.25">
      <c r="A346" s="41" t="str">
        <f>Orçamento!A329</f>
        <v xml:space="preserve"> 25.5 </v>
      </c>
      <c r="B346" s="46" t="str">
        <f>Orçamento!D329</f>
        <v>PLANTIO DE ARBUSTO OU  CERCA VIVA. AF_05/2018</v>
      </c>
      <c r="C346" s="41" t="str">
        <f>Orçamento!E329</f>
        <v>UN</v>
      </c>
      <c r="D346" s="42"/>
      <c r="E346" s="43">
        <f>Orçamento!H329</f>
        <v>103.29</v>
      </c>
      <c r="F346" s="43">
        <f>Orçamento!F329</f>
        <v>20</v>
      </c>
      <c r="G346" s="42"/>
      <c r="H346" s="42"/>
      <c r="I346" s="55">
        <f t="shared" si="24"/>
        <v>2065.8000000000002</v>
      </c>
      <c r="J346" s="55"/>
      <c r="K346" s="55"/>
      <c r="L346" s="44">
        <f t="shared" si="25"/>
        <v>0</v>
      </c>
    </row>
    <row r="347" spans="1:12" x14ac:dyDescent="0.25">
      <c r="A347" s="41" t="str">
        <f>Orçamento!A330</f>
        <v xml:space="preserve"> 25.6 </v>
      </c>
      <c r="B347" s="46" t="str">
        <f>Orçamento!D330</f>
        <v>PLANTIO DE GRAMA ESMERALDA OU SÃO CARLOS OU CURITIBANA, EM PLACAS. AF_05/2022</v>
      </c>
      <c r="C347" s="41" t="str">
        <f>Orçamento!E330</f>
        <v>m²</v>
      </c>
      <c r="D347" s="42"/>
      <c r="E347" s="43">
        <f>Orçamento!H330</f>
        <v>21.51</v>
      </c>
      <c r="F347" s="43">
        <f>Orçamento!F330</f>
        <v>107.57</v>
      </c>
      <c r="G347" s="42"/>
      <c r="H347" s="42"/>
      <c r="I347" s="55">
        <f t="shared" si="24"/>
        <v>2313.8307</v>
      </c>
      <c r="J347" s="55"/>
      <c r="K347" s="55"/>
      <c r="L347" s="44">
        <f t="shared" si="25"/>
        <v>0</v>
      </c>
    </row>
    <row r="348" spans="1:12" x14ac:dyDescent="0.25">
      <c r="A348" s="41" t="str">
        <f>Orçamento!A331</f>
        <v xml:space="preserve"> 25.7 </v>
      </c>
      <c r="B348" s="46" t="str">
        <f>Orçamento!D331</f>
        <v>PLANTIO DE FORRAÇÃO. AF_05/2018</v>
      </c>
      <c r="C348" s="41" t="str">
        <f>Orçamento!E331</f>
        <v>m²</v>
      </c>
      <c r="D348" s="42"/>
      <c r="E348" s="43">
        <f>Orçamento!H331</f>
        <v>146.44999999999999</v>
      </c>
      <c r="F348" s="43">
        <f>Orçamento!F331</f>
        <v>11.84</v>
      </c>
      <c r="G348" s="42"/>
      <c r="H348" s="42"/>
      <c r="I348" s="55">
        <f t="shared" si="24"/>
        <v>1733.9679999999998</v>
      </c>
      <c r="J348" s="55"/>
      <c r="K348" s="55"/>
      <c r="L348" s="44">
        <f t="shared" si="25"/>
        <v>0</v>
      </c>
    </row>
    <row r="349" spans="1:12" ht="25.5" x14ac:dyDescent="0.25">
      <c r="A349" s="41" t="str">
        <f>Orçamento!A332</f>
        <v xml:space="preserve"> 25.8 </v>
      </c>
      <c r="B349" s="46" t="str">
        <f>Orçamento!D332</f>
        <v>Guarda-corpo em tubo de aço inox ø=1 1/2", duplo, com montantes e fechamento em tubo inox ø=1 1/2", h=96cm, c/acabamento polido, p/fixação em piso</v>
      </c>
      <c r="C349" s="41" t="str">
        <f>Orçamento!E332</f>
        <v>m</v>
      </c>
      <c r="D349" s="42"/>
      <c r="E349" s="43">
        <f>Orçamento!H332</f>
        <v>833.94</v>
      </c>
      <c r="F349" s="43">
        <f>Orçamento!F332</f>
        <v>53.3</v>
      </c>
      <c r="G349" s="42"/>
      <c r="H349" s="42"/>
      <c r="I349" s="55">
        <f t="shared" si="24"/>
        <v>44449.002</v>
      </c>
      <c r="J349" s="55"/>
      <c r="K349" s="55"/>
      <c r="L349" s="44">
        <f t="shared" si="25"/>
        <v>0</v>
      </c>
    </row>
    <row r="350" spans="1:12" ht="25.5" x14ac:dyDescent="0.25">
      <c r="A350" s="41" t="str">
        <f>Orçamento!A333</f>
        <v xml:space="preserve"> 25.9 </v>
      </c>
      <c r="B350" s="46" t="str">
        <f>Orçamento!D333</f>
        <v>GUARDA-CORPO PANORÂMICO COM PERFIS DE ALUMÍNIO E VIDRO LAMINADO 8 MM, FIXADO COM CHUMBADOR MECÂNICO. AF_04/2019_P</v>
      </c>
      <c r="C350" s="41" t="str">
        <f>Orçamento!E333</f>
        <v>M</v>
      </c>
      <c r="D350" s="42"/>
      <c r="E350" s="43">
        <f>Orçamento!H333</f>
        <v>1530.37</v>
      </c>
      <c r="F350" s="43">
        <f>Orçamento!F333</f>
        <v>26.81</v>
      </c>
      <c r="G350" s="42"/>
      <c r="H350" s="42"/>
      <c r="I350" s="55">
        <f t="shared" si="24"/>
        <v>41029.219699999994</v>
      </c>
      <c r="J350" s="55"/>
      <c r="K350" s="55"/>
      <c r="L350" s="44">
        <f t="shared" si="25"/>
        <v>0</v>
      </c>
    </row>
    <row r="351" spans="1:12" x14ac:dyDescent="0.25">
      <c r="A351" s="41" t="str">
        <f>Orçamento!A334</f>
        <v xml:space="preserve"> 25.10 </v>
      </c>
      <c r="B351" s="46" t="str">
        <f>Orçamento!D334</f>
        <v>Limpeza geral</v>
      </c>
      <c r="C351" s="41" t="str">
        <f>Orçamento!E334</f>
        <v>m²</v>
      </c>
      <c r="D351" s="42"/>
      <c r="E351" s="43">
        <f>Orçamento!H334</f>
        <v>2.5099999999999998</v>
      </c>
      <c r="F351" s="43">
        <f>Orçamento!F334</f>
        <v>3700</v>
      </c>
      <c r="G351" s="42"/>
      <c r="H351" s="42"/>
      <c r="I351" s="55">
        <f t="shared" si="24"/>
        <v>9287</v>
      </c>
      <c r="J351" s="55"/>
      <c r="K351" s="55"/>
      <c r="L351" s="44">
        <f t="shared" si="25"/>
        <v>0</v>
      </c>
    </row>
    <row r="352" spans="1:12" x14ac:dyDescent="0.25">
      <c r="A352" s="41" t="str">
        <f>Orçamento!A335</f>
        <v xml:space="preserve"> 25.11 </v>
      </c>
      <c r="B352" s="46" t="str">
        <f>Orçamento!D335</f>
        <v>Escada marinheiro em barra chata de ferro 2" x 5/16"</v>
      </c>
      <c r="C352" s="41" t="str">
        <f>Orçamento!E335</f>
        <v>m</v>
      </c>
      <c r="D352" s="42"/>
      <c r="E352" s="43">
        <f>Orçamento!H335</f>
        <v>435.32</v>
      </c>
      <c r="F352" s="43">
        <f>Orçamento!F335</f>
        <v>38</v>
      </c>
      <c r="G352" s="42"/>
      <c r="H352" s="42"/>
      <c r="I352" s="55">
        <f t="shared" si="24"/>
        <v>16542.16</v>
      </c>
      <c r="J352" s="55"/>
      <c r="K352" s="55"/>
      <c r="L352" s="44">
        <f t="shared" si="25"/>
        <v>0</v>
      </c>
    </row>
    <row r="353" spans="1:12" ht="51" x14ac:dyDescent="0.25">
      <c r="A353" s="41" t="str">
        <f>Orçamento!A336</f>
        <v xml:space="preserve"> 25.12 </v>
      </c>
      <c r="B353" s="46" t="str">
        <f>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Orçamento!E336</f>
        <v>m²</v>
      </c>
      <c r="D353" s="42"/>
      <c r="E353" s="43">
        <f>Orçamento!H336</f>
        <v>723.04</v>
      </c>
      <c r="F353" s="43">
        <f>Orçamento!F336</f>
        <v>54.2</v>
      </c>
      <c r="G353" s="42"/>
      <c r="H353" s="42"/>
      <c r="I353" s="55">
        <f t="shared" si="24"/>
        <v>39188.768000000004</v>
      </c>
      <c r="J353" s="55"/>
      <c r="K353" s="55"/>
      <c r="L353" s="44">
        <f t="shared" si="25"/>
        <v>0</v>
      </c>
    </row>
    <row r="354" spans="1:12" x14ac:dyDescent="0.25">
      <c r="A354" s="39">
        <v>26</v>
      </c>
      <c r="B354" s="45" t="s">
        <v>1047</v>
      </c>
      <c r="C354" s="39"/>
      <c r="D354" s="47"/>
      <c r="E354" s="48"/>
      <c r="F354" s="48"/>
      <c r="G354" s="47"/>
      <c r="H354" s="47"/>
      <c r="I354" s="56"/>
      <c r="J354" s="56"/>
      <c r="K354" s="56"/>
      <c r="L354" s="49"/>
    </row>
    <row r="355" spans="1:12" ht="25.5" x14ac:dyDescent="0.25">
      <c r="A355" s="41" t="s">
        <v>1086</v>
      </c>
      <c r="B355" s="111" t="s">
        <v>1073</v>
      </c>
      <c r="C355" s="112" t="s">
        <v>1053</v>
      </c>
      <c r="D355" s="42"/>
      <c r="E355" s="43">
        <v>506.60999999999996</v>
      </c>
      <c r="F355" s="43">
        <v>58.121700000000004</v>
      </c>
      <c r="G355" s="43">
        <f>Plan1!H36</f>
        <v>43.209599999999995</v>
      </c>
      <c r="H355" s="43">
        <f>G355</f>
        <v>43.209599999999995</v>
      </c>
      <c r="I355" s="55">
        <f>F355*E355</f>
        <v>29445.034436999998</v>
      </c>
      <c r="J355" s="55">
        <f>E355*G355</f>
        <v>21890.415455999995</v>
      </c>
      <c r="K355" s="55">
        <f>E355*H355</f>
        <v>21890.415455999995</v>
      </c>
      <c r="L355" s="44">
        <f t="shared" si="25"/>
        <v>0.74343317556093491</v>
      </c>
    </row>
    <row r="356" spans="1:12" ht="38.25" x14ac:dyDescent="0.25">
      <c r="A356" s="41" t="s">
        <v>1087</v>
      </c>
      <c r="B356" s="111" t="s">
        <v>1074</v>
      </c>
      <c r="C356" s="112" t="s">
        <v>1053</v>
      </c>
      <c r="D356" s="42"/>
      <c r="E356" s="43">
        <v>7.33</v>
      </c>
      <c r="F356" s="43">
        <v>58.73</v>
      </c>
      <c r="G356" s="43">
        <f>Plan1!H49</f>
        <v>58.73</v>
      </c>
      <c r="H356" s="43">
        <f t="shared" ref="H356:H371" si="26">G356</f>
        <v>58.73</v>
      </c>
      <c r="I356" s="55">
        <f t="shared" ref="I356:I371" si="27">F356*E356</f>
        <v>430.49089999999995</v>
      </c>
      <c r="J356" s="55">
        <f t="shared" ref="J356:J371" si="28">E356*G356</f>
        <v>430.49089999999995</v>
      </c>
      <c r="K356" s="55">
        <f t="shared" ref="K356:K371" si="29">E356*H356</f>
        <v>430.49089999999995</v>
      </c>
      <c r="L356" s="44">
        <f t="shared" si="25"/>
        <v>1</v>
      </c>
    </row>
    <row r="357" spans="1:12" x14ac:dyDescent="0.25">
      <c r="A357" s="41" t="s">
        <v>1088</v>
      </c>
      <c r="B357" s="113" t="s">
        <v>106</v>
      </c>
      <c r="C357" s="114" t="s">
        <v>1053</v>
      </c>
      <c r="D357" s="42"/>
      <c r="E357" s="43">
        <v>27.73</v>
      </c>
      <c r="F357" s="43">
        <v>20.239999999999998</v>
      </c>
      <c r="G357" s="43">
        <f>Plan1!H58</f>
        <v>13.03</v>
      </c>
      <c r="H357" s="43">
        <f t="shared" si="26"/>
        <v>13.03</v>
      </c>
      <c r="I357" s="55">
        <f t="shared" si="27"/>
        <v>561.25519999999995</v>
      </c>
      <c r="J357" s="55">
        <f t="shared" si="28"/>
        <v>361.32189999999997</v>
      </c>
      <c r="K357" s="55">
        <f t="shared" si="29"/>
        <v>361.32189999999997</v>
      </c>
      <c r="L357" s="44">
        <f t="shared" si="25"/>
        <v>0.64377470355731226</v>
      </c>
    </row>
    <row r="358" spans="1:12" ht="25.5" x14ac:dyDescent="0.25">
      <c r="A358" s="41" t="s">
        <v>1089</v>
      </c>
      <c r="B358" s="111" t="s">
        <v>1075</v>
      </c>
      <c r="C358" s="112" t="s">
        <v>1054</v>
      </c>
      <c r="D358" s="42"/>
      <c r="E358" s="43">
        <v>5.1899999999999995</v>
      </c>
      <c r="F358" s="43">
        <v>84.24</v>
      </c>
      <c r="G358" s="43">
        <f>Plan1!H66</f>
        <v>84.24</v>
      </c>
      <c r="H358" s="43">
        <f t="shared" si="26"/>
        <v>84.24</v>
      </c>
      <c r="I358" s="55">
        <f t="shared" si="27"/>
        <v>437.20559999999995</v>
      </c>
      <c r="J358" s="55">
        <f t="shared" si="28"/>
        <v>437.20559999999995</v>
      </c>
      <c r="K358" s="55">
        <f t="shared" si="29"/>
        <v>437.20559999999995</v>
      </c>
      <c r="L358" s="44">
        <f t="shared" si="25"/>
        <v>1</v>
      </c>
    </row>
    <row r="359" spans="1:12" ht="25.5" x14ac:dyDescent="0.25">
      <c r="A359" s="41" t="s">
        <v>1090</v>
      </c>
      <c r="B359" s="111" t="s">
        <v>1076</v>
      </c>
      <c r="C359" s="112" t="s">
        <v>1054</v>
      </c>
      <c r="D359" s="42"/>
      <c r="E359" s="43">
        <v>30.78</v>
      </c>
      <c r="F359" s="43">
        <v>37.44</v>
      </c>
      <c r="G359" s="43">
        <f>Plan1!H74</f>
        <v>37.44</v>
      </c>
      <c r="H359" s="43">
        <f t="shared" si="26"/>
        <v>37.44</v>
      </c>
      <c r="I359" s="55">
        <f t="shared" si="27"/>
        <v>1152.4032</v>
      </c>
      <c r="J359" s="55">
        <f t="shared" si="28"/>
        <v>1152.4032</v>
      </c>
      <c r="K359" s="55">
        <f t="shared" si="29"/>
        <v>1152.4032</v>
      </c>
      <c r="L359" s="44">
        <f t="shared" si="25"/>
        <v>1</v>
      </c>
    </row>
    <row r="360" spans="1:12" ht="25.5" x14ac:dyDescent="0.25">
      <c r="A360" s="41" t="s">
        <v>1091</v>
      </c>
      <c r="B360" s="111" t="s">
        <v>1103</v>
      </c>
      <c r="C360" s="112" t="s">
        <v>1054</v>
      </c>
      <c r="D360" s="42"/>
      <c r="E360" s="43">
        <v>120.51</v>
      </c>
      <c r="F360" s="43">
        <v>62.13</v>
      </c>
      <c r="G360" s="43">
        <f>Plan1!H82</f>
        <v>47.93</v>
      </c>
      <c r="H360" s="43">
        <f t="shared" si="26"/>
        <v>47.93</v>
      </c>
      <c r="I360" s="55">
        <f t="shared" si="27"/>
        <v>7487.2863000000007</v>
      </c>
      <c r="J360" s="55">
        <f t="shared" si="28"/>
        <v>5776.0443000000005</v>
      </c>
      <c r="K360" s="55">
        <f t="shared" si="29"/>
        <v>5776.0443000000005</v>
      </c>
      <c r="L360" s="44">
        <f t="shared" si="25"/>
        <v>0.77144696603895058</v>
      </c>
    </row>
    <row r="361" spans="1:12" ht="26.25" x14ac:dyDescent="0.25">
      <c r="A361" s="41" t="s">
        <v>1092</v>
      </c>
      <c r="B361" s="115" t="s">
        <v>202</v>
      </c>
      <c r="C361" s="114" t="s">
        <v>1054</v>
      </c>
      <c r="D361" s="42"/>
      <c r="E361" s="43">
        <v>78.73</v>
      </c>
      <c r="F361" s="43">
        <v>361.56</v>
      </c>
      <c r="G361" s="43">
        <f>Plan1!H88</f>
        <v>0</v>
      </c>
      <c r="H361" s="43">
        <f t="shared" si="26"/>
        <v>0</v>
      </c>
      <c r="I361" s="55">
        <f t="shared" si="27"/>
        <v>28465.6188</v>
      </c>
      <c r="J361" s="55">
        <f t="shared" si="28"/>
        <v>0</v>
      </c>
      <c r="K361" s="55">
        <f t="shared" si="29"/>
        <v>0</v>
      </c>
      <c r="L361" s="44">
        <f t="shared" si="25"/>
        <v>0</v>
      </c>
    </row>
    <row r="362" spans="1:12" ht="25.5" x14ac:dyDescent="0.25">
      <c r="A362" s="41" t="s">
        <v>1093</v>
      </c>
      <c r="B362" s="111" t="s">
        <v>1077</v>
      </c>
      <c r="C362" s="112" t="s">
        <v>1054</v>
      </c>
      <c r="D362" s="42"/>
      <c r="E362" s="43">
        <v>187.49</v>
      </c>
      <c r="F362" s="43">
        <v>62.4</v>
      </c>
      <c r="G362" s="43">
        <f>Plan1!H98</f>
        <v>62.4</v>
      </c>
      <c r="H362" s="43">
        <f t="shared" si="26"/>
        <v>62.4</v>
      </c>
      <c r="I362" s="55">
        <f t="shared" si="27"/>
        <v>11699.376</v>
      </c>
      <c r="J362" s="55">
        <f t="shared" si="28"/>
        <v>11699.376</v>
      </c>
      <c r="K362" s="55">
        <f t="shared" si="29"/>
        <v>11699.376</v>
      </c>
      <c r="L362" s="44">
        <f t="shared" si="25"/>
        <v>1</v>
      </c>
    </row>
    <row r="363" spans="1:12" ht="25.5" x14ac:dyDescent="0.25">
      <c r="A363" s="41" t="s">
        <v>1094</v>
      </c>
      <c r="B363" s="111" t="s">
        <v>1078</v>
      </c>
      <c r="C363" s="112" t="s">
        <v>1054</v>
      </c>
      <c r="D363" s="42"/>
      <c r="E363" s="43">
        <v>86.800000000000011</v>
      </c>
      <c r="F363" s="43">
        <v>52.5</v>
      </c>
      <c r="G363" s="43">
        <f>Plan1!H106</f>
        <v>0</v>
      </c>
      <c r="H363" s="43">
        <f t="shared" si="26"/>
        <v>0</v>
      </c>
      <c r="I363" s="55">
        <f t="shared" si="27"/>
        <v>4557.0000000000009</v>
      </c>
      <c r="J363" s="55">
        <f t="shared" si="28"/>
        <v>0</v>
      </c>
      <c r="K363" s="55">
        <f t="shared" si="29"/>
        <v>0</v>
      </c>
      <c r="L363" s="44">
        <f t="shared" si="25"/>
        <v>0</v>
      </c>
    </row>
    <row r="364" spans="1:12" ht="38.25" x14ac:dyDescent="0.25">
      <c r="A364" s="41" t="s">
        <v>1095</v>
      </c>
      <c r="B364" s="111" t="s">
        <v>1079</v>
      </c>
      <c r="C364" s="112" t="s">
        <v>1054</v>
      </c>
      <c r="D364" s="42"/>
      <c r="E364" s="43">
        <v>60.559999999999995</v>
      </c>
      <c r="F364" s="43">
        <v>151.36000000000001</v>
      </c>
      <c r="G364" s="43">
        <f>Plan1!H112</f>
        <v>33.04</v>
      </c>
      <c r="H364" s="43">
        <f t="shared" si="26"/>
        <v>33.04</v>
      </c>
      <c r="I364" s="55">
        <f t="shared" si="27"/>
        <v>9166.3616000000002</v>
      </c>
      <c r="J364" s="55">
        <f t="shared" si="28"/>
        <v>2000.9023999999997</v>
      </c>
      <c r="K364" s="55">
        <f t="shared" si="29"/>
        <v>2000.9023999999997</v>
      </c>
      <c r="L364" s="44">
        <f t="shared" si="25"/>
        <v>0.21828752642706128</v>
      </c>
    </row>
    <row r="365" spans="1:12" ht="25.5" x14ac:dyDescent="0.25">
      <c r="A365" s="41" t="s">
        <v>1096</v>
      </c>
      <c r="B365" s="111" t="s">
        <v>1080</v>
      </c>
      <c r="C365" s="112" t="s">
        <v>1054</v>
      </c>
      <c r="D365" s="42"/>
      <c r="E365" s="43">
        <v>90.710000000000008</v>
      </c>
      <c r="F365" s="43">
        <v>60.81</v>
      </c>
      <c r="G365" s="43">
        <f>Plan1!H127</f>
        <v>0</v>
      </c>
      <c r="H365" s="43">
        <f t="shared" si="26"/>
        <v>0</v>
      </c>
      <c r="I365" s="55">
        <f t="shared" si="27"/>
        <v>5516.0751000000009</v>
      </c>
      <c r="J365" s="55">
        <f t="shared" si="28"/>
        <v>0</v>
      </c>
      <c r="K365" s="55">
        <f t="shared" si="29"/>
        <v>0</v>
      </c>
      <c r="L365" s="44">
        <f t="shared" si="25"/>
        <v>0</v>
      </c>
    </row>
    <row r="366" spans="1:12" ht="25.5" x14ac:dyDescent="0.25">
      <c r="A366" s="41" t="s">
        <v>1097</v>
      </c>
      <c r="B366" s="111" t="s">
        <v>1081</v>
      </c>
      <c r="C366" s="112" t="s">
        <v>128</v>
      </c>
      <c r="D366" s="42"/>
      <c r="E366" s="43">
        <v>16.34</v>
      </c>
      <c r="F366" s="43">
        <v>442.42</v>
      </c>
      <c r="G366" s="43">
        <f>Plan1!H135</f>
        <v>169.65</v>
      </c>
      <c r="H366" s="43">
        <f t="shared" si="26"/>
        <v>169.65</v>
      </c>
      <c r="I366" s="55">
        <f t="shared" si="27"/>
        <v>7229.1428000000005</v>
      </c>
      <c r="J366" s="55">
        <f t="shared" si="28"/>
        <v>2772.0810000000001</v>
      </c>
      <c r="K366" s="55">
        <f t="shared" si="29"/>
        <v>2772.0810000000001</v>
      </c>
      <c r="L366" s="44">
        <f t="shared" si="25"/>
        <v>0.38345915645766465</v>
      </c>
    </row>
    <row r="367" spans="1:12" ht="25.5" x14ac:dyDescent="0.25">
      <c r="A367" s="41" t="s">
        <v>1098</v>
      </c>
      <c r="B367" s="111" t="s">
        <v>1082</v>
      </c>
      <c r="C367" s="112" t="s">
        <v>128</v>
      </c>
      <c r="D367" s="42"/>
      <c r="E367" s="43">
        <v>15.680000000000001</v>
      </c>
      <c r="F367" s="43">
        <v>611.6</v>
      </c>
      <c r="G367" s="43">
        <f>Plan1!H143</f>
        <v>611.6</v>
      </c>
      <c r="H367" s="43">
        <f t="shared" si="26"/>
        <v>611.6</v>
      </c>
      <c r="I367" s="55">
        <f t="shared" si="27"/>
        <v>9589.8880000000008</v>
      </c>
      <c r="J367" s="55">
        <f t="shared" si="28"/>
        <v>9589.8880000000008</v>
      </c>
      <c r="K367" s="55">
        <f t="shared" si="29"/>
        <v>9589.8880000000008</v>
      </c>
      <c r="L367" s="44">
        <f t="shared" si="25"/>
        <v>1</v>
      </c>
    </row>
    <row r="368" spans="1:12" ht="25.5" x14ac:dyDescent="0.25">
      <c r="A368" s="41" t="s">
        <v>1099</v>
      </c>
      <c r="B368" s="111" t="s">
        <v>1083</v>
      </c>
      <c r="C368" s="112" t="s">
        <v>128</v>
      </c>
      <c r="D368" s="42"/>
      <c r="E368" s="43">
        <v>14.28</v>
      </c>
      <c r="F368" s="43">
        <v>813.95</v>
      </c>
      <c r="G368" s="43">
        <f>Plan1!H149</f>
        <v>602.92999999999995</v>
      </c>
      <c r="H368" s="43">
        <f t="shared" si="26"/>
        <v>602.92999999999995</v>
      </c>
      <c r="I368" s="55">
        <f t="shared" si="27"/>
        <v>11623.206</v>
      </c>
      <c r="J368" s="55">
        <f t="shared" si="28"/>
        <v>8609.8403999999991</v>
      </c>
      <c r="K368" s="55">
        <f t="shared" si="29"/>
        <v>8609.8403999999991</v>
      </c>
      <c r="L368" s="44">
        <f t="shared" si="25"/>
        <v>0.74074574605319732</v>
      </c>
    </row>
    <row r="369" spans="1:12" ht="25.5" x14ac:dyDescent="0.25">
      <c r="A369" s="41" t="s">
        <v>1100</v>
      </c>
      <c r="B369" s="116" t="s">
        <v>1084</v>
      </c>
      <c r="C369" s="112" t="s">
        <v>1053</v>
      </c>
      <c r="D369" s="42"/>
      <c r="E369" s="43">
        <v>502.33000000000004</v>
      </c>
      <c r="F369" s="43">
        <v>24.86</v>
      </c>
      <c r="G369" s="43">
        <f>Plan1!H155</f>
        <v>13.92</v>
      </c>
      <c r="H369" s="43">
        <f t="shared" si="26"/>
        <v>13.92</v>
      </c>
      <c r="I369" s="55">
        <f t="shared" si="27"/>
        <v>12487.9238</v>
      </c>
      <c r="J369" s="55">
        <f t="shared" si="28"/>
        <v>6992.4336000000003</v>
      </c>
      <c r="K369" s="55">
        <f t="shared" si="29"/>
        <v>6992.4336000000003</v>
      </c>
      <c r="L369" s="44">
        <f t="shared" si="25"/>
        <v>0.55993563958165726</v>
      </c>
    </row>
    <row r="370" spans="1:12" ht="25.5" x14ac:dyDescent="0.25">
      <c r="A370" s="41" t="s">
        <v>1101</v>
      </c>
      <c r="B370" s="116" t="s">
        <v>1085</v>
      </c>
      <c r="C370" s="112" t="s">
        <v>1053</v>
      </c>
      <c r="D370" s="42"/>
      <c r="E370" s="43">
        <v>244.23</v>
      </c>
      <c r="F370" s="43">
        <v>24.86</v>
      </c>
      <c r="G370" s="43">
        <f>Plan1!H164</f>
        <v>13.92</v>
      </c>
      <c r="H370" s="43">
        <f t="shared" si="26"/>
        <v>13.92</v>
      </c>
      <c r="I370" s="55">
        <f t="shared" si="27"/>
        <v>6071.5577999999996</v>
      </c>
      <c r="J370" s="55">
        <f t="shared" si="28"/>
        <v>3399.6815999999999</v>
      </c>
      <c r="K370" s="55">
        <f t="shared" si="29"/>
        <v>3399.6815999999999</v>
      </c>
      <c r="L370" s="44">
        <f t="shared" si="25"/>
        <v>0.55993563958165726</v>
      </c>
    </row>
    <row r="371" spans="1:12" x14ac:dyDescent="0.25">
      <c r="A371" s="41" t="s">
        <v>1102</v>
      </c>
      <c r="B371" s="117" t="s">
        <v>1104</v>
      </c>
      <c r="C371" s="112" t="s">
        <v>1054</v>
      </c>
      <c r="D371" s="42"/>
      <c r="E371" s="43">
        <v>341.69409999999999</v>
      </c>
      <c r="F371" s="43">
        <v>258.83999999999997</v>
      </c>
      <c r="G371" s="42">
        <v>0</v>
      </c>
      <c r="H371" s="43">
        <f t="shared" si="26"/>
        <v>0</v>
      </c>
      <c r="I371" s="55">
        <f t="shared" si="27"/>
        <v>88444.100843999986</v>
      </c>
      <c r="J371" s="55">
        <f t="shared" si="28"/>
        <v>0</v>
      </c>
      <c r="K371" s="55">
        <f t="shared" si="29"/>
        <v>0</v>
      </c>
      <c r="L371" s="44">
        <f t="shared" si="25"/>
        <v>0</v>
      </c>
    </row>
    <row r="372" spans="1:12" x14ac:dyDescent="0.25">
      <c r="A372" s="41"/>
      <c r="B372" s="46"/>
      <c r="C372" s="41"/>
      <c r="D372" s="42"/>
      <c r="E372" s="43"/>
      <c r="F372" s="43"/>
      <c r="G372" s="42"/>
      <c r="H372" s="42"/>
      <c r="I372" s="55"/>
      <c r="J372" s="55"/>
      <c r="K372" s="55"/>
      <c r="L372" s="44"/>
    </row>
    <row r="373" spans="1:12" x14ac:dyDescent="0.25">
      <c r="A373" s="50"/>
      <c r="B373" s="51"/>
      <c r="C373" s="50"/>
      <c r="D373" s="50"/>
      <c r="E373" s="52"/>
      <c r="F373" s="52"/>
      <c r="G373" s="50"/>
      <c r="H373" s="50"/>
      <c r="I373" s="57">
        <f>SUM(I19:I371)</f>
        <v>10383143.213076012</v>
      </c>
      <c r="J373" s="57">
        <f>SUM(J19:J371)</f>
        <v>274620.69233799999</v>
      </c>
      <c r="K373" s="57">
        <f>SUM(K19:K371)</f>
        <v>274620.69233799999</v>
      </c>
      <c r="L373" s="50"/>
    </row>
    <row r="374" spans="1:12" x14ac:dyDescent="0.25">
      <c r="B374" s="53"/>
      <c r="F374" s="54"/>
    </row>
    <row r="375" spans="1:12" x14ac:dyDescent="0.25">
      <c r="B375" s="53"/>
      <c r="F375" s="54"/>
    </row>
    <row r="376" spans="1:12" ht="25.5" customHeight="1" x14ac:dyDescent="0.25">
      <c r="B376" s="204" t="s">
        <v>1113</v>
      </c>
      <c r="C376" s="204"/>
      <c r="D376" s="204"/>
      <c r="E376" s="204"/>
      <c r="F376" s="204"/>
      <c r="G376" s="204"/>
      <c r="H376" s="204"/>
      <c r="I376" s="204"/>
      <c r="J376" s="204"/>
      <c r="K376" s="204"/>
      <c r="L376" s="204"/>
    </row>
    <row r="377" spans="1:12" x14ac:dyDescent="0.25">
      <c r="B377" s="53"/>
    </row>
    <row r="378" spans="1:12" x14ac:dyDescent="0.25">
      <c r="B378" s="53"/>
    </row>
    <row r="379" spans="1:12" x14ac:dyDescent="0.25">
      <c r="B379" s="53"/>
    </row>
    <row r="380" spans="1:12" x14ac:dyDescent="0.25">
      <c r="B380" s="53"/>
    </row>
    <row r="381" spans="1:12" x14ac:dyDescent="0.25">
      <c r="B381" s="53"/>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32">
    <mergeCell ref="B376:L376"/>
    <mergeCell ref="A15:L15"/>
    <mergeCell ref="A16:A17"/>
    <mergeCell ref="B16:B17"/>
    <mergeCell ref="C16:C17"/>
    <mergeCell ref="D16:D17"/>
    <mergeCell ref="F16:H16"/>
    <mergeCell ref="I16:K16"/>
    <mergeCell ref="L16:L17"/>
    <mergeCell ref="A12:B12"/>
    <mergeCell ref="C12:F12"/>
    <mergeCell ref="G12:H12"/>
    <mergeCell ref="I12:J12"/>
    <mergeCell ref="K12:L12"/>
    <mergeCell ref="A13:B14"/>
    <mergeCell ref="C13:F14"/>
    <mergeCell ref="G13:H14"/>
    <mergeCell ref="I13:J14"/>
    <mergeCell ref="K13:L14"/>
    <mergeCell ref="L10:L11"/>
    <mergeCell ref="C1:L5"/>
    <mergeCell ref="A6:F6"/>
    <mergeCell ref="G6:J6"/>
    <mergeCell ref="A7:F8"/>
    <mergeCell ref="G7:J8"/>
    <mergeCell ref="K7:K8"/>
    <mergeCell ref="L7:L8"/>
    <mergeCell ref="A9:F9"/>
    <mergeCell ref="G9:J9"/>
    <mergeCell ref="A10:F11"/>
    <mergeCell ref="G10:J11"/>
    <mergeCell ref="K10:K11"/>
  </mergeCells>
  <printOptions horizontalCentered="1"/>
  <pageMargins left="0.31496062992125984" right="0.31496062992125984" top="0.78740157480314965" bottom="0.78740157480314965" header="0.31496062992125984" footer="0.31496062992125984"/>
  <pageSetup paperSize="9" scale="70" orientation="landscape" horizontalDpi="0" verticalDpi="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4"/>
  <sheetViews>
    <sheetView topLeftCell="A10" zoomScaleNormal="100" workbookViewId="0">
      <selection activeCell="B12" sqref="B12:M12"/>
    </sheetView>
  </sheetViews>
  <sheetFormatPr defaultRowHeight="15" x14ac:dyDescent="0.25"/>
  <cols>
    <col min="1" max="1" width="8.85546875"/>
    <col min="2" max="2" width="41.28515625" customWidth="1"/>
    <col min="3" max="11" width="8.85546875"/>
    <col min="12" max="12" width="9.28515625" bestFit="1" customWidth="1"/>
    <col min="13" max="13" width="8.85546875"/>
  </cols>
  <sheetData>
    <row r="1" spans="1:13" ht="16.149999999999999" customHeight="1" thickBot="1" x14ac:dyDescent="0.3">
      <c r="A1" s="212"/>
      <c r="B1" s="213"/>
      <c r="C1" s="218" t="s">
        <v>1006</v>
      </c>
      <c r="D1" s="219"/>
      <c r="E1" s="219"/>
      <c r="F1" s="219"/>
      <c r="G1" s="219"/>
      <c r="H1" s="219"/>
      <c r="I1" s="219"/>
      <c r="J1" s="219"/>
      <c r="K1" s="219"/>
      <c r="L1" s="219"/>
      <c r="M1" s="220"/>
    </row>
    <row r="2" spans="1:13" x14ac:dyDescent="0.25">
      <c r="A2" s="214"/>
      <c r="B2" s="215"/>
      <c r="C2" s="221" t="s">
        <v>1007</v>
      </c>
      <c r="D2" s="222"/>
      <c r="E2" s="222"/>
      <c r="F2" s="222"/>
      <c r="G2" s="223"/>
      <c r="H2" s="221" t="s">
        <v>1008</v>
      </c>
      <c r="I2" s="222"/>
      <c r="J2" s="222"/>
      <c r="K2" s="222"/>
      <c r="L2" s="222"/>
      <c r="M2" s="223"/>
    </row>
    <row r="3" spans="1:13" ht="15" customHeight="1" thickBot="1" x14ac:dyDescent="0.3">
      <c r="A3" s="214"/>
      <c r="B3" s="215"/>
      <c r="C3" s="224" t="s">
        <v>64</v>
      </c>
      <c r="D3" s="225"/>
      <c r="E3" s="225"/>
      <c r="F3" s="225"/>
      <c r="G3" s="226"/>
      <c r="H3" s="227" t="s">
        <v>1009</v>
      </c>
      <c r="I3" s="228"/>
      <c r="J3" s="228"/>
      <c r="K3" s="228"/>
      <c r="L3" s="228"/>
      <c r="M3" s="229"/>
    </row>
    <row r="4" spans="1:13" x14ac:dyDescent="0.25">
      <c r="A4" s="214"/>
      <c r="B4" s="215"/>
      <c r="C4" s="221" t="s">
        <v>1010</v>
      </c>
      <c r="D4" s="222"/>
      <c r="E4" s="222"/>
      <c r="F4" s="222"/>
      <c r="G4" s="223"/>
      <c r="H4" s="230" t="s">
        <v>1011</v>
      </c>
      <c r="I4" s="231"/>
      <c r="J4" s="231"/>
      <c r="K4" s="232"/>
      <c r="L4" s="58"/>
      <c r="M4" s="59"/>
    </row>
    <row r="5" spans="1:13" ht="15" customHeight="1" thickBot="1" x14ac:dyDescent="0.3">
      <c r="A5" s="216"/>
      <c r="B5" s="217"/>
      <c r="C5" s="233" t="s">
        <v>1005</v>
      </c>
      <c r="D5" s="234"/>
      <c r="E5" s="234"/>
      <c r="F5" s="234"/>
      <c r="G5" s="235"/>
      <c r="H5" s="236"/>
      <c r="I5" s="237"/>
      <c r="J5" s="237"/>
      <c r="K5" s="238"/>
      <c r="L5" s="60"/>
      <c r="M5" s="61"/>
    </row>
    <row r="6" spans="1:13" ht="15.75" thickBot="1" x14ac:dyDescent="0.3">
      <c r="A6" s="62"/>
      <c r="B6" s="63"/>
      <c r="C6" s="63"/>
      <c r="D6" s="63"/>
      <c r="E6" s="63"/>
      <c r="F6" s="63"/>
      <c r="G6" s="63"/>
      <c r="H6" s="63"/>
      <c r="I6" s="63"/>
      <c r="J6" s="63"/>
      <c r="K6" s="63"/>
      <c r="L6" s="63"/>
      <c r="M6" s="64"/>
    </row>
    <row r="7" spans="1:13" x14ac:dyDescent="0.25">
      <c r="A7" s="239" t="s">
        <v>7</v>
      </c>
      <c r="B7" s="241" t="s">
        <v>8</v>
      </c>
      <c r="C7" s="242"/>
      <c r="D7" s="245" t="s">
        <v>1012</v>
      </c>
      <c r="E7" s="247" t="s">
        <v>1013</v>
      </c>
      <c r="F7" s="248"/>
      <c r="G7" s="248"/>
      <c r="H7" s="248"/>
      <c r="I7" s="248"/>
      <c r="J7" s="249"/>
      <c r="K7" s="247" t="s">
        <v>1014</v>
      </c>
      <c r="L7" s="249"/>
      <c r="M7" s="210" t="s">
        <v>1015</v>
      </c>
    </row>
    <row r="8" spans="1:13" ht="15.75" thickBot="1" x14ac:dyDescent="0.3">
      <c r="A8" s="240"/>
      <c r="B8" s="243"/>
      <c r="C8" s="244"/>
      <c r="D8" s="246"/>
      <c r="E8" s="65" t="s">
        <v>1016</v>
      </c>
      <c r="F8" s="65" t="s">
        <v>1017</v>
      </c>
      <c r="G8" s="65" t="s">
        <v>1018</v>
      </c>
      <c r="H8" s="65" t="s">
        <v>1019</v>
      </c>
      <c r="I8" s="65" t="s">
        <v>1020</v>
      </c>
      <c r="J8" s="65" t="s">
        <v>1021</v>
      </c>
      <c r="K8" s="65" t="s">
        <v>1022</v>
      </c>
      <c r="L8" s="65" t="s">
        <v>9</v>
      </c>
      <c r="M8" s="211"/>
    </row>
    <row r="9" spans="1:13" x14ac:dyDescent="0.25">
      <c r="A9" s="66"/>
      <c r="B9" s="66"/>
      <c r="C9" s="66"/>
      <c r="D9" s="66"/>
      <c r="E9" s="66"/>
      <c r="F9" s="66"/>
      <c r="G9" s="66"/>
      <c r="H9" s="66"/>
      <c r="I9" s="66"/>
      <c r="J9" s="66"/>
      <c r="K9" s="66"/>
      <c r="L9" s="66"/>
      <c r="M9" s="66"/>
    </row>
    <row r="10" spans="1:13" x14ac:dyDescent="0.25">
      <c r="A10" s="67" t="str">
        <f>BM_01!A18</f>
        <v xml:space="preserve"> 1 </v>
      </c>
      <c r="B10" s="253" t="str">
        <f>BM_01!B18</f>
        <v>SERVIÇOS PRELIMINARES</v>
      </c>
      <c r="C10" s="254"/>
      <c r="D10" s="254"/>
      <c r="E10" s="254"/>
      <c r="F10" s="254"/>
      <c r="G10" s="254"/>
      <c r="H10" s="254"/>
      <c r="I10" s="254"/>
      <c r="J10" s="254"/>
      <c r="K10" s="254"/>
      <c r="L10" s="254"/>
      <c r="M10" s="255"/>
    </row>
    <row r="11" spans="1:13" x14ac:dyDescent="0.25">
      <c r="A11" s="68"/>
      <c r="B11" s="68"/>
      <c r="C11" s="68"/>
      <c r="D11" s="68"/>
      <c r="E11" s="68"/>
      <c r="F11" s="68"/>
      <c r="G11" s="68"/>
      <c r="H11" s="68"/>
      <c r="I11" s="68"/>
      <c r="J11" s="68"/>
      <c r="K11" s="68"/>
      <c r="L11" s="68"/>
      <c r="M11" s="68"/>
    </row>
    <row r="12" spans="1:13" ht="21.6" customHeight="1" x14ac:dyDescent="0.25">
      <c r="A12" s="69" t="str">
        <f>BM_01!A19</f>
        <v xml:space="preserve"> 1.1 </v>
      </c>
      <c r="B12" s="250" t="str">
        <f>BM_01!B19</f>
        <v>PLACA DE OBRA (PARA CONSTRUCAO CIVIL) EM CHAPA GALVANIZADA *N. 22*, ADESIVADA, DE *2,4 X 1,2* M (SEM POSTES PARA FIXACAO)</v>
      </c>
      <c r="C12" s="251"/>
      <c r="D12" s="251"/>
      <c r="E12" s="251"/>
      <c r="F12" s="251"/>
      <c r="G12" s="251"/>
      <c r="H12" s="251"/>
      <c r="I12" s="251"/>
      <c r="J12" s="251"/>
      <c r="K12" s="251"/>
      <c r="L12" s="251"/>
      <c r="M12" s="252"/>
    </row>
    <row r="13" spans="1:13" x14ac:dyDescent="0.25">
      <c r="K13" s="76" t="s">
        <v>1033</v>
      </c>
      <c r="L13" s="77">
        <f>L14</f>
        <v>6</v>
      </c>
    </row>
    <row r="14" spans="1:13" x14ac:dyDescent="0.25">
      <c r="B14" s="72"/>
      <c r="C14" s="72"/>
      <c r="D14" s="72">
        <v>1</v>
      </c>
      <c r="E14" s="72">
        <v>2</v>
      </c>
      <c r="F14" s="72"/>
      <c r="G14" s="72">
        <v>3</v>
      </c>
      <c r="H14" s="72"/>
      <c r="I14" s="72"/>
      <c r="J14" s="72"/>
      <c r="K14" s="72">
        <f>E14*G14</f>
        <v>6</v>
      </c>
      <c r="L14" s="72">
        <f>K14*D14</f>
        <v>6</v>
      </c>
      <c r="M14" s="72"/>
    </row>
    <row r="15" spans="1:13" x14ac:dyDescent="0.25">
      <c r="B15" s="72"/>
      <c r="C15" s="72"/>
      <c r="D15" s="72"/>
      <c r="E15" s="72"/>
      <c r="F15" s="72"/>
      <c r="G15" s="72"/>
      <c r="H15" s="72"/>
      <c r="I15" s="72"/>
      <c r="J15" s="72"/>
      <c r="K15" s="72"/>
      <c r="L15" s="72"/>
      <c r="M15" s="72"/>
    </row>
    <row r="16" spans="1:13" x14ac:dyDescent="0.25">
      <c r="A16" s="69" t="s">
        <v>1023</v>
      </c>
      <c r="B16" s="256" t="str">
        <f>BM_01!B20</f>
        <v>EXECUÇÃO DE ALMOXARIFADO EM CANTEIRO DE OBRA EM ALVENARIA, INCLUSO PRATELEIRAS. AF_02/2016</v>
      </c>
      <c r="C16" s="257"/>
      <c r="D16" s="257"/>
      <c r="E16" s="257"/>
      <c r="F16" s="257"/>
      <c r="G16" s="257"/>
      <c r="H16" s="257"/>
      <c r="I16" s="257"/>
      <c r="J16" s="257"/>
      <c r="K16" s="257"/>
      <c r="L16" s="257"/>
      <c r="M16" s="258"/>
    </row>
    <row r="17" spans="1:13" x14ac:dyDescent="0.25">
      <c r="B17" s="72"/>
      <c r="C17" s="72"/>
      <c r="D17" s="72"/>
      <c r="E17" s="72"/>
      <c r="F17" s="72"/>
      <c r="G17" s="72"/>
      <c r="H17" s="72"/>
      <c r="I17" s="72"/>
      <c r="J17" s="72"/>
      <c r="K17" s="78" t="s">
        <v>1033</v>
      </c>
      <c r="L17" s="78">
        <f>L18</f>
        <v>15</v>
      </c>
      <c r="M17" s="72"/>
    </row>
    <row r="18" spans="1:13" x14ac:dyDescent="0.25">
      <c r="B18" s="72"/>
      <c r="C18" s="72"/>
      <c r="D18" s="72">
        <v>1</v>
      </c>
      <c r="E18" s="72">
        <v>3</v>
      </c>
      <c r="F18" s="72"/>
      <c r="G18" s="72">
        <v>5</v>
      </c>
      <c r="H18" s="72"/>
      <c r="I18" s="72"/>
      <c r="J18" s="72"/>
      <c r="K18" s="72">
        <f>E18*G18</f>
        <v>15</v>
      </c>
      <c r="L18" s="72">
        <f>K18*D18</f>
        <v>15</v>
      </c>
      <c r="M18" s="72"/>
    </row>
    <row r="19" spans="1:13" x14ac:dyDescent="0.25">
      <c r="B19" s="72"/>
      <c r="C19" s="72"/>
      <c r="D19" s="72"/>
      <c r="E19" s="72"/>
      <c r="F19" s="72"/>
      <c r="G19" s="72"/>
      <c r="H19" s="72"/>
      <c r="I19" s="72"/>
      <c r="J19" s="72"/>
      <c r="K19" s="72"/>
      <c r="L19" s="72"/>
      <c r="M19" s="72"/>
    </row>
    <row r="20" spans="1:13" x14ac:dyDescent="0.25">
      <c r="A20" s="69" t="s">
        <v>1024</v>
      </c>
      <c r="B20" s="256" t="str">
        <f>BM_01!B21</f>
        <v>EXECUÇÃO DE ESCRITÓRIO EM CANTEIRO DE OBRA EM ALVENARIA, NÃO INCLUSO MOBILIÁRIO E EQUIPAMENTOS. AF_02/2016</v>
      </c>
      <c r="C20" s="257"/>
      <c r="D20" s="257"/>
      <c r="E20" s="257"/>
      <c r="F20" s="257"/>
      <c r="G20" s="257"/>
      <c r="H20" s="257"/>
      <c r="I20" s="257"/>
      <c r="J20" s="257"/>
      <c r="K20" s="257"/>
      <c r="L20" s="257"/>
      <c r="M20" s="258"/>
    </row>
    <row r="21" spans="1:13" x14ac:dyDescent="0.25">
      <c r="B21" s="72"/>
      <c r="C21" s="72"/>
      <c r="D21" s="72"/>
      <c r="E21" s="72"/>
      <c r="F21" s="72"/>
      <c r="G21" s="72"/>
      <c r="H21" s="72"/>
      <c r="I21" s="72"/>
      <c r="J21" s="72"/>
      <c r="K21" s="78" t="s">
        <v>1033</v>
      </c>
      <c r="L21" s="78">
        <f>L22+L23</f>
        <v>10.7384</v>
      </c>
      <c r="M21" s="72"/>
    </row>
    <row r="22" spans="1:13" x14ac:dyDescent="0.25">
      <c r="B22" s="72" t="s">
        <v>1031</v>
      </c>
      <c r="C22" s="72"/>
      <c r="D22" s="72">
        <v>1</v>
      </c>
      <c r="E22" s="72">
        <v>2.91</v>
      </c>
      <c r="F22" s="72"/>
      <c r="G22" s="72">
        <v>2.94</v>
      </c>
      <c r="H22" s="72"/>
      <c r="I22" s="72"/>
      <c r="J22" s="72"/>
      <c r="K22" s="72">
        <f>E22*G22</f>
        <v>8.5554000000000006</v>
      </c>
      <c r="L22" s="72">
        <f>K22*D22</f>
        <v>8.5554000000000006</v>
      </c>
      <c r="M22" s="72"/>
    </row>
    <row r="23" spans="1:13" x14ac:dyDescent="0.25">
      <c r="B23" s="75" t="s">
        <v>1032</v>
      </c>
      <c r="D23" s="71">
        <v>1</v>
      </c>
      <c r="E23">
        <v>1.85</v>
      </c>
      <c r="G23">
        <v>1.18</v>
      </c>
      <c r="K23" s="72">
        <f>E23*G23</f>
        <v>2.1829999999999998</v>
      </c>
      <c r="L23" s="72">
        <f>K23*D23</f>
        <v>2.1829999999999998</v>
      </c>
    </row>
    <row r="25" spans="1:13" x14ac:dyDescent="0.25">
      <c r="A25" s="70" t="str">
        <f>BM_01!A28</f>
        <v xml:space="preserve"> 3 </v>
      </c>
      <c r="B25" s="259" t="str">
        <f>BM_01!B28</f>
        <v>MOVIMENTO DE TERRA</v>
      </c>
      <c r="C25" s="260"/>
      <c r="D25" s="260"/>
      <c r="E25" s="260"/>
      <c r="F25" s="260"/>
      <c r="G25" s="260"/>
      <c r="H25" s="260"/>
      <c r="I25" s="260"/>
      <c r="J25" s="260"/>
      <c r="K25" s="260"/>
      <c r="L25" s="260"/>
      <c r="M25" s="261"/>
    </row>
    <row r="27" spans="1:13" ht="24.6" customHeight="1" x14ac:dyDescent="0.25">
      <c r="A27" s="69" t="s">
        <v>1025</v>
      </c>
      <c r="B27" s="250" t="str">
        <f>BM_01!B31</f>
        <v>ESCAVAÇÃO MECANIZADA DE VALA COM PROF. ATÉ 1,5 M (MÉDIA MONTANTE E JUSANTE/UMA COMPOSIÇÃO POR TRECHO), ESCAVADEIRA (0,8 M3), LARG. MENOR QUE 1,5 M, EM SOLO DE 1A CATEGORIA, EM LOCAIS COM ALTO NÍVEL DE INTERFERÊNCIA. AF_02/2021</v>
      </c>
      <c r="C27" s="251"/>
      <c r="D27" s="251"/>
      <c r="E27" s="251"/>
      <c r="F27" s="251"/>
      <c r="G27" s="251"/>
      <c r="H27" s="251"/>
      <c r="I27" s="251"/>
      <c r="J27" s="251"/>
      <c r="K27" s="251"/>
      <c r="L27" s="251"/>
      <c r="M27" s="252"/>
    </row>
    <row r="28" spans="1:13" x14ac:dyDescent="0.25">
      <c r="K28" s="78" t="s">
        <v>1033</v>
      </c>
      <c r="L28" s="78">
        <v>1043.73</v>
      </c>
    </row>
    <row r="30" spans="1:13" ht="24.6" customHeight="1" x14ac:dyDescent="0.25">
      <c r="A30" s="69" t="s">
        <v>1026</v>
      </c>
      <c r="B30" s="250" t="str">
        <f>BM_01!B32</f>
        <v>CARGA, MANOBRA E DESCARGA DE ENTULHO EM CAMINHÃO BASCULANTE 10 M³ - CARGA COM ESCAVADEIRA HIDRÁULICA  (CAÇAMBA DE 0,80 M³ / 111 HP) E DESCARGA LIVRE (UNIDADE: M3). AF_07/2020</v>
      </c>
      <c r="C30" s="251"/>
      <c r="D30" s="251"/>
      <c r="E30" s="251"/>
      <c r="F30" s="251"/>
      <c r="G30" s="251"/>
      <c r="H30" s="251"/>
      <c r="I30" s="251"/>
      <c r="J30" s="251"/>
      <c r="K30" s="251"/>
      <c r="L30" s="251"/>
      <c r="M30" s="252"/>
    </row>
    <row r="31" spans="1:13" x14ac:dyDescent="0.25">
      <c r="K31" s="78" t="s">
        <v>1033</v>
      </c>
      <c r="L31" s="78">
        <v>1043.73</v>
      </c>
    </row>
    <row r="33" spans="1:13" ht="19.899999999999999" customHeight="1" x14ac:dyDescent="0.25">
      <c r="A33" s="69" t="s">
        <v>1027</v>
      </c>
      <c r="B33" s="250" t="str">
        <f>BM_01!B33</f>
        <v>ARGILA OU BARRO PARA ATERRO/REATERRO (COM TRANSPORTE ATE 10 KM)</v>
      </c>
      <c r="C33" s="251"/>
      <c r="D33" s="251"/>
      <c r="E33" s="251"/>
      <c r="F33" s="251"/>
      <c r="G33" s="251"/>
      <c r="H33" s="251"/>
      <c r="I33" s="251"/>
      <c r="J33" s="251"/>
      <c r="K33" s="251"/>
      <c r="L33" s="251"/>
      <c r="M33" s="252"/>
    </row>
    <row r="34" spans="1:13" x14ac:dyDescent="0.25">
      <c r="K34" s="78" t="s">
        <v>1033</v>
      </c>
      <c r="L34" s="78">
        <v>2991.57</v>
      </c>
    </row>
  </sheetData>
  <protectedRanges>
    <protectedRange sqref="L7" name="Intervalo1_1"/>
    <protectedRange sqref="L12 L16 L20 L33 L27 L30" name="Intervalo1_1_1"/>
  </protectedRanges>
  <mergeCells count="24">
    <mergeCell ref="B27:M27"/>
    <mergeCell ref="B30:M30"/>
    <mergeCell ref="B33:M33"/>
    <mergeCell ref="B10:M10"/>
    <mergeCell ref="B12:M12"/>
    <mergeCell ref="B16:M16"/>
    <mergeCell ref="B20:M20"/>
    <mergeCell ref="B25:M25"/>
    <mergeCell ref="M7:M8"/>
    <mergeCell ref="A1:B5"/>
    <mergeCell ref="C1:M1"/>
    <mergeCell ref="C2:G2"/>
    <mergeCell ref="H2:M2"/>
    <mergeCell ref="C3:G3"/>
    <mergeCell ref="H3:M3"/>
    <mergeCell ref="C4:G4"/>
    <mergeCell ref="H4:K4"/>
    <mergeCell ref="C5:G5"/>
    <mergeCell ref="H5:K5"/>
    <mergeCell ref="A7:A8"/>
    <mergeCell ref="B7:C8"/>
    <mergeCell ref="D7:D8"/>
    <mergeCell ref="E7:J7"/>
    <mergeCell ref="K7:L7"/>
  </mergeCells>
  <pageMargins left="0.511811024" right="0.511811024" top="0.78740157499999996" bottom="0.78740157499999996" header="0.31496062000000002" footer="0.31496062000000002"/>
  <pageSetup paperSize="9" orientation="portrait" horizontalDpi="0" verticalDpi="0" r:id="rId1"/>
  <drawing r:id="rId2"/>
  <legacyDrawing r:id="rId3"/>
  <oleObjects>
    <mc:AlternateContent xmlns:mc="http://schemas.openxmlformats.org/markup-compatibility/2006">
      <mc:Choice Requires="x14">
        <oleObject progId="AcroExch.pdfxml.1" shapeId="4101" r:id="rId4">
          <objectPr defaultSize="0" autoPict="0" r:id="rId5">
            <anchor moveWithCells="1">
              <from>
                <xdr:col>0</xdr:col>
                <xdr:colOff>0</xdr:colOff>
                <xdr:row>34</xdr:row>
                <xdr:rowOff>180975</xdr:rowOff>
              </from>
              <to>
                <xdr:col>12</xdr:col>
                <xdr:colOff>266700</xdr:colOff>
                <xdr:row>65</xdr:row>
                <xdr:rowOff>123825</xdr:rowOff>
              </to>
            </anchor>
          </objectPr>
        </oleObject>
      </mc:Choice>
      <mc:Fallback>
        <oleObject progId="AcroExch.pdfxml.1" shapeId="4101"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FB98F-7E28-49FE-AE0F-D10DB8721115}">
  <sheetPr>
    <pageSetUpPr fitToPage="1"/>
  </sheetPr>
  <dimension ref="A1:Q591"/>
  <sheetViews>
    <sheetView zoomScale="85" zoomScaleNormal="85" workbookViewId="0">
      <selection activeCell="G67" sqref="G67"/>
    </sheetView>
  </sheetViews>
  <sheetFormatPr defaultColWidth="8.85546875" defaultRowHeight="15" x14ac:dyDescent="0.25"/>
  <cols>
    <col min="2" max="2" width="78.7109375" customWidth="1"/>
    <col min="3" max="3" width="8.7109375" customWidth="1"/>
    <col min="4" max="4" width="8.85546875" hidden="1" customWidth="1"/>
    <col min="5" max="5" width="10.140625" bestFit="1" customWidth="1"/>
    <col min="6" max="6" width="9" bestFit="1" customWidth="1"/>
    <col min="7" max="7" width="10.140625" customWidth="1"/>
    <col min="8" max="8" width="10.7109375" customWidth="1"/>
    <col min="9" max="9" width="17" bestFit="1" customWidth="1"/>
    <col min="10" max="10" width="16" customWidth="1"/>
    <col min="11" max="11" width="16.28515625" customWidth="1"/>
    <col min="12" max="12" width="9.85546875" customWidth="1"/>
  </cols>
  <sheetData>
    <row r="1" spans="1:17" s="28" customFormat="1" ht="12.75" customHeight="1" x14ac:dyDescent="0.25">
      <c r="A1" s="25"/>
      <c r="B1" s="26"/>
      <c r="C1" s="177" t="s">
        <v>1114</v>
      </c>
      <c r="D1" s="177"/>
      <c r="E1" s="177"/>
      <c r="F1" s="177"/>
      <c r="G1" s="177"/>
      <c r="H1" s="177"/>
      <c r="I1" s="177"/>
      <c r="J1" s="177"/>
      <c r="K1" s="177"/>
      <c r="L1" s="178"/>
      <c r="M1" s="27"/>
      <c r="N1" s="27"/>
      <c r="O1" s="27"/>
      <c r="P1" s="27"/>
      <c r="Q1" s="27"/>
    </row>
    <row r="2" spans="1:17" s="28" customFormat="1" ht="12.75" customHeight="1" x14ac:dyDescent="0.25">
      <c r="A2" s="25"/>
      <c r="B2" s="26"/>
      <c r="C2" s="177"/>
      <c r="D2" s="177"/>
      <c r="E2" s="177"/>
      <c r="F2" s="177"/>
      <c r="G2" s="177"/>
      <c r="H2" s="177"/>
      <c r="I2" s="177"/>
      <c r="J2" s="177"/>
      <c r="K2" s="177"/>
      <c r="L2" s="178"/>
      <c r="M2" s="27"/>
      <c r="N2" s="27"/>
      <c r="O2" s="27"/>
      <c r="P2" s="27"/>
      <c r="Q2" s="27"/>
    </row>
    <row r="3" spans="1:17" s="28" customFormat="1" ht="12.75" customHeight="1" x14ac:dyDescent="0.25">
      <c r="A3" s="25"/>
      <c r="C3" s="177"/>
      <c r="D3" s="177"/>
      <c r="E3" s="177"/>
      <c r="F3" s="177"/>
      <c r="G3" s="177"/>
      <c r="H3" s="177"/>
      <c r="I3" s="177"/>
      <c r="J3" s="177"/>
      <c r="K3" s="177"/>
      <c r="L3" s="178"/>
      <c r="M3" s="27"/>
      <c r="N3" s="27"/>
      <c r="O3" s="27"/>
      <c r="P3" s="27"/>
      <c r="Q3" s="27"/>
    </row>
    <row r="4" spans="1:17" s="28" customFormat="1" ht="12.75" customHeight="1" x14ac:dyDescent="0.25">
      <c r="A4" s="25"/>
      <c r="B4" s="29" t="s">
        <v>978</v>
      </c>
      <c r="C4" s="177"/>
      <c r="D4" s="177"/>
      <c r="E4" s="177"/>
      <c r="F4" s="177"/>
      <c r="G4" s="177"/>
      <c r="H4" s="177"/>
      <c r="I4" s="177"/>
      <c r="J4" s="177"/>
      <c r="K4" s="177"/>
      <c r="L4" s="178"/>
      <c r="M4" s="27"/>
      <c r="N4" s="27"/>
      <c r="O4" s="27"/>
      <c r="P4" s="27"/>
      <c r="Q4" s="27"/>
    </row>
    <row r="5" spans="1:17" s="28" customFormat="1" ht="12.75" customHeight="1" x14ac:dyDescent="0.25">
      <c r="A5" s="30"/>
      <c r="B5" s="29" t="s">
        <v>979</v>
      </c>
      <c r="C5" s="179"/>
      <c r="D5" s="179"/>
      <c r="E5" s="179"/>
      <c r="F5" s="179"/>
      <c r="G5" s="179"/>
      <c r="H5" s="179"/>
      <c r="I5" s="179"/>
      <c r="J5" s="179"/>
      <c r="K5" s="179"/>
      <c r="L5" s="180"/>
      <c r="M5" s="27"/>
      <c r="N5" s="27"/>
      <c r="O5" s="27"/>
      <c r="P5" s="27"/>
      <c r="Q5" s="27"/>
    </row>
    <row r="6" spans="1:17" s="28" customFormat="1" ht="24" customHeight="1" x14ac:dyDescent="0.25">
      <c r="A6" s="181" t="s">
        <v>980</v>
      </c>
      <c r="B6" s="182"/>
      <c r="C6" s="182"/>
      <c r="D6" s="182"/>
      <c r="E6" s="182"/>
      <c r="F6" s="183"/>
      <c r="G6" s="184" t="s">
        <v>981</v>
      </c>
      <c r="H6" s="185"/>
      <c r="I6" s="185"/>
      <c r="J6" s="186"/>
      <c r="K6" s="31" t="s">
        <v>982</v>
      </c>
      <c r="L6" s="31" t="s">
        <v>983</v>
      </c>
      <c r="M6" s="27"/>
      <c r="N6" s="27"/>
      <c r="O6" s="27"/>
      <c r="P6" s="27"/>
      <c r="Q6" s="27"/>
    </row>
    <row r="7" spans="1:17" s="28" customFormat="1" ht="12.75" customHeight="1" x14ac:dyDescent="0.25">
      <c r="A7" s="187" t="s">
        <v>64</v>
      </c>
      <c r="B7" s="188"/>
      <c r="C7" s="188"/>
      <c r="D7" s="188"/>
      <c r="E7" s="188"/>
      <c r="F7" s="189"/>
      <c r="G7" s="187" t="s">
        <v>979</v>
      </c>
      <c r="H7" s="188"/>
      <c r="I7" s="188"/>
      <c r="J7" s="189"/>
      <c r="K7" s="176"/>
      <c r="L7" s="193" t="s">
        <v>1115</v>
      </c>
      <c r="M7" s="27"/>
      <c r="N7" s="27"/>
      <c r="O7" s="27"/>
      <c r="P7" s="27"/>
      <c r="Q7" s="27"/>
    </row>
    <row r="8" spans="1:17" s="28" customFormat="1" ht="6" customHeight="1" x14ac:dyDescent="0.25">
      <c r="A8" s="190"/>
      <c r="B8" s="191"/>
      <c r="C8" s="191"/>
      <c r="D8" s="191"/>
      <c r="E8" s="191"/>
      <c r="F8" s="192"/>
      <c r="G8" s="190"/>
      <c r="H8" s="191"/>
      <c r="I8" s="191"/>
      <c r="J8" s="192"/>
      <c r="K8" s="176"/>
      <c r="L8" s="194"/>
      <c r="M8" s="27"/>
      <c r="N8" s="27"/>
      <c r="O8" s="27"/>
      <c r="P8" s="27"/>
      <c r="Q8" s="27"/>
    </row>
    <row r="9" spans="1:17" s="28" customFormat="1" ht="29.45" customHeight="1" x14ac:dyDescent="0.25">
      <c r="A9" s="181" t="s">
        <v>984</v>
      </c>
      <c r="B9" s="182"/>
      <c r="C9" s="182"/>
      <c r="D9" s="182"/>
      <c r="E9" s="182"/>
      <c r="F9" s="183"/>
      <c r="G9" s="195" t="s">
        <v>985</v>
      </c>
      <c r="H9" s="195"/>
      <c r="I9" s="195"/>
      <c r="J9" s="195"/>
      <c r="K9" s="32" t="s">
        <v>986</v>
      </c>
      <c r="L9" s="33" t="s">
        <v>987</v>
      </c>
      <c r="M9" s="27"/>
      <c r="N9" s="27"/>
      <c r="O9" s="27"/>
      <c r="P9" s="27"/>
      <c r="Q9" s="27"/>
    </row>
    <row r="10" spans="1:17" s="28" customFormat="1" ht="12.75" customHeight="1" x14ac:dyDescent="0.25">
      <c r="A10" s="187" t="s">
        <v>1005</v>
      </c>
      <c r="B10" s="188"/>
      <c r="C10" s="188"/>
      <c r="D10" s="188"/>
      <c r="E10" s="188"/>
      <c r="F10" s="189"/>
      <c r="G10" s="196" t="s">
        <v>1028</v>
      </c>
      <c r="H10" s="196"/>
      <c r="I10" s="196"/>
      <c r="J10" s="196"/>
      <c r="K10" s="176">
        <v>45035</v>
      </c>
      <c r="L10" s="176">
        <v>45492</v>
      </c>
      <c r="M10" s="27"/>
      <c r="N10" s="27"/>
      <c r="O10" s="27"/>
      <c r="P10" s="27"/>
      <c r="Q10" s="27"/>
    </row>
    <row r="11" spans="1:17" s="28" customFormat="1" ht="3.6" customHeight="1" x14ac:dyDescent="0.25">
      <c r="A11" s="190"/>
      <c r="B11" s="191"/>
      <c r="C11" s="191"/>
      <c r="D11" s="191"/>
      <c r="E11" s="191"/>
      <c r="F11" s="192"/>
      <c r="G11" s="196"/>
      <c r="H11" s="196"/>
      <c r="I11" s="196"/>
      <c r="J11" s="196"/>
      <c r="K11" s="176"/>
      <c r="L11" s="176"/>
      <c r="M11" s="27"/>
      <c r="N11" s="27"/>
      <c r="O11" s="27"/>
      <c r="P11" s="27"/>
      <c r="Q11" s="27"/>
    </row>
    <row r="12" spans="1:17" s="28" customFormat="1" ht="12.75" x14ac:dyDescent="0.25">
      <c r="A12" s="195" t="s">
        <v>988</v>
      </c>
      <c r="B12" s="195"/>
      <c r="C12" s="195" t="s">
        <v>989</v>
      </c>
      <c r="D12" s="195"/>
      <c r="E12" s="195"/>
      <c r="F12" s="195"/>
      <c r="G12" s="195" t="s">
        <v>990</v>
      </c>
      <c r="H12" s="195"/>
      <c r="I12" s="202" t="s">
        <v>991</v>
      </c>
      <c r="J12" s="202"/>
      <c r="K12" s="203" t="s">
        <v>992</v>
      </c>
      <c r="L12" s="203"/>
      <c r="M12" s="27"/>
      <c r="N12" s="27"/>
      <c r="O12" s="27"/>
      <c r="P12" s="27"/>
      <c r="Q12" s="27"/>
    </row>
    <row r="13" spans="1:17" s="28" customFormat="1" ht="12.75" x14ac:dyDescent="0.25">
      <c r="A13" s="196" t="s">
        <v>1029</v>
      </c>
      <c r="B13" s="196"/>
      <c r="C13" s="196" t="s">
        <v>1030</v>
      </c>
      <c r="D13" s="196"/>
      <c r="E13" s="196"/>
      <c r="F13" s="196"/>
      <c r="G13" s="197">
        <f>I373</f>
        <v>10383143.213076012</v>
      </c>
      <c r="H13" s="198"/>
      <c r="I13" s="201">
        <f>J373</f>
        <v>183782.79759343335</v>
      </c>
      <c r="J13" s="201"/>
      <c r="K13" s="196" t="s">
        <v>1116</v>
      </c>
      <c r="L13" s="196"/>
      <c r="M13" s="27"/>
      <c r="N13" s="27"/>
      <c r="O13" s="27"/>
      <c r="P13" s="27"/>
      <c r="Q13" s="27"/>
    </row>
    <row r="14" spans="1:17" s="28" customFormat="1" ht="15" customHeight="1" x14ac:dyDescent="0.25">
      <c r="A14" s="196"/>
      <c r="B14" s="196"/>
      <c r="C14" s="196"/>
      <c r="D14" s="196"/>
      <c r="E14" s="196"/>
      <c r="F14" s="196"/>
      <c r="G14" s="199"/>
      <c r="H14" s="200"/>
      <c r="I14" s="201"/>
      <c r="J14" s="201"/>
      <c r="K14" s="196"/>
      <c r="L14" s="196"/>
      <c r="M14" s="27"/>
      <c r="N14" s="27"/>
      <c r="O14" s="27"/>
      <c r="P14" s="27"/>
      <c r="Q14" s="27"/>
    </row>
    <row r="15" spans="1:17" s="28" customFormat="1" ht="12.75" x14ac:dyDescent="0.25">
      <c r="A15" s="205"/>
      <c r="B15" s="205"/>
      <c r="C15" s="205"/>
      <c r="D15" s="205"/>
      <c r="E15" s="205"/>
      <c r="F15" s="205"/>
      <c r="G15" s="205"/>
      <c r="H15" s="205"/>
      <c r="I15" s="205"/>
      <c r="J15" s="205"/>
      <c r="K15" s="205"/>
      <c r="L15" s="205"/>
      <c r="M15" s="27"/>
      <c r="N15" s="27"/>
      <c r="O15" s="27"/>
      <c r="P15" s="27"/>
      <c r="Q15" s="27"/>
    </row>
    <row r="16" spans="1:17" s="36" customFormat="1" ht="12.75" x14ac:dyDescent="0.2">
      <c r="A16" s="206" t="s">
        <v>993</v>
      </c>
      <c r="B16" s="207" t="s">
        <v>994</v>
      </c>
      <c r="C16" s="207" t="s">
        <v>995</v>
      </c>
      <c r="D16" s="207" t="s">
        <v>996</v>
      </c>
      <c r="E16" s="34"/>
      <c r="F16" s="206" t="s">
        <v>997</v>
      </c>
      <c r="G16" s="206"/>
      <c r="H16" s="206"/>
      <c r="I16" s="208" t="s">
        <v>998</v>
      </c>
      <c r="J16" s="208"/>
      <c r="K16" s="208"/>
      <c r="L16" s="209" t="s">
        <v>999</v>
      </c>
      <c r="M16" s="35"/>
      <c r="N16" s="35"/>
      <c r="O16" s="35"/>
      <c r="P16" s="35"/>
      <c r="Q16" s="35"/>
    </row>
    <row r="17" spans="1:17" s="36" customFormat="1" ht="39" customHeight="1" x14ac:dyDescent="0.2">
      <c r="A17" s="206"/>
      <c r="B17" s="207"/>
      <c r="C17" s="207"/>
      <c r="D17" s="207"/>
      <c r="E17" s="34" t="s">
        <v>996</v>
      </c>
      <c r="F17" s="34" t="s">
        <v>1000</v>
      </c>
      <c r="G17" s="34" t="s">
        <v>1001</v>
      </c>
      <c r="H17" s="37" t="s">
        <v>1002</v>
      </c>
      <c r="I17" s="37" t="s">
        <v>1000</v>
      </c>
      <c r="J17" s="37" t="s">
        <v>1001</v>
      </c>
      <c r="K17" s="37" t="s">
        <v>1002</v>
      </c>
      <c r="L17" s="209"/>
      <c r="M17" s="35"/>
      <c r="N17" s="35"/>
      <c r="O17" s="35"/>
      <c r="P17" s="35"/>
      <c r="Q17" s="35"/>
    </row>
    <row r="18" spans="1:17" s="38" customFormat="1" ht="14.45" customHeight="1" x14ac:dyDescent="0.25">
      <c r="A18" s="39" t="str">
        <f>[1]Orçamento!A5</f>
        <v xml:space="preserve"> 1 </v>
      </c>
      <c r="B18" s="45" t="str">
        <f>[1]Orçamento!D5</f>
        <v>SERVIÇOS PRELIMINARES</v>
      </c>
      <c r="C18" s="39"/>
      <c r="D18" s="39"/>
      <c r="E18" s="39"/>
      <c r="F18" s="39"/>
      <c r="G18" s="39"/>
      <c r="H18" s="39"/>
      <c r="I18" s="40"/>
      <c r="J18" s="39"/>
      <c r="K18" s="39"/>
      <c r="L18" s="39"/>
    </row>
    <row r="19" spans="1:17" ht="25.5" x14ac:dyDescent="0.25">
      <c r="A19" s="41" t="str">
        <f>[1]Orçamento!A6</f>
        <v xml:space="preserve"> 1.1 </v>
      </c>
      <c r="B19" s="46" t="str">
        <f>[1]Orçamento!D6</f>
        <v>PLACA DE OBRA (PARA CONSTRUCAO CIVIL) EM CHAPA GALVANIZADA *N. 22*, ADESIVADA, DE *2,4 X 1,2* M (SEM POSTES PARA FIXACAO)</v>
      </c>
      <c r="C19" s="41" t="str">
        <f>[1]Orçamento!E6</f>
        <v>m²</v>
      </c>
      <c r="D19" s="42"/>
      <c r="E19" s="43">
        <f>[1]Orçamento!H6</f>
        <v>481.42</v>
      </c>
      <c r="F19" s="43">
        <f>[1]Orçamento!F6</f>
        <v>6</v>
      </c>
      <c r="G19" s="73"/>
      <c r="H19" s="73">
        <v>6</v>
      </c>
      <c r="I19" s="55">
        <f>F19*E19</f>
        <v>2888.52</v>
      </c>
      <c r="J19" s="55">
        <f>E19*G19</f>
        <v>0</v>
      </c>
      <c r="K19" s="55">
        <f>E19*H19</f>
        <v>2888.52</v>
      </c>
      <c r="L19" s="44">
        <f>K19/I19</f>
        <v>1</v>
      </c>
    </row>
    <row r="20" spans="1:17" ht="25.5" x14ac:dyDescent="0.25">
      <c r="A20" s="41" t="str">
        <f>[1]Orçamento!A7</f>
        <v xml:space="preserve"> 1.2 </v>
      </c>
      <c r="B20" s="46" t="str">
        <f>[1]Orçamento!D7</f>
        <v>EXECUÇÃO DE ALMOXARIFADO EM CANTEIRO DE OBRA EM ALVENARIA, INCLUSO PRATELEIRAS. AF_02/2016</v>
      </c>
      <c r="C20" s="41" t="str">
        <f>[1]Orçamento!E7</f>
        <v>m²</v>
      </c>
      <c r="D20" s="42"/>
      <c r="E20" s="43">
        <f>[1]Orçamento!H7</f>
        <v>1028.6600000000001</v>
      </c>
      <c r="F20" s="43">
        <f>[1]Orçamento!F7</f>
        <v>15</v>
      </c>
      <c r="G20" s="73">
        <v>1</v>
      </c>
      <c r="H20" s="73">
        <f>9+G20</f>
        <v>10</v>
      </c>
      <c r="I20" s="55">
        <f t="shared" ref="I20:I36" si="0">F20*E20</f>
        <v>15429.900000000001</v>
      </c>
      <c r="J20" s="55">
        <f t="shared" ref="J20:J36" si="1">E20*G20</f>
        <v>1028.6600000000001</v>
      </c>
      <c r="K20" s="55">
        <f t="shared" ref="K20:K36" si="2">E20*H20</f>
        <v>10286.6</v>
      </c>
      <c r="L20" s="44">
        <f t="shared" ref="L20:L87" si="3">K20/I20</f>
        <v>0.66666666666666663</v>
      </c>
    </row>
    <row r="21" spans="1:17" ht="25.5" x14ac:dyDescent="0.25">
      <c r="A21" s="41" t="str">
        <f>[1]Orçamento!A8</f>
        <v xml:space="preserve"> 1.3 </v>
      </c>
      <c r="B21" s="46" t="str">
        <f>[1]Orçamento!D8</f>
        <v>EXECUÇÃO DE ESCRITÓRIO EM CANTEIRO DE OBRA EM ALVENARIA, NÃO INCLUSO MOBILIÁRIO E EQUIPAMENTOS. AF_02/2016</v>
      </c>
      <c r="C21" s="41" t="str">
        <f>[1]Orçamento!E8</f>
        <v>m²</v>
      </c>
      <c r="D21" s="42"/>
      <c r="E21" s="43">
        <f>[1]Orçamento!H8</f>
        <v>1174.48</v>
      </c>
      <c r="F21" s="43">
        <f>[1]Orçamento!F8</f>
        <v>10</v>
      </c>
      <c r="G21" s="73">
        <v>1</v>
      </c>
      <c r="H21" s="73">
        <f>6+G21</f>
        <v>7</v>
      </c>
      <c r="I21" s="55">
        <f t="shared" si="0"/>
        <v>11744.8</v>
      </c>
      <c r="J21" s="55">
        <f t="shared" si="1"/>
        <v>1174.48</v>
      </c>
      <c r="K21" s="55">
        <f t="shared" si="2"/>
        <v>8221.36</v>
      </c>
      <c r="L21" s="44">
        <f t="shared" si="3"/>
        <v>0.70000000000000007</v>
      </c>
    </row>
    <row r="22" spans="1:17" ht="25.5" x14ac:dyDescent="0.25">
      <c r="A22" s="41" t="str">
        <f>[1]Orçamento!A9</f>
        <v xml:space="preserve"> 1.4 </v>
      </c>
      <c r="B22" s="46" t="str">
        <f>[1]Orçamento!D9</f>
        <v>LOCACAO CONVENCIONAL DE OBRA, UTILIZANDO GABARITO DE TÁBUAS CORRIDAS PONTALETADAS A CADA 2,00M -  2 UTILIZAÇÕES. AF_10/2018</v>
      </c>
      <c r="C22" s="41" t="str">
        <f>[1]Orçamento!E9</f>
        <v>M</v>
      </c>
      <c r="D22" s="42"/>
      <c r="E22" s="43">
        <f>[1]Orçamento!H9</f>
        <v>57.41</v>
      </c>
      <c r="F22" s="43">
        <f>[1]Orçamento!F9</f>
        <v>315.44</v>
      </c>
      <c r="G22" s="43">
        <f>[1]MEM!H7</f>
        <v>188.76</v>
      </c>
      <c r="H22" s="73">
        <f t="shared" ref="H22" si="4">G22</f>
        <v>188.76</v>
      </c>
      <c r="I22" s="55">
        <f t="shared" si="0"/>
        <v>18109.410399999997</v>
      </c>
      <c r="J22" s="55">
        <f t="shared" si="1"/>
        <v>10836.711599999999</v>
      </c>
      <c r="K22" s="55">
        <f t="shared" si="2"/>
        <v>10836.711599999999</v>
      </c>
      <c r="L22" s="44">
        <f t="shared" si="3"/>
        <v>0.59840223180319552</v>
      </c>
    </row>
    <row r="23" spans="1:17" ht="25.5" x14ac:dyDescent="0.25">
      <c r="A23" s="41" t="str">
        <f>[1]Orçamento!A10</f>
        <v xml:space="preserve"> 1.5 </v>
      </c>
      <c r="B23" s="46" t="str">
        <f>[1]Orçamento!D10</f>
        <v>LIMPEZA MECANIZADA DE CAMADA VEGETAL, VEGETAÇÃO E PEQUENAS ÁRVORES (DIÂMETRO DE TRONCO MENOR QUE 0,20 M), COM TRATOR DE ESTEIRAS.AF_05/2018</v>
      </c>
      <c r="C23" s="41" t="str">
        <f>[1]Orçamento!E10</f>
        <v>m²</v>
      </c>
      <c r="D23" s="42"/>
      <c r="E23" s="43">
        <f>[1]Orçamento!H10</f>
        <v>0.38</v>
      </c>
      <c r="F23" s="43">
        <f>[1]Orçamento!F10</f>
        <v>3729</v>
      </c>
      <c r="G23" s="74"/>
      <c r="H23" s="73">
        <v>3729.02</v>
      </c>
      <c r="I23" s="55">
        <f t="shared" si="0"/>
        <v>1417.02</v>
      </c>
      <c r="J23" s="55">
        <f t="shared" si="1"/>
        <v>0</v>
      </c>
      <c r="K23" s="55">
        <f t="shared" si="2"/>
        <v>1417.0276000000001</v>
      </c>
      <c r="L23" s="44">
        <f t="shared" si="3"/>
        <v>1.0000053633681953</v>
      </c>
    </row>
    <row r="24" spans="1:17" x14ac:dyDescent="0.25">
      <c r="A24" s="39" t="str">
        <f>[1]Orçamento!A11</f>
        <v xml:space="preserve"> 2 </v>
      </c>
      <c r="B24" s="45" t="str">
        <f>[1]Orçamento!D11</f>
        <v>ADMINISTRAÇÃO LOCAL</v>
      </c>
      <c r="C24" s="39"/>
      <c r="D24" s="47"/>
      <c r="E24" s="48"/>
      <c r="F24" s="48"/>
      <c r="G24" s="47"/>
      <c r="H24" s="47"/>
      <c r="I24" s="56"/>
      <c r="J24" s="56"/>
      <c r="K24" s="56"/>
      <c r="L24" s="49"/>
    </row>
    <row r="25" spans="1:17" x14ac:dyDescent="0.25">
      <c r="A25" s="41" t="str">
        <f>[1]Orçamento!A12</f>
        <v xml:space="preserve"> 2.1 </v>
      </c>
      <c r="B25" s="46" t="str">
        <f>[1]Orçamento!D12</f>
        <v>TECNICO DE EDIFICACOES (MENSALISTA)</v>
      </c>
      <c r="C25" s="41" t="str">
        <f>[1]Orçamento!E12</f>
        <v>MES</v>
      </c>
      <c r="D25" s="42"/>
      <c r="E25" s="43">
        <f>[1]Orçamento!H12</f>
        <v>4792.59</v>
      </c>
      <c r="F25" s="43">
        <f>[1]Orçamento!F12</f>
        <v>15</v>
      </c>
      <c r="G25" s="42">
        <v>0.6</v>
      </c>
      <c r="H25" s="42">
        <f>G25</f>
        <v>0.6</v>
      </c>
      <c r="I25" s="55">
        <f t="shared" si="0"/>
        <v>71888.850000000006</v>
      </c>
      <c r="J25" s="55">
        <f t="shared" si="1"/>
        <v>2875.5540000000001</v>
      </c>
      <c r="K25" s="55">
        <f t="shared" si="2"/>
        <v>2875.5540000000001</v>
      </c>
      <c r="L25" s="126">
        <f t="shared" si="3"/>
        <v>0.04</v>
      </c>
    </row>
    <row r="26" spans="1:17" x14ac:dyDescent="0.25">
      <c r="A26" s="41" t="str">
        <f>[1]Orçamento!A13</f>
        <v xml:space="preserve"> 2.2 </v>
      </c>
      <c r="B26" s="46" t="str">
        <f>[1]Orçamento!D13</f>
        <v>ENGENHEIRO CIVIL DE OBRA JUNIOR (MENSALISTA)</v>
      </c>
      <c r="C26" s="41" t="str">
        <f>[1]Orçamento!E13</f>
        <v>MES</v>
      </c>
      <c r="D26" s="42"/>
      <c r="E26" s="43">
        <f>[1]Orçamento!H13</f>
        <v>19131.61</v>
      </c>
      <c r="F26" s="43">
        <f>[1]Orçamento!F13</f>
        <v>15</v>
      </c>
      <c r="G26" s="42">
        <v>0</v>
      </c>
      <c r="H26" s="42">
        <f t="shared" ref="H26:H27" si="5">G26</f>
        <v>0</v>
      </c>
      <c r="I26" s="55">
        <f t="shared" si="0"/>
        <v>286974.15000000002</v>
      </c>
      <c r="J26" s="55">
        <f t="shared" si="1"/>
        <v>0</v>
      </c>
      <c r="K26" s="55">
        <f t="shared" si="2"/>
        <v>0</v>
      </c>
      <c r="L26" s="126">
        <f t="shared" si="3"/>
        <v>0</v>
      </c>
    </row>
    <row r="27" spans="1:17" x14ac:dyDescent="0.25">
      <c r="A27" s="41" t="str">
        <f>[1]Orçamento!A14</f>
        <v xml:space="preserve"> 2.3 </v>
      </c>
      <c r="B27" s="46" t="str">
        <f>[1]Orçamento!D14</f>
        <v>MESTRE DE OBRAS (MENSALISTA)</v>
      </c>
      <c r="C27" s="41" t="str">
        <f>[1]Orçamento!E14</f>
        <v>MES</v>
      </c>
      <c r="D27" s="42"/>
      <c r="E27" s="43">
        <f>[1]Orçamento!H14</f>
        <v>5496.36</v>
      </c>
      <c r="F27" s="43">
        <f>[1]Orçamento!F14</f>
        <v>15</v>
      </c>
      <c r="G27" s="42">
        <v>0.6</v>
      </c>
      <c r="H27" s="42">
        <f t="shared" si="5"/>
        <v>0.6</v>
      </c>
      <c r="I27" s="55">
        <f t="shared" si="0"/>
        <v>82445.399999999994</v>
      </c>
      <c r="J27" s="55">
        <f t="shared" si="1"/>
        <v>3297.8159999999998</v>
      </c>
      <c r="K27" s="55">
        <f t="shared" si="2"/>
        <v>3297.8159999999998</v>
      </c>
      <c r="L27" s="126">
        <f t="shared" si="3"/>
        <v>0.04</v>
      </c>
    </row>
    <row r="28" spans="1:17" x14ac:dyDescent="0.25">
      <c r="A28" s="39" t="str">
        <f>[1]Orçamento!A15</f>
        <v xml:space="preserve"> 3 </v>
      </c>
      <c r="B28" s="45" t="str">
        <f>[1]Orçamento!D15</f>
        <v>MOVIMENTO DE TERRA</v>
      </c>
      <c r="C28" s="39"/>
      <c r="D28" s="47"/>
      <c r="E28" s="48"/>
      <c r="F28" s="48"/>
      <c r="G28" s="47"/>
      <c r="H28" s="47"/>
      <c r="I28" s="56"/>
      <c r="J28" s="56"/>
      <c r="K28" s="56"/>
      <c r="L28" s="49"/>
    </row>
    <row r="29" spans="1:17" x14ac:dyDescent="0.25">
      <c r="A29" s="41" t="str">
        <f>[1]Orçamento!A16</f>
        <v xml:space="preserve"> 3.1 </v>
      </c>
      <c r="B29" s="46" t="str">
        <f>[1]Orçamento!D16</f>
        <v>ESCAVAÇÃO MANUAL DE VALA COM PROFUNDIDADE MENOR OU IGUAL A 1,30 M. AF_02/2021</v>
      </c>
      <c r="C29" s="41" t="str">
        <f>[1]Orçamento!E16</f>
        <v>m³</v>
      </c>
      <c r="D29" s="42"/>
      <c r="E29" s="43">
        <f>[1]Orçamento!H16</f>
        <v>74.94</v>
      </c>
      <c r="F29" s="43">
        <f>[1]Orçamento!F16</f>
        <v>210.92</v>
      </c>
      <c r="G29" s="73"/>
      <c r="H29" s="42">
        <f>G29</f>
        <v>0</v>
      </c>
      <c r="I29" s="55">
        <f t="shared" si="0"/>
        <v>15806.344799999999</v>
      </c>
      <c r="J29" s="55">
        <f t="shared" si="1"/>
        <v>0</v>
      </c>
      <c r="K29" s="55">
        <f t="shared" si="2"/>
        <v>0</v>
      </c>
      <c r="L29" s="44">
        <f t="shared" si="3"/>
        <v>0</v>
      </c>
    </row>
    <row r="30" spans="1:17" x14ac:dyDescent="0.25">
      <c r="A30" s="41" t="str">
        <f>[1]Orçamento!A17</f>
        <v xml:space="preserve"> 3.2 </v>
      </c>
      <c r="B30" s="46" t="str">
        <f>[1]Orçamento!D17</f>
        <v>REATERRO MANUAL DE VALAS COM COMPACTAÇÃO MECANIZADA. AF_04/2016</v>
      </c>
      <c r="C30" s="41" t="str">
        <f>[1]Orçamento!E17</f>
        <v>m³</v>
      </c>
      <c r="D30" s="42"/>
      <c r="E30" s="43">
        <f>[1]Orçamento!H17</f>
        <v>29.16</v>
      </c>
      <c r="F30" s="43">
        <f>[1]Orçamento!F17</f>
        <v>124.714</v>
      </c>
      <c r="G30" s="42"/>
      <c r="H30" s="42">
        <f t="shared" ref="H30:H33" si="6">G30</f>
        <v>0</v>
      </c>
      <c r="I30" s="55">
        <f t="shared" si="0"/>
        <v>3636.6602400000002</v>
      </c>
      <c r="J30" s="55">
        <f t="shared" si="1"/>
        <v>0</v>
      </c>
      <c r="K30" s="55">
        <f t="shared" si="2"/>
        <v>0</v>
      </c>
      <c r="L30" s="44">
        <f t="shared" si="3"/>
        <v>0</v>
      </c>
    </row>
    <row r="31" spans="1:17" ht="38.25" x14ac:dyDescent="0.25">
      <c r="A31" s="41" t="str">
        <f>[1]Orçamento!A18</f>
        <v xml:space="preserve"> 3.3 </v>
      </c>
      <c r="B31" s="46" t="str">
        <f>[1]Orçamento!D18</f>
        <v>ESCAVAÇÃO MECANIZADA DE VALA COM PROF. ATÉ 1,5 M (MÉDIA MONTANTE E JUSANTE/UMA COMPOSIÇÃO POR TRECHO), ESCAVADEIRA (0,8 M3), LARG. MENOR QUE 1,5 M, EM SOLO DE 1A CATEGORIA, EM LOCAIS COM ALTO NÍVEL DE INTERFERÊNCIA. AF_02/2021</v>
      </c>
      <c r="C31" s="41" t="str">
        <f>[1]Orçamento!E18</f>
        <v>m³</v>
      </c>
      <c r="D31" s="42"/>
      <c r="E31" s="43">
        <f>[1]Orçamento!H18</f>
        <v>13.37</v>
      </c>
      <c r="F31" s="43">
        <v>0</v>
      </c>
      <c r="G31" s="73">
        <v>0</v>
      </c>
      <c r="H31" s="42">
        <v>0</v>
      </c>
      <c r="I31" s="55">
        <f t="shared" si="0"/>
        <v>0</v>
      </c>
      <c r="J31" s="55">
        <f t="shared" si="1"/>
        <v>0</v>
      </c>
      <c r="K31" s="55">
        <f t="shared" si="2"/>
        <v>0</v>
      </c>
      <c r="L31" s="44" t="e">
        <f t="shared" si="3"/>
        <v>#DIV/0!</v>
      </c>
    </row>
    <row r="32" spans="1:17" ht="38.25" x14ac:dyDescent="0.25">
      <c r="A32" s="41" t="str">
        <f>[1]Orçamento!A19</f>
        <v xml:space="preserve"> 3.4 </v>
      </c>
      <c r="B32" s="46" t="str">
        <f>[1]Orçamento!D19</f>
        <v>CARGA, MANOBRA E DESCARGA DE ENTULHO EM CAMINHÃO BASCULANTE 10 M³ - CARGA COM ESCAVADEIRA HIDRÁULICA  (CAÇAMBA DE 0,80 M³ / 111 HP) E DESCARGA LIVRE (UNIDADE: M3). AF_07/2020</v>
      </c>
      <c r="C32" s="41" t="str">
        <f>[1]Orçamento!E19</f>
        <v>m³</v>
      </c>
      <c r="D32" s="42"/>
      <c r="E32" s="43">
        <f>[1]Orçamento!H19</f>
        <v>9.27</v>
      </c>
      <c r="F32" s="43">
        <v>0</v>
      </c>
      <c r="G32" s="73">
        <v>0</v>
      </c>
      <c r="H32" s="42">
        <f t="shared" si="6"/>
        <v>0</v>
      </c>
      <c r="I32" s="55">
        <f t="shared" si="0"/>
        <v>0</v>
      </c>
      <c r="J32" s="55">
        <f t="shared" si="1"/>
        <v>0</v>
      </c>
      <c r="K32" s="55">
        <f t="shared" si="2"/>
        <v>0</v>
      </c>
      <c r="L32" s="44" t="e">
        <f t="shared" si="3"/>
        <v>#DIV/0!</v>
      </c>
    </row>
    <row r="33" spans="1:12" x14ac:dyDescent="0.25">
      <c r="A33" s="41" t="str">
        <f>[1]Orçamento!A20</f>
        <v xml:space="preserve"> 3.5 </v>
      </c>
      <c r="B33" s="46" t="str">
        <f>[1]Orçamento!D20</f>
        <v>ARGILA OU BARRO PARA ATERRO/REATERRO (COM TRANSPORTE ATE 10 KM)</v>
      </c>
      <c r="C33" s="41" t="str">
        <f>[1]Orçamento!E20</f>
        <v>m³</v>
      </c>
      <c r="D33" s="42"/>
      <c r="E33" s="43">
        <f>[1]Orçamento!H20</f>
        <v>115.81</v>
      </c>
      <c r="F33" s="43">
        <v>0</v>
      </c>
      <c r="G33" s="73">
        <v>0</v>
      </c>
      <c r="H33" s="42">
        <f t="shared" si="6"/>
        <v>0</v>
      </c>
      <c r="I33" s="55">
        <f t="shared" si="0"/>
        <v>0</v>
      </c>
      <c r="J33" s="55">
        <f t="shared" si="1"/>
        <v>0</v>
      </c>
      <c r="K33" s="55">
        <f t="shared" si="2"/>
        <v>0</v>
      </c>
      <c r="L33" s="44" t="e">
        <f t="shared" si="3"/>
        <v>#DIV/0!</v>
      </c>
    </row>
    <row r="34" spans="1:12" ht="51" x14ac:dyDescent="0.25">
      <c r="A34" s="41" t="s">
        <v>1110</v>
      </c>
      <c r="B34" s="46" t="s">
        <v>1107</v>
      </c>
      <c r="C34" s="41" t="s">
        <v>103</v>
      </c>
      <c r="D34" s="42"/>
      <c r="E34" s="43">
        <v>20.22</v>
      </c>
      <c r="F34" s="43">
        <v>1964.5743499999999</v>
      </c>
      <c r="G34" s="73">
        <f>[1]MEM!H14</f>
        <v>133.91999999999999</v>
      </c>
      <c r="H34" s="73">
        <f>339.43+G34</f>
        <v>473.35</v>
      </c>
      <c r="I34" s="55">
        <f t="shared" si="0"/>
        <v>39723.693356999996</v>
      </c>
      <c r="J34" s="55">
        <f t="shared" si="1"/>
        <v>2707.8623999999995</v>
      </c>
      <c r="K34" s="55">
        <f t="shared" si="2"/>
        <v>9571.1370000000006</v>
      </c>
      <c r="L34" s="44">
        <f t="shared" si="3"/>
        <v>0.2409427772484152</v>
      </c>
    </row>
    <row r="35" spans="1:12" x14ac:dyDescent="0.25">
      <c r="A35" s="41" t="s">
        <v>1111</v>
      </c>
      <c r="B35" s="46" t="s">
        <v>1108</v>
      </c>
      <c r="C35" s="41" t="s">
        <v>103</v>
      </c>
      <c r="D35" s="42"/>
      <c r="E35" s="43">
        <v>102.91999999999999</v>
      </c>
      <c r="F35" s="43">
        <v>4687.82</v>
      </c>
      <c r="G35" s="73">
        <f>[1]MEM!H80</f>
        <v>87.14</v>
      </c>
      <c r="H35" s="73">
        <f>1481.16+G35</f>
        <v>1568.3000000000002</v>
      </c>
      <c r="I35" s="55">
        <f t="shared" si="0"/>
        <v>482470.43439999991</v>
      </c>
      <c r="J35" s="55">
        <f t="shared" si="1"/>
        <v>8968.4487999999983</v>
      </c>
      <c r="K35" s="55">
        <f t="shared" si="2"/>
        <v>161409.43599999999</v>
      </c>
      <c r="L35" s="44">
        <f t="shared" si="3"/>
        <v>0.33454782820159479</v>
      </c>
    </row>
    <row r="36" spans="1:12" ht="25.5" x14ac:dyDescent="0.25">
      <c r="A36" s="41" t="s">
        <v>1112</v>
      </c>
      <c r="B36" s="46" t="s">
        <v>1109</v>
      </c>
      <c r="C36" s="41" t="s">
        <v>103</v>
      </c>
      <c r="D36" s="42"/>
      <c r="E36" s="43">
        <v>13.228900000000001</v>
      </c>
      <c r="F36" s="43">
        <v>4687.82</v>
      </c>
      <c r="G36" s="73"/>
      <c r="H36" s="42">
        <v>1481.16</v>
      </c>
      <c r="I36" s="55">
        <f t="shared" si="0"/>
        <v>62014.701998000004</v>
      </c>
      <c r="J36" s="55">
        <f t="shared" si="1"/>
        <v>0</v>
      </c>
      <c r="K36" s="55">
        <f t="shared" si="2"/>
        <v>19594.117524000001</v>
      </c>
      <c r="L36" s="44">
        <f t="shared" si="3"/>
        <v>0.31595923051653008</v>
      </c>
    </row>
    <row r="37" spans="1:12" x14ac:dyDescent="0.25">
      <c r="A37" s="41"/>
      <c r="B37" s="46"/>
      <c r="C37" s="41"/>
      <c r="D37" s="42"/>
      <c r="E37" s="43"/>
      <c r="F37" s="43"/>
      <c r="G37" s="73"/>
      <c r="H37" s="42"/>
      <c r="I37" s="55"/>
      <c r="J37" s="55"/>
      <c r="K37" s="55"/>
      <c r="L37" s="44"/>
    </row>
    <row r="38" spans="1:12" x14ac:dyDescent="0.25">
      <c r="A38" s="39" t="str">
        <f>[1]Orçamento!A21</f>
        <v xml:space="preserve"> 4 </v>
      </c>
      <c r="B38" s="45" t="str">
        <f>[1]Orçamento!D21</f>
        <v>INFRAESTRUTURA</v>
      </c>
      <c r="C38" s="39"/>
      <c r="D38" s="47"/>
      <c r="E38" s="48"/>
      <c r="F38" s="48"/>
      <c r="G38" s="47"/>
      <c r="H38" s="47"/>
      <c r="I38" s="56"/>
      <c r="J38" s="56"/>
      <c r="K38" s="56"/>
      <c r="L38" s="49"/>
    </row>
    <row r="39" spans="1:12" ht="25.5" x14ac:dyDescent="0.25">
      <c r="A39" s="41" t="str">
        <f>[1]Orçamento!A22</f>
        <v xml:space="preserve"> 4.1 </v>
      </c>
      <c r="B39" s="46" t="str">
        <f>[1]Orçamento!D22</f>
        <v>LASTRO DE CONCRETO MAGRO, APLICADO EM BLOCOS DE COROAMENTO OU SAPATAS, ESPESSURA DE 5 CM. AF_08/2017</v>
      </c>
      <c r="C39" s="41" t="str">
        <f>[1]Orçamento!E22</f>
        <v>m²</v>
      </c>
      <c r="D39" s="42"/>
      <c r="E39" s="43">
        <f>[1]Orçamento!H22</f>
        <v>32.28</v>
      </c>
      <c r="F39" s="43">
        <f>[1]Orçamento!F22</f>
        <v>168.17</v>
      </c>
      <c r="G39" s="73">
        <f>[1]MEM!H148</f>
        <v>103.36999999999998</v>
      </c>
      <c r="H39" s="73">
        <f>G39</f>
        <v>103.36999999999998</v>
      </c>
      <c r="I39" s="55">
        <f t="shared" ref="I39:I103" si="7">F39*E39</f>
        <v>5428.5275999999994</v>
      </c>
      <c r="J39" s="55">
        <f t="shared" ref="J39:J52" si="8">E39*G39</f>
        <v>3336.7835999999993</v>
      </c>
      <c r="K39" s="55">
        <f t="shared" ref="K39:K55" si="9">E39*H39</f>
        <v>3336.7835999999993</v>
      </c>
      <c r="L39" s="44">
        <f t="shared" si="3"/>
        <v>0.61467562585478974</v>
      </c>
    </row>
    <row r="40" spans="1:12" ht="25.5" x14ac:dyDescent="0.25">
      <c r="A40" s="41" t="str">
        <f>[1]Orçamento!A23</f>
        <v xml:space="preserve"> 4.2 </v>
      </c>
      <c r="B40" s="46" t="str">
        <f>[1]Orçamento!D23</f>
        <v>CONCRETO USINADO BOMBEAVEL, CLASSE DE RESISTENCIA C40, COM BRITA 0 E 1, SLUMP = 100 +/- 20 MM, INCLUI SERVICO DE BOMBEAMENTO (NBR 8953)</v>
      </c>
      <c r="C40" s="41" t="str">
        <f>[1]Orçamento!E23</f>
        <v>m³</v>
      </c>
      <c r="D40" s="42"/>
      <c r="E40" s="43">
        <f>[1]Orçamento!H23</f>
        <v>565.05999999999995</v>
      </c>
      <c r="F40" s="43">
        <f>[1]Orçamento!F23</f>
        <v>86.21</v>
      </c>
      <c r="G40" s="73">
        <f>[1]MEM!H200</f>
        <v>46.779999999999987</v>
      </c>
      <c r="H40" s="73">
        <f t="shared" ref="H40:H52" si="10">G40</f>
        <v>46.779999999999987</v>
      </c>
      <c r="I40" s="55">
        <f t="shared" si="7"/>
        <v>48713.822599999992</v>
      </c>
      <c r="J40" s="55">
        <f t="shared" si="8"/>
        <v>26433.506799999988</v>
      </c>
      <c r="K40" s="55">
        <f t="shared" si="9"/>
        <v>26433.506799999988</v>
      </c>
      <c r="L40" s="44">
        <f t="shared" si="3"/>
        <v>0.54262846537524634</v>
      </c>
    </row>
    <row r="41" spans="1:12" ht="25.5" x14ac:dyDescent="0.25">
      <c r="A41" s="41" t="str">
        <f>[1]Orçamento!A24</f>
        <v xml:space="preserve"> 4.3 </v>
      </c>
      <c r="B41" s="46" t="str">
        <f>[1]Orçamento!D24</f>
        <v>LANÇAMENTO COM USO DE BOMBA, ADENSAMENTO E ACABAMENTO DE CONCRETO EM ESTRUTURAS. AF_02/2022</v>
      </c>
      <c r="C41" s="41" t="str">
        <f>[1]Orçamento!E24</f>
        <v>m³</v>
      </c>
      <c r="D41" s="42"/>
      <c r="E41" s="43">
        <f>[1]Orçamento!H24</f>
        <v>36.36</v>
      </c>
      <c r="F41" s="43">
        <f>[1]Orçamento!F24</f>
        <v>86.21</v>
      </c>
      <c r="G41" s="73">
        <f>[1]MEM!H259</f>
        <v>41.829999999999984</v>
      </c>
      <c r="H41" s="73">
        <f t="shared" si="10"/>
        <v>41.829999999999984</v>
      </c>
      <c r="I41" s="55">
        <f t="shared" si="7"/>
        <v>3134.5955999999996</v>
      </c>
      <c r="J41" s="55">
        <f t="shared" si="8"/>
        <v>1520.9387999999994</v>
      </c>
      <c r="K41" s="55">
        <f t="shared" si="9"/>
        <v>1520.9387999999994</v>
      </c>
      <c r="L41" s="44">
        <f t="shared" si="3"/>
        <v>0.48521053242083273</v>
      </c>
    </row>
    <row r="42" spans="1:12" ht="25.5" x14ac:dyDescent="0.25">
      <c r="A42" s="41" t="str">
        <f>[1]Orçamento!A25</f>
        <v xml:space="preserve"> 4.4 </v>
      </c>
      <c r="B42" s="46" t="str">
        <f>[1]Orçamento!D25</f>
        <v>ARMAÇÃO DE BLOCO, VIGA BALDRAME E SAPATA UTILIZANDO AÇO CA-60 DE 5 MM - MONTAGEM. AF_06/2017</v>
      </c>
      <c r="C42" s="41" t="str">
        <f>[1]Orçamento!E25</f>
        <v>KG</v>
      </c>
      <c r="D42" s="42"/>
      <c r="E42" s="43">
        <f>[1]Orçamento!H25</f>
        <v>19.57</v>
      </c>
      <c r="F42" s="43">
        <f>[1]Orçamento!F25</f>
        <v>832</v>
      </c>
      <c r="G42" s="73">
        <f>[1]MEM!H313</f>
        <v>89.811003333333346</v>
      </c>
      <c r="H42" s="73">
        <f t="shared" si="10"/>
        <v>89.811003333333346</v>
      </c>
      <c r="I42" s="55">
        <f t="shared" si="7"/>
        <v>16282.24</v>
      </c>
      <c r="J42" s="55">
        <f t="shared" si="8"/>
        <v>1757.6013352333337</v>
      </c>
      <c r="K42" s="55">
        <f t="shared" si="9"/>
        <v>1757.6013352333337</v>
      </c>
      <c r="L42" s="44">
        <f t="shared" si="3"/>
        <v>0.10794591746794874</v>
      </c>
    </row>
    <row r="43" spans="1:12" ht="25.5" x14ac:dyDescent="0.25">
      <c r="A43" s="41" t="str">
        <f>[1]Orçamento!A26</f>
        <v xml:space="preserve"> 4.5 </v>
      </c>
      <c r="B43" s="46" t="str">
        <f>[1]Orçamento!D26</f>
        <v>ARMAÇÃO DE BLOCO, VIGA BALDRAME OU SAPATA UTILIZANDO AÇO CA-50 DE 6,3 MM - MONTAGEM. AF_06/2017</v>
      </c>
      <c r="C43" s="41" t="str">
        <f>[1]Orçamento!E26</f>
        <v>KG</v>
      </c>
      <c r="D43" s="42"/>
      <c r="E43" s="43">
        <f>[1]Orçamento!H26</f>
        <v>18.579999999999998</v>
      </c>
      <c r="F43" s="43">
        <f>[1]Orçamento!F26</f>
        <v>780</v>
      </c>
      <c r="G43" s="42"/>
      <c r="H43" s="73">
        <f t="shared" si="10"/>
        <v>0</v>
      </c>
      <c r="I43" s="55">
        <f t="shared" si="7"/>
        <v>14492.399999999998</v>
      </c>
      <c r="J43" s="55">
        <f t="shared" si="8"/>
        <v>0</v>
      </c>
      <c r="K43" s="55">
        <f t="shared" si="9"/>
        <v>0</v>
      </c>
      <c r="L43" s="44">
        <f t="shared" si="3"/>
        <v>0</v>
      </c>
    </row>
    <row r="44" spans="1:12" ht="25.5" x14ac:dyDescent="0.25">
      <c r="A44" s="41" t="str">
        <f>[1]Orçamento!A27</f>
        <v xml:space="preserve"> 4.6 </v>
      </c>
      <c r="B44" s="46" t="str">
        <f>[1]Orçamento!D27</f>
        <v>ARMAÇÃO DE BLOCO, VIGA BALDRAME OU SAPATA UTILIZANDO AÇO CA-50 DE 8 MM - MONTAGEM. AF_06/2017</v>
      </c>
      <c r="C44" s="41" t="str">
        <f>[1]Orçamento!E27</f>
        <v>KG</v>
      </c>
      <c r="D44" s="42"/>
      <c r="E44" s="43">
        <f>[1]Orçamento!H27</f>
        <v>17.489999999999998</v>
      </c>
      <c r="F44" s="43">
        <f>[1]Orçamento!F27</f>
        <v>615</v>
      </c>
      <c r="G44" s="42"/>
      <c r="H44" s="73">
        <f t="shared" si="10"/>
        <v>0</v>
      </c>
      <c r="I44" s="55">
        <f t="shared" si="7"/>
        <v>10756.349999999999</v>
      </c>
      <c r="J44" s="55">
        <f t="shared" si="8"/>
        <v>0</v>
      </c>
      <c r="K44" s="55">
        <f t="shared" si="9"/>
        <v>0</v>
      </c>
      <c r="L44" s="44">
        <f t="shared" si="3"/>
        <v>0</v>
      </c>
    </row>
    <row r="45" spans="1:12" ht="25.5" x14ac:dyDescent="0.25">
      <c r="A45" s="41" t="str">
        <f>[1]Orçamento!A28</f>
        <v xml:space="preserve"> 4.7 </v>
      </c>
      <c r="B45" s="46" t="str">
        <f>[1]Orçamento!D28</f>
        <v>ARMAÇÃO DE BLOCO, VIGA BALDRAME OU SAPATA UTILIZANDO AÇO CA-50 DE 10 MM - MONTAGEM. AF_06/2017</v>
      </c>
      <c r="C45" s="41" t="str">
        <f>[1]Orçamento!E28</f>
        <v>KG</v>
      </c>
      <c r="D45" s="42"/>
      <c r="E45" s="43">
        <f>[1]Orçamento!H28</f>
        <v>15.74</v>
      </c>
      <c r="F45" s="43">
        <f>[1]Orçamento!F28</f>
        <v>1255</v>
      </c>
      <c r="G45" s="127">
        <f>[1]MEM!H381</f>
        <v>1205.0873800000002</v>
      </c>
      <c r="H45" s="73">
        <f t="shared" si="10"/>
        <v>1205.0873800000002</v>
      </c>
      <c r="I45" s="55">
        <f t="shared" si="7"/>
        <v>19753.7</v>
      </c>
      <c r="J45" s="55">
        <f t="shared" si="8"/>
        <v>18968.075361200004</v>
      </c>
      <c r="K45" s="55">
        <f t="shared" si="9"/>
        <v>18968.075361200004</v>
      </c>
      <c r="L45" s="44">
        <f t="shared" si="3"/>
        <v>0.96022898804780898</v>
      </c>
    </row>
    <row r="46" spans="1:12" ht="25.5" x14ac:dyDescent="0.25">
      <c r="A46" s="41" t="str">
        <f>[1]Orçamento!A29</f>
        <v xml:space="preserve"> 4.8 </v>
      </c>
      <c r="B46" s="46" t="str">
        <f>[1]Orçamento!D29</f>
        <v>ARMAÇÃO DE BLOCO, VIGA BALDRAME OU SAPATA UTILIZANDO AÇO CA-50 DE 12,5 MM - MONTAGEM. AF_06/2017</v>
      </c>
      <c r="C46" s="41" t="str">
        <f>[1]Orçamento!E29</f>
        <v>KG</v>
      </c>
      <c r="D46" s="42"/>
      <c r="E46" s="43">
        <f>[1]Orçamento!H29</f>
        <v>13.37</v>
      </c>
      <c r="F46" s="43">
        <f>[1]Orçamento!F29</f>
        <v>422</v>
      </c>
      <c r="G46" s="127">
        <f>[1]MEM!H485</f>
        <v>381.13000000000005</v>
      </c>
      <c r="H46" s="73">
        <f t="shared" si="10"/>
        <v>381.13000000000005</v>
      </c>
      <c r="I46" s="55">
        <f t="shared" si="7"/>
        <v>5642.1399999999994</v>
      </c>
      <c r="J46" s="55">
        <f t="shared" si="8"/>
        <v>5095.7081000000007</v>
      </c>
      <c r="K46" s="55">
        <f t="shared" si="9"/>
        <v>5095.7081000000007</v>
      </c>
      <c r="L46" s="44">
        <f t="shared" si="3"/>
        <v>0.9031516587677727</v>
      </c>
    </row>
    <row r="47" spans="1:12" ht="25.5" x14ac:dyDescent="0.25">
      <c r="A47" s="41" t="str">
        <f>[1]Orçamento!A30</f>
        <v xml:space="preserve"> 4.9 </v>
      </c>
      <c r="B47" s="46" t="str">
        <f>[1]Orçamento!D30</f>
        <v>ARMAÇÃO DE BLOCO, VIGA BALDRAME OU SAPATA UTILIZANDO AÇO CA-50 DE 16 MM - MONTAGEM. AF_06/2017</v>
      </c>
      <c r="C47" s="41" t="str">
        <f>[1]Orçamento!E30</f>
        <v>KG</v>
      </c>
      <c r="D47" s="42"/>
      <c r="E47" s="43">
        <f>[1]Orçamento!H30</f>
        <v>12.7</v>
      </c>
      <c r="F47" s="43">
        <f>[1]Orçamento!F30</f>
        <v>138</v>
      </c>
      <c r="G47" s="127">
        <f>[1]MEM!H520</f>
        <v>92.470799999999997</v>
      </c>
      <c r="H47" s="73">
        <f t="shared" si="10"/>
        <v>92.470799999999997</v>
      </c>
      <c r="I47" s="55">
        <f t="shared" si="7"/>
        <v>1752.6</v>
      </c>
      <c r="J47" s="55">
        <f t="shared" si="8"/>
        <v>1174.37916</v>
      </c>
      <c r="K47" s="55">
        <f t="shared" si="9"/>
        <v>1174.37916</v>
      </c>
      <c r="L47" s="44">
        <f t="shared" si="3"/>
        <v>0.67007826086956523</v>
      </c>
    </row>
    <row r="48" spans="1:12" ht="25.5" x14ac:dyDescent="0.25">
      <c r="A48" s="41" t="str">
        <f>[1]Orçamento!A31</f>
        <v xml:space="preserve"> 4.10 </v>
      </c>
      <c r="B48" s="46" t="str">
        <f>[1]Orçamento!D31</f>
        <v>ARMAÇÃO DE BLOCO, VIGA BALDRAME OU SAPATA UTILIZANDO AÇO CA-50 DE 20 MM - MONTAGEM. AF_06/2017</v>
      </c>
      <c r="C48" s="41" t="str">
        <f>[1]Orçamento!E31</f>
        <v>KG</v>
      </c>
      <c r="D48" s="42"/>
      <c r="E48" s="43">
        <f>[1]Orçamento!H31</f>
        <v>14.17</v>
      </c>
      <c r="F48" s="43">
        <f>[1]Orçamento!F31</f>
        <v>127</v>
      </c>
      <c r="G48" s="127">
        <f>[1]MEM!H530</f>
        <v>0</v>
      </c>
      <c r="H48" s="73">
        <f t="shared" si="10"/>
        <v>0</v>
      </c>
      <c r="I48" s="55">
        <f t="shared" si="7"/>
        <v>1799.59</v>
      </c>
      <c r="J48" s="55">
        <f t="shared" si="8"/>
        <v>0</v>
      </c>
      <c r="K48" s="55">
        <f t="shared" si="9"/>
        <v>0</v>
      </c>
      <c r="L48" s="44">
        <f t="shared" si="3"/>
        <v>0</v>
      </c>
    </row>
    <row r="49" spans="1:12" ht="25.5" x14ac:dyDescent="0.25">
      <c r="A49" s="41" t="str">
        <f>[1]Orçamento!A32</f>
        <v xml:space="preserve"> 4.11 </v>
      </c>
      <c r="B49" s="46" t="str">
        <f>[1]Orçamento!D32</f>
        <v>FABRICAÇÃO, MONTAGEM E DESMONTAGEM DE FÔRMA PARA SAPATA, EM CHAPA DE MADEIRA COMPENSADA RESINADA, E=17 MM, 2 UTILIZAÇÕES. AF_06/2017</v>
      </c>
      <c r="C49" s="41" t="str">
        <f>[1]Orçamento!E32</f>
        <v>m²</v>
      </c>
      <c r="D49" s="42"/>
      <c r="E49" s="43">
        <f>[1]Orçamento!H32</f>
        <v>287.05</v>
      </c>
      <c r="F49" s="43">
        <f>[1]Orçamento!F32</f>
        <v>112.53</v>
      </c>
      <c r="G49" s="127">
        <f>[1]MEM!I536</f>
        <v>82.200000000000017</v>
      </c>
      <c r="H49" s="73">
        <f t="shared" si="10"/>
        <v>82.200000000000017</v>
      </c>
      <c r="I49" s="55">
        <f t="shared" si="7"/>
        <v>32301.736500000003</v>
      </c>
      <c r="J49" s="55">
        <f t="shared" si="8"/>
        <v>23595.510000000006</v>
      </c>
      <c r="K49" s="55">
        <f t="shared" si="9"/>
        <v>23595.510000000006</v>
      </c>
      <c r="L49" s="44">
        <f t="shared" si="3"/>
        <v>0.73047187416688897</v>
      </c>
    </row>
    <row r="50" spans="1:12" ht="25.5" x14ac:dyDescent="0.25">
      <c r="A50" s="41" t="str">
        <f>[1]Orçamento!A33</f>
        <v xml:space="preserve"> 4.12 </v>
      </c>
      <c r="B50" s="46" t="str">
        <f>[1]Orçamento!D33</f>
        <v>FABRICAÇÃO, MONTAGEM E DESMONTAGEM DE FÔRMA PARA VIGA BALDRAME, EM CHAPA DE MADEIRA COMPENSADA RESINADA, E=17 MM, 2 UTILIZAÇÕES. AF_06/2017</v>
      </c>
      <c r="C50" s="41" t="str">
        <f>[1]Orçamento!E33</f>
        <v>m²</v>
      </c>
      <c r="D50" s="42"/>
      <c r="E50" s="43">
        <f>[1]Orçamento!H33</f>
        <v>125.03</v>
      </c>
      <c r="F50" s="43">
        <f>[1]Orçamento!F33</f>
        <v>1065.24</v>
      </c>
      <c r="G50" s="42"/>
      <c r="H50" s="73">
        <f t="shared" si="10"/>
        <v>0</v>
      </c>
      <c r="I50" s="55">
        <f t="shared" si="7"/>
        <v>133186.9572</v>
      </c>
      <c r="J50" s="55">
        <f t="shared" si="8"/>
        <v>0</v>
      </c>
      <c r="K50" s="55">
        <f t="shared" si="9"/>
        <v>0</v>
      </c>
      <c r="L50" s="44">
        <f t="shared" si="3"/>
        <v>0</v>
      </c>
    </row>
    <row r="51" spans="1:12" ht="25.5" x14ac:dyDescent="0.25">
      <c r="A51" s="41" t="str">
        <f>[1]Orçamento!A34</f>
        <v xml:space="preserve"> 4.13 </v>
      </c>
      <c r="B51" s="46" t="str">
        <f>[1]Orçamento!D34</f>
        <v>ARMAÇÃO DE BLOCO, VIGA BALDRAME OU SAPATA UTILIZANDO AÇO CA-50 DE 25 MM - MONTAGEM. AF_06/2017</v>
      </c>
      <c r="C51" s="41" t="str">
        <f>[1]Orçamento!E34</f>
        <v>KG</v>
      </c>
      <c r="D51" s="42"/>
      <c r="E51" s="43">
        <f>[1]Orçamento!H34</f>
        <v>13.83</v>
      </c>
      <c r="F51" s="43">
        <f>[1]Orçamento!F34</f>
        <v>853</v>
      </c>
      <c r="G51" s="42"/>
      <c r="H51" s="73">
        <f t="shared" si="10"/>
        <v>0</v>
      </c>
      <c r="I51" s="55">
        <f t="shared" si="7"/>
        <v>11796.99</v>
      </c>
      <c r="J51" s="55">
        <f t="shared" si="8"/>
        <v>0</v>
      </c>
      <c r="K51" s="55">
        <f t="shared" si="9"/>
        <v>0</v>
      </c>
      <c r="L51" s="44">
        <f t="shared" si="3"/>
        <v>0</v>
      </c>
    </row>
    <row r="52" spans="1:12" ht="25.5" x14ac:dyDescent="0.25">
      <c r="A52" s="41" t="str">
        <f>[1]Orçamento!A35</f>
        <v xml:space="preserve"> 4.14 </v>
      </c>
      <c r="B52" s="46" t="str">
        <f>[1]Orçamento!D35</f>
        <v>IMPERMEABILIZAÇÃO DE FLOREIRA OU VIGA BALDRAME COM ARGAMASSA DE CIMENTO E AREIA, COM ADITIVO IMPERMEABILIZANTE, E = 2 CM. AF_06/2018</v>
      </c>
      <c r="C52" s="41" t="str">
        <f>[1]Orçamento!E35</f>
        <v>m²</v>
      </c>
      <c r="D52" s="42"/>
      <c r="E52" s="43">
        <f>[1]Orçamento!H35</f>
        <v>43.5</v>
      </c>
      <c r="F52" s="43">
        <f>[1]Orçamento!F35</f>
        <v>832.65</v>
      </c>
      <c r="G52" s="42"/>
      <c r="H52" s="73">
        <f t="shared" si="10"/>
        <v>0</v>
      </c>
      <c r="I52" s="55">
        <f t="shared" si="7"/>
        <v>36220.275000000001</v>
      </c>
      <c r="J52" s="55">
        <f t="shared" si="8"/>
        <v>0</v>
      </c>
      <c r="K52" s="55">
        <f t="shared" si="9"/>
        <v>0</v>
      </c>
      <c r="L52" s="44">
        <f t="shared" si="3"/>
        <v>0</v>
      </c>
    </row>
    <row r="53" spans="1:12" x14ac:dyDescent="0.25">
      <c r="A53" s="39" t="str">
        <f>[1]Orçamento!A36</f>
        <v xml:space="preserve"> 5 </v>
      </c>
      <c r="B53" s="45" t="str">
        <f>[1]Orçamento!D36</f>
        <v>SUPERESTRUTURA</v>
      </c>
      <c r="C53" s="39"/>
      <c r="D53" s="47"/>
      <c r="E53" s="48"/>
      <c r="F53" s="48"/>
      <c r="G53" s="47"/>
      <c r="H53" s="47"/>
      <c r="I53" s="56"/>
      <c r="J53" s="56"/>
      <c r="K53" s="56"/>
      <c r="L53" s="49"/>
    </row>
    <row r="54" spans="1:12" ht="25.5" x14ac:dyDescent="0.25">
      <c r="A54" s="41" t="str">
        <f>[1]Orçamento!A37</f>
        <v xml:space="preserve"> 5.1 </v>
      </c>
      <c r="B54" s="46" t="str">
        <f>[1]Orçamento!D37</f>
        <v>CONCRETO USINADO BOMBEAVEL, CLASSE DE RESISTENCIA C40, COM BRITA 0 E 1, SLUMP = 100 +/- 20 MM, INCLUI SERVICO DE BOMBEAMENTO (NBR 8953)</v>
      </c>
      <c r="C54" s="41" t="str">
        <f>[1]Orçamento!E37</f>
        <v>m³</v>
      </c>
      <c r="D54" s="42"/>
      <c r="E54" s="43">
        <f>[1]Orçamento!H37</f>
        <v>565.05999999999995</v>
      </c>
      <c r="F54" s="43">
        <f>[1]Orçamento!F37</f>
        <v>425.6</v>
      </c>
      <c r="G54" s="43">
        <f>[1]MEM!H592</f>
        <v>5.4799999999999995</v>
      </c>
      <c r="H54" s="43">
        <f>G54</f>
        <v>5.4799999999999995</v>
      </c>
      <c r="I54" s="55">
        <f t="shared" si="7"/>
        <v>240489.53599999999</v>
      </c>
      <c r="J54" s="55">
        <f>E54*G54</f>
        <v>3096.5287999999996</v>
      </c>
      <c r="K54" s="55">
        <f t="shared" si="9"/>
        <v>3096.5287999999996</v>
      </c>
      <c r="L54" s="44">
        <f t="shared" si="3"/>
        <v>1.2875939849624058E-2</v>
      </c>
    </row>
    <row r="55" spans="1:12" ht="25.5" x14ac:dyDescent="0.25">
      <c r="A55" s="41" t="str">
        <f>[1]Orçamento!A38</f>
        <v xml:space="preserve"> 5.2 </v>
      </c>
      <c r="B55" s="46" t="str">
        <f>[1]Orçamento!D38</f>
        <v>LANÇAMENTO COM USO DE BOMBA, ADENSAMENTO E ACABAMENTO DE CONCRETO EM ESTRUTURAS. AF_02/2022</v>
      </c>
      <c r="C55" s="41" t="str">
        <f>[1]Orçamento!E38</f>
        <v>m³</v>
      </c>
      <c r="D55" s="42"/>
      <c r="E55" s="43">
        <f>[1]Orçamento!H38</f>
        <v>36.36</v>
      </c>
      <c r="F55" s="43">
        <f>[1]Orçamento!F38</f>
        <v>425.6</v>
      </c>
      <c r="G55" s="43">
        <f>[1]MEM!H658</f>
        <v>5.4799999999999995</v>
      </c>
      <c r="H55" s="43">
        <f>G55</f>
        <v>5.4799999999999995</v>
      </c>
      <c r="I55" s="55">
        <f t="shared" si="7"/>
        <v>15474.816000000001</v>
      </c>
      <c r="J55" s="55">
        <f>E55*G55</f>
        <v>199.25279999999998</v>
      </c>
      <c r="K55" s="55">
        <f t="shared" si="9"/>
        <v>199.25279999999998</v>
      </c>
      <c r="L55" s="44">
        <f t="shared" si="3"/>
        <v>1.2875939849624058E-2</v>
      </c>
    </row>
    <row r="56" spans="1:12" ht="38.25" x14ac:dyDescent="0.25">
      <c r="A56" s="41" t="str">
        <f>[1]Orçamento!A39</f>
        <v xml:space="preserve"> 5.3 </v>
      </c>
      <c r="B56" s="46" t="str">
        <f>[1]Orçamento!D39</f>
        <v>ARMAÇÃO DE PILAR OU VIGA DE UMA ESTRUTURA CONVENCIONAL DE CONCRETO ARMADO EM UMA EDIFICAÇÃO TÉRREA OU SOBRADO UTILIZANDO AÇO CA-60 DE 5,0 MM - MONTAGEM. AF_12/2015</v>
      </c>
      <c r="C56" s="41" t="str">
        <f>[1]Orçamento!E39</f>
        <v>KG</v>
      </c>
      <c r="D56" s="42"/>
      <c r="E56" s="43">
        <f>[1]Orçamento!H39</f>
        <v>20.04</v>
      </c>
      <c r="F56" s="43">
        <f>[1]Orçamento!F39</f>
        <v>3857</v>
      </c>
      <c r="G56" s="42"/>
      <c r="H56" s="42"/>
      <c r="I56" s="55">
        <f t="shared" si="7"/>
        <v>77294.28</v>
      </c>
      <c r="J56" s="55"/>
      <c r="K56" s="55"/>
      <c r="L56" s="44">
        <f t="shared" si="3"/>
        <v>0</v>
      </c>
    </row>
    <row r="57" spans="1:12" ht="38.25" x14ac:dyDescent="0.25">
      <c r="A57" s="41" t="str">
        <f>[1]Orçamento!A40</f>
        <v xml:space="preserve"> 5.4 </v>
      </c>
      <c r="B57" s="46" t="str">
        <f>[1]Orçamento!D40</f>
        <v>ARMAÇÃO DE PILAR OU VIGA DE UMA ESTRUTURA CONVENCIONAL DE CONCRETO ARMADO EM UMA EDIFICAÇÃO TÉRREA OU SOBRADO UTILIZANDO AÇO CA-50 DE 6,3 MM - MONTAGEM. AF_12/2015</v>
      </c>
      <c r="C57" s="41" t="str">
        <f>[1]Orçamento!E40</f>
        <v>KG</v>
      </c>
      <c r="D57" s="42"/>
      <c r="E57" s="43">
        <f>[1]Orçamento!H40</f>
        <v>18.89</v>
      </c>
      <c r="F57" s="43">
        <f>[1]Orçamento!F40</f>
        <v>1556</v>
      </c>
      <c r="G57" s="42"/>
      <c r="H57" s="42"/>
      <c r="I57" s="55">
        <f t="shared" si="7"/>
        <v>29392.84</v>
      </c>
      <c r="J57" s="55"/>
      <c r="K57" s="55"/>
      <c r="L57" s="44">
        <f t="shared" si="3"/>
        <v>0</v>
      </c>
    </row>
    <row r="58" spans="1:12" ht="38.25" x14ac:dyDescent="0.25">
      <c r="A58" s="41" t="str">
        <f>[1]Orçamento!A41</f>
        <v xml:space="preserve"> 5.5 </v>
      </c>
      <c r="B58" s="46" t="str">
        <f>[1]Orçamento!D41</f>
        <v>ARMAÇÃO DE PILAR OU VIGA DE UMA ESTRUTURA CONVENCIONAL DE CONCRETO ARMADO EM UMA EDIFICAÇÃO TÉRREA OU SOBRADO UTILIZANDO AÇO CA-50 DE 8,0 MM - MONTAGEM. AF_12/2015</v>
      </c>
      <c r="C58" s="41" t="str">
        <f>[1]Orçamento!E41</f>
        <v>KG</v>
      </c>
      <c r="D58" s="42"/>
      <c r="E58" s="43">
        <f>[1]Orçamento!H41</f>
        <v>17.63</v>
      </c>
      <c r="F58" s="43">
        <f>[1]Orçamento!F41</f>
        <v>7190.9</v>
      </c>
      <c r="G58" s="42"/>
      <c r="H58" s="42"/>
      <c r="I58" s="55">
        <f t="shared" si="7"/>
        <v>126775.56699999998</v>
      </c>
      <c r="J58" s="55"/>
      <c r="K58" s="55"/>
      <c r="L58" s="44">
        <f t="shared" si="3"/>
        <v>0</v>
      </c>
    </row>
    <row r="59" spans="1:12" ht="38.25" x14ac:dyDescent="0.25">
      <c r="A59" s="41" t="str">
        <f>[1]Orçamento!A42</f>
        <v xml:space="preserve"> 5.6 </v>
      </c>
      <c r="B59" s="46" t="str">
        <f>[1]Orçamento!D42</f>
        <v>ARMAÇÃO DE PILAR OU VIGA DE UMA ESTRUTURA CONVENCIONAL DE CONCRETO ARMADO EM UMA EDIFICAÇÃO TÉRREA OU SOBRADO UTILIZANDO AÇO CA-50 DE 10,0 MM - MONTAGEM. AF_12/2015</v>
      </c>
      <c r="C59" s="41" t="str">
        <f>[1]Orçamento!E42</f>
        <v>KG</v>
      </c>
      <c r="D59" s="42"/>
      <c r="E59" s="43">
        <f>[1]Orçamento!H42</f>
        <v>15.75</v>
      </c>
      <c r="F59" s="43">
        <f>[1]Orçamento!F42</f>
        <v>8536</v>
      </c>
      <c r="G59" s="42"/>
      <c r="H59" s="42"/>
      <c r="I59" s="55">
        <f t="shared" si="7"/>
        <v>134442</v>
      </c>
      <c r="J59" s="55"/>
      <c r="K59" s="55"/>
      <c r="L59" s="44">
        <f t="shared" si="3"/>
        <v>0</v>
      </c>
    </row>
    <row r="60" spans="1:12" ht="38.25" x14ac:dyDescent="0.25">
      <c r="A60" s="41" t="str">
        <f>[1]Orçamento!A43</f>
        <v xml:space="preserve"> 5.7 </v>
      </c>
      <c r="B60" s="46" t="str">
        <f>[1]Orçamento!D43</f>
        <v>ARMAÇÃO DE PILAR OU VIGA DE UMA ESTRUTURA CONVENCIONAL DE CONCRETO ARMADO EM UMA EDIFICAÇÃO TÉRREA OU SOBRADO UTILIZANDO AÇO CA-50 DE 12,5 MM - MONTAGEM. AF_12/2015</v>
      </c>
      <c r="C60" s="41" t="str">
        <f>[1]Orçamento!E43</f>
        <v>KG</v>
      </c>
      <c r="D60" s="42"/>
      <c r="E60" s="43">
        <f>[1]Orçamento!H43</f>
        <v>13.27</v>
      </c>
      <c r="F60" s="43">
        <f>[1]Orçamento!F43</f>
        <v>10362.9</v>
      </c>
      <c r="G60" s="42"/>
      <c r="H60" s="42"/>
      <c r="I60" s="55">
        <f t="shared" si="7"/>
        <v>137515.68299999999</v>
      </c>
      <c r="J60" s="55"/>
      <c r="K60" s="55"/>
      <c r="L60" s="44">
        <f t="shared" si="3"/>
        <v>0</v>
      </c>
    </row>
    <row r="61" spans="1:12" ht="38.25" x14ac:dyDescent="0.25">
      <c r="A61" s="41" t="str">
        <f>[1]Orçamento!A44</f>
        <v xml:space="preserve"> 5.8 </v>
      </c>
      <c r="B61" s="46" t="str">
        <f>[1]Orçamento!D44</f>
        <v>ARMAÇÃO DE PILAR OU VIGA DE UMA ESTRUTURA CONVENCIONAL DE CONCRETO ARMADO EM UMA EDIFICAÇÃO TÉRREA OU SOBRADO UTILIZANDO AÇO CA-50 DE 16,0 MM - MONTAGEM. AF_12/2015</v>
      </c>
      <c r="C61" s="41" t="str">
        <f>[1]Orçamento!E44</f>
        <v>KG</v>
      </c>
      <c r="D61" s="42"/>
      <c r="E61" s="43">
        <f>[1]Orçamento!H44</f>
        <v>12.54</v>
      </c>
      <c r="F61" s="43">
        <f>[1]Orçamento!F44</f>
        <v>3520.1</v>
      </c>
      <c r="G61" s="42"/>
      <c r="H61" s="42"/>
      <c r="I61" s="55">
        <f t="shared" si="7"/>
        <v>44142.053999999996</v>
      </c>
      <c r="J61" s="55"/>
      <c r="K61" s="55"/>
      <c r="L61" s="44">
        <f t="shared" si="3"/>
        <v>0</v>
      </c>
    </row>
    <row r="62" spans="1:12" ht="25.5" x14ac:dyDescent="0.25">
      <c r="A62" s="41" t="str">
        <f>[1]Orçamento!A45</f>
        <v xml:space="preserve"> 5.9 </v>
      </c>
      <c r="B62" s="46" t="str">
        <f>[1]Orçamento!D45</f>
        <v>ARMAÇÃO DE PILAR OU VIGA DE ESTRUTURA CONVENCIONAL DE CONCRETO ARMADO UTILIZANDO AÇO CA-50 DE 20,0 MM - MONTAGEM. AF_06/2022</v>
      </c>
      <c r="C62" s="41" t="str">
        <f>[1]Orçamento!E45</f>
        <v>KG</v>
      </c>
      <c r="D62" s="42"/>
      <c r="E62" s="43">
        <f>[1]Orçamento!H45</f>
        <v>13.47</v>
      </c>
      <c r="F62" s="43">
        <f>[1]Orçamento!F45</f>
        <v>1155.7</v>
      </c>
      <c r="G62" s="42"/>
      <c r="H62" s="42"/>
      <c r="I62" s="55">
        <f t="shared" si="7"/>
        <v>15567.279</v>
      </c>
      <c r="J62" s="55"/>
      <c r="K62" s="55"/>
      <c r="L62" s="44">
        <f t="shared" si="3"/>
        <v>0</v>
      </c>
    </row>
    <row r="63" spans="1:12" ht="25.5" x14ac:dyDescent="0.25">
      <c r="A63" s="41" t="str">
        <f>[1]Orçamento!A46</f>
        <v xml:space="preserve"> 5.10 </v>
      </c>
      <c r="B63" s="46" t="str">
        <f>[1]Orçamento!D46</f>
        <v>ARMAÇÃO DE PILAR OU VIGA DE ESTRUTURA CONVENCIONAL DE CONCRETO ARMADO UTILIZANDO AÇO CA-50 DE 25,0 MM - MONTAGEM. AF_06/2022</v>
      </c>
      <c r="C63" s="41" t="str">
        <f>[1]Orçamento!E46</f>
        <v>KG</v>
      </c>
      <c r="D63" s="42"/>
      <c r="E63" s="43">
        <f>[1]Orçamento!H46</f>
        <v>13.38</v>
      </c>
      <c r="F63" s="43">
        <f>[1]Orçamento!F46</f>
        <v>820.3</v>
      </c>
      <c r="G63" s="42"/>
      <c r="H63" s="42"/>
      <c r="I63" s="55">
        <f t="shared" si="7"/>
        <v>10975.614</v>
      </c>
      <c r="J63" s="55"/>
      <c r="K63" s="55"/>
      <c r="L63" s="44">
        <f t="shared" si="3"/>
        <v>0</v>
      </c>
    </row>
    <row r="64" spans="1:12" ht="25.5" x14ac:dyDescent="0.25">
      <c r="A64" s="41" t="str">
        <f>[1]Orçamento!A47</f>
        <v xml:space="preserve"> 5.11 </v>
      </c>
      <c r="B64" s="46" t="str">
        <f>[1]Orçamento!D47</f>
        <v>LAJE PRÉ-MOLDADA UNIDIRECIONAL, BIAPOIADA, PARA FORRO, ENCHIMENTO EM CERÂMICA, VIGOTA CONVENCIONAL, ALTURA TOTAL DA LAJE (ENCHIMENTO+CAPA) = (8+3). AF_11/2020</v>
      </c>
      <c r="C64" s="41" t="str">
        <f>[1]Orçamento!E47</f>
        <v>m²</v>
      </c>
      <c r="D64" s="42"/>
      <c r="E64" s="43">
        <f>[1]Orçamento!H47</f>
        <v>173.16</v>
      </c>
      <c r="F64" s="43">
        <f>[1]Orçamento!F47</f>
        <v>258</v>
      </c>
      <c r="G64" s="42"/>
      <c r="H64" s="42"/>
      <c r="I64" s="55">
        <f t="shared" si="7"/>
        <v>44675.28</v>
      </c>
      <c r="J64" s="55"/>
      <c r="K64" s="55"/>
      <c r="L64" s="44">
        <f t="shared" si="3"/>
        <v>0</v>
      </c>
    </row>
    <row r="65" spans="1:12" ht="25.5" x14ac:dyDescent="0.25">
      <c r="A65" s="41" t="str">
        <f>[1]Orçamento!A48</f>
        <v xml:space="preserve"> 5.12 </v>
      </c>
      <c r="B65" s="46" t="str">
        <f>[1]Orçamento!D48</f>
        <v>MONTAGEM E DESMONTAGEM DE FÔRMA DE LAJE MACIÇA, PÉ-DIREITO SIMPLES, EM CHAPA DE MADEIRA COMPENSADA RESINADA, 4 UTILIZAÇÕES. AF_09/2020</v>
      </c>
      <c r="C65" s="41" t="str">
        <f>[1]Orçamento!E48</f>
        <v>m²</v>
      </c>
      <c r="D65" s="42"/>
      <c r="E65" s="43">
        <f>[1]Orçamento!H48</f>
        <v>42.96</v>
      </c>
      <c r="F65" s="43">
        <f>[1]Orçamento!F48</f>
        <v>1363.47</v>
      </c>
      <c r="G65" s="42"/>
      <c r="H65" s="42"/>
      <c r="I65" s="55">
        <f t="shared" si="7"/>
        <v>58574.671200000004</v>
      </c>
      <c r="J65" s="55"/>
      <c r="K65" s="55"/>
      <c r="L65" s="44">
        <f t="shared" si="3"/>
        <v>0</v>
      </c>
    </row>
    <row r="66" spans="1:12" ht="25.5" x14ac:dyDescent="0.25">
      <c r="A66" s="41" t="str">
        <f>[1]Orçamento!A49</f>
        <v xml:space="preserve"> 5.13 </v>
      </c>
      <c r="B66" s="46" t="str">
        <f>[1]Orçamento!D49</f>
        <v>MONTAGEM E DESMONTAGEM DE FÔRMA DE VIGA, ESCORAMENTO METÁLICO, PÉ-DIREITO SIMPLES, EM CHAPA DE MADEIRA RESINADA, 4 UTILIZAÇÕES. AF_09/2020</v>
      </c>
      <c r="C66" s="41" t="str">
        <f>[1]Orçamento!E49</f>
        <v>m²</v>
      </c>
      <c r="D66" s="42"/>
      <c r="E66" s="43">
        <f>[1]Orçamento!H49</f>
        <v>114.95</v>
      </c>
      <c r="F66" s="43">
        <f>[1]Orçamento!F49</f>
        <v>931.33</v>
      </c>
      <c r="G66" s="42"/>
      <c r="H66" s="42"/>
      <c r="I66" s="55">
        <f t="shared" si="7"/>
        <v>107056.38350000001</v>
      </c>
      <c r="J66" s="55"/>
      <c r="K66" s="55"/>
      <c r="L66" s="44">
        <f t="shared" si="3"/>
        <v>0</v>
      </c>
    </row>
    <row r="67" spans="1:12" ht="38.25" x14ac:dyDescent="0.25">
      <c r="A67" s="41" t="str">
        <f>[1]Orçamento!A50</f>
        <v xml:space="preserve"> 5.14 </v>
      </c>
      <c r="B67" s="46" t="str">
        <f>[1]Orçamento!D50</f>
        <v>MONTAGEM E DESMONTAGEM DE FÔRMA DE PILARES RETANGULARES E ESTRUTURAS SIMILARES, PÉ-DIREITO SIMPLES, EM CHAPA DE MADEIRA COMPENSADA RESINADA, 4 UTILIZAÇÕES. AF_09/2020</v>
      </c>
      <c r="C67" s="41" t="str">
        <f>[1]Orçamento!E50</f>
        <v>m²</v>
      </c>
      <c r="D67" s="42"/>
      <c r="E67" s="43">
        <f>[1]Orçamento!H50</f>
        <v>77.819999999999993</v>
      </c>
      <c r="F67" s="43">
        <f>[1]Orçamento!F50</f>
        <v>769.49</v>
      </c>
      <c r="G67" s="43">
        <f>[1]MEM!I724</f>
        <v>77.464999999999975</v>
      </c>
      <c r="H67" s="43">
        <f>G67</f>
        <v>77.464999999999975</v>
      </c>
      <c r="I67" s="55">
        <f t="shared" si="7"/>
        <v>59881.711799999997</v>
      </c>
      <c r="J67" s="55">
        <f>E67*G67</f>
        <v>6028.3262999999979</v>
      </c>
      <c r="K67" s="55">
        <f t="shared" ref="K67" si="11">E67*H67</f>
        <v>6028.3262999999979</v>
      </c>
      <c r="L67" s="44">
        <f t="shared" si="3"/>
        <v>0.10067057401655639</v>
      </c>
    </row>
    <row r="68" spans="1:12" ht="38.25" x14ac:dyDescent="0.25">
      <c r="A68" s="41" t="str">
        <f>[1]Orçamento!A51</f>
        <v xml:space="preserve"> 5.15 </v>
      </c>
      <c r="B68" s="46" t="str">
        <f>[1]Orçamento!D51</f>
        <v>ESTRUTURA TRELIÇADA DE COBERTURA, TIPO ARCO, COM LIGAÇÕES SOLDADAS, INCLUSOS PERFIS METÁLICOS, CHAPAS METÁLICAS, MÃO DE OBRA E TRANSPORTE COM GUINDASTE - FORNECIMENTO E INSTALAÇÃO. AF_01/2020_P</v>
      </c>
      <c r="C68" s="41" t="str">
        <f>[1]Orçamento!E51</f>
        <v>KG</v>
      </c>
      <c r="D68" s="42"/>
      <c r="E68" s="43">
        <f>[1]Orçamento!H51</f>
        <v>22.9</v>
      </c>
      <c r="F68" s="43">
        <f>[1]Orçamento!F51</f>
        <v>39930</v>
      </c>
      <c r="G68" s="42"/>
      <c r="H68" s="42"/>
      <c r="I68" s="55">
        <f t="shared" si="7"/>
        <v>914397</v>
      </c>
      <c r="J68" s="55"/>
      <c r="K68" s="55"/>
      <c r="L68" s="44">
        <f t="shared" si="3"/>
        <v>0</v>
      </c>
    </row>
    <row r="69" spans="1:12" x14ac:dyDescent="0.25">
      <c r="A69" s="39" t="str">
        <f>[1]Orçamento!A52</f>
        <v xml:space="preserve"> 6 </v>
      </c>
      <c r="B69" s="45" t="str">
        <f>[1]Orçamento!D52</f>
        <v>VEDAÇÕES</v>
      </c>
      <c r="C69" s="39"/>
      <c r="D69" s="47"/>
      <c r="E69" s="48"/>
      <c r="F69" s="48"/>
      <c r="G69" s="47"/>
      <c r="H69" s="47"/>
      <c r="I69" s="56"/>
      <c r="J69" s="56"/>
      <c r="K69" s="56"/>
      <c r="L69" s="49"/>
    </row>
    <row r="70" spans="1:12"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2"/>
      <c r="E70" s="43">
        <f>[1]Orçamento!H53</f>
        <v>81.739999999999995</v>
      </c>
      <c r="F70" s="43">
        <f>[1]Orçamento!F53</f>
        <v>5010.03</v>
      </c>
      <c r="G70" s="42"/>
      <c r="H70" s="42"/>
      <c r="I70" s="55">
        <f t="shared" si="7"/>
        <v>409519.85219999996</v>
      </c>
      <c r="J70" s="55"/>
      <c r="K70" s="55"/>
      <c r="L70" s="44">
        <f t="shared" si="3"/>
        <v>0</v>
      </c>
    </row>
    <row r="71" spans="1:12" x14ac:dyDescent="0.25">
      <c r="A71" s="41" t="str">
        <f>[1]Orçamento!A54</f>
        <v xml:space="preserve"> 6.2 </v>
      </c>
      <c r="B71" s="46" t="str">
        <f>[1]Orçamento!D54</f>
        <v>ALVENARIA DE VEDAÇÃO DE BLOCOS DE GESSO DE 7X50X66CM (ESPESSURA 7CM). AF_05/2020</v>
      </c>
      <c r="C71" s="41" t="str">
        <f>[1]Orçamento!E54</f>
        <v>m²</v>
      </c>
      <c r="D71" s="42"/>
      <c r="E71" s="43">
        <f>[1]Orçamento!H54</f>
        <v>66.09</v>
      </c>
      <c r="F71" s="43">
        <f>[1]Orçamento!F54</f>
        <v>18.91</v>
      </c>
      <c r="G71" s="42"/>
      <c r="H71" s="42"/>
      <c r="I71" s="55">
        <f t="shared" si="7"/>
        <v>1249.7619</v>
      </c>
      <c r="J71" s="55"/>
      <c r="K71" s="55"/>
      <c r="L71" s="44">
        <f t="shared" si="3"/>
        <v>0</v>
      </c>
    </row>
    <row r="72" spans="1:12"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2"/>
      <c r="E72" s="43">
        <f>[1]Orçamento!H55</f>
        <v>653.51</v>
      </c>
      <c r="F72" s="43">
        <f>[1]Orçamento!F55</f>
        <v>70.52</v>
      </c>
      <c r="G72" s="42"/>
      <c r="H72" s="42"/>
      <c r="I72" s="55">
        <f t="shared" si="7"/>
        <v>46085.525199999996</v>
      </c>
      <c r="J72" s="55"/>
      <c r="K72" s="55"/>
      <c r="L72" s="44">
        <f t="shared" si="3"/>
        <v>0</v>
      </c>
    </row>
    <row r="73" spans="1:12" x14ac:dyDescent="0.25">
      <c r="A73" s="41" t="str">
        <f>[1]Orçamento!A56</f>
        <v xml:space="preserve"> 6.4 </v>
      </c>
      <c r="B73" s="46" t="str">
        <f>[1]Orçamento!D56</f>
        <v>CINTA DE AMARRAÇÃO DE ALVENARIA MOLDADA IN LOCO EM CONCRETO. AF_03/2016</v>
      </c>
      <c r="C73" s="41" t="str">
        <f>[1]Orçamento!E56</f>
        <v>M</v>
      </c>
      <c r="D73" s="42"/>
      <c r="E73" s="43">
        <f>[1]Orçamento!H56</f>
        <v>64.180000000000007</v>
      </c>
      <c r="F73" s="43">
        <f>[1]Orçamento!F56</f>
        <v>1110.2</v>
      </c>
      <c r="G73" s="42"/>
      <c r="H73" s="42"/>
      <c r="I73" s="55">
        <f t="shared" si="7"/>
        <v>71252.636000000013</v>
      </c>
      <c r="J73" s="55"/>
      <c r="K73" s="55"/>
      <c r="L73" s="44">
        <f t="shared" si="3"/>
        <v>0</v>
      </c>
    </row>
    <row r="74" spans="1:12" x14ac:dyDescent="0.25">
      <c r="A74" s="41" t="str">
        <f>[1]Orçamento!A57</f>
        <v xml:space="preserve"> 6.5 </v>
      </c>
      <c r="B74" s="46" t="str">
        <f>[1]Orçamento!D57</f>
        <v>VERGA PRÉ-MOLDADA PARA JANELAS COM ATÉ 1,5 M DE VÃO. AF_03/2016</v>
      </c>
      <c r="C74" s="41" t="str">
        <f>[1]Orçamento!E57</f>
        <v>M</v>
      </c>
      <c r="D74" s="42"/>
      <c r="E74" s="43">
        <f>[1]Orçamento!H57</f>
        <v>49.49</v>
      </c>
      <c r="F74" s="43">
        <f>[1]Orçamento!F57</f>
        <v>37.6</v>
      </c>
      <c r="G74" s="42"/>
      <c r="H74" s="42"/>
      <c r="I74" s="55">
        <f t="shared" si="7"/>
        <v>1860.8240000000001</v>
      </c>
      <c r="J74" s="55"/>
      <c r="K74" s="55"/>
      <c r="L74" s="44">
        <f t="shared" si="3"/>
        <v>0</v>
      </c>
    </row>
    <row r="75" spans="1:12" x14ac:dyDescent="0.25">
      <c r="A75" s="41" t="str">
        <f>[1]Orçamento!A58</f>
        <v xml:space="preserve"> 6.6 </v>
      </c>
      <c r="B75" s="46" t="str">
        <f>[1]Orçamento!D58</f>
        <v>CONTRAVERGA PRÉ-MOLDADA PARA VÃOS DE ATÉ 1,5 M DE COMPRIMENTO. AF_03/2016</v>
      </c>
      <c r="C75" s="41" t="str">
        <f>[1]Orçamento!E58</f>
        <v>M</v>
      </c>
      <c r="D75" s="42"/>
      <c r="E75" s="43">
        <f>[1]Orçamento!H58</f>
        <v>48.51</v>
      </c>
      <c r="F75" s="43">
        <f>[1]Orçamento!F58</f>
        <v>37.6</v>
      </c>
      <c r="G75" s="42"/>
      <c r="H75" s="42"/>
      <c r="I75" s="55">
        <f t="shared" si="7"/>
        <v>1823.9759999999999</v>
      </c>
      <c r="J75" s="55"/>
      <c r="K75" s="55"/>
      <c r="L75" s="44">
        <f t="shared" si="3"/>
        <v>0</v>
      </c>
    </row>
    <row r="76" spans="1:12" x14ac:dyDescent="0.25">
      <c r="A76" s="41" t="str">
        <f>[1]Orçamento!A59</f>
        <v xml:space="preserve"> 6.7 </v>
      </c>
      <c r="B76" s="46" t="str">
        <f>[1]Orçamento!D59</f>
        <v>VERGA PRÉ-MOLDADA PARA JANELAS COM MAIS DE 1,5 M DE VÃO. AF_03/2016</v>
      </c>
      <c r="C76" s="41" t="str">
        <f>[1]Orçamento!E59</f>
        <v>M</v>
      </c>
      <c r="D76" s="42"/>
      <c r="E76" s="43">
        <f>[1]Orçamento!H59</f>
        <v>63.57</v>
      </c>
      <c r="F76" s="43">
        <f>[1]Orçamento!F59</f>
        <v>37.6</v>
      </c>
      <c r="G76" s="42"/>
      <c r="H76" s="42"/>
      <c r="I76" s="55">
        <f t="shared" si="7"/>
        <v>2390.232</v>
      </c>
      <c r="J76" s="55"/>
      <c r="K76" s="55"/>
      <c r="L76" s="44">
        <f t="shared" si="3"/>
        <v>0</v>
      </c>
    </row>
    <row r="77" spans="1:12" x14ac:dyDescent="0.25">
      <c r="A77" s="41" t="str">
        <f>[1]Orçamento!A60</f>
        <v xml:space="preserve"> 6.8 </v>
      </c>
      <c r="B77" s="46" t="str">
        <f>[1]Orçamento!D60</f>
        <v>CONTRAVERGA PRÉ-MOLDADA PARA VÃOS DE MAIS DE 1,5 M DE COMPRIMENTO. AF_03/2016</v>
      </c>
      <c r="C77" s="41" t="str">
        <f>[1]Orçamento!E60</f>
        <v>M</v>
      </c>
      <c r="D77" s="42"/>
      <c r="E77" s="43">
        <f>[1]Orçamento!H60</f>
        <v>58.97</v>
      </c>
      <c r="F77" s="43">
        <f>[1]Orçamento!F60</f>
        <v>37.6</v>
      </c>
      <c r="G77" s="42"/>
      <c r="H77" s="42"/>
      <c r="I77" s="55">
        <f t="shared" si="7"/>
        <v>2217.2719999999999</v>
      </c>
      <c r="J77" s="55"/>
      <c r="K77" s="55"/>
      <c r="L77" s="44">
        <f t="shared" si="3"/>
        <v>0</v>
      </c>
    </row>
    <row r="78" spans="1:12" x14ac:dyDescent="0.25">
      <c r="A78" s="41" t="str">
        <f>[1]Orçamento!A61</f>
        <v xml:space="preserve"> 6.9 </v>
      </c>
      <c r="B78" s="46" t="str">
        <f>[1]Orçamento!D61</f>
        <v>VERGA PRÉ-MOLDADA PARA PORTAS COM ATÉ 1,5 M DE VÃO. AF_03/2016</v>
      </c>
      <c r="C78" s="41" t="str">
        <f>[1]Orçamento!E61</f>
        <v>M</v>
      </c>
      <c r="D78" s="42"/>
      <c r="E78" s="43">
        <f>[1]Orçamento!H61</f>
        <v>36.5</v>
      </c>
      <c r="F78" s="43">
        <f>[1]Orçamento!F61</f>
        <v>76.540000000000006</v>
      </c>
      <c r="G78" s="42"/>
      <c r="H78" s="42"/>
      <c r="I78" s="55">
        <f t="shared" si="7"/>
        <v>2793.71</v>
      </c>
      <c r="J78" s="55"/>
      <c r="K78" s="55"/>
      <c r="L78" s="44">
        <f t="shared" si="3"/>
        <v>0</v>
      </c>
    </row>
    <row r="79" spans="1:12" x14ac:dyDescent="0.25">
      <c r="A79" s="41" t="str">
        <f>[1]Orçamento!A62</f>
        <v xml:space="preserve"> 6.10 </v>
      </c>
      <c r="B79" s="46" t="str">
        <f>[1]Orçamento!D62</f>
        <v>VERGA PRÉ-MOLDADA PARA PORTAS COM MAIS DE 1,5 M DE VÃO. AF_03/2016</v>
      </c>
      <c r="C79" s="41" t="str">
        <f>[1]Orçamento!E62</f>
        <v>M</v>
      </c>
      <c r="D79" s="42"/>
      <c r="E79" s="43">
        <f>[1]Orçamento!H62</f>
        <v>62.69</v>
      </c>
      <c r="F79" s="43">
        <f>[1]Orçamento!F62</f>
        <v>50.86</v>
      </c>
      <c r="G79" s="42"/>
      <c r="H79" s="42"/>
      <c r="I79" s="55">
        <f t="shared" si="7"/>
        <v>3188.4133999999999</v>
      </c>
      <c r="J79" s="55"/>
      <c r="K79" s="55"/>
      <c r="L79" s="44">
        <f t="shared" si="3"/>
        <v>0</v>
      </c>
    </row>
    <row r="80" spans="1:12" ht="25.5" x14ac:dyDescent="0.25">
      <c r="A80" s="41" t="str">
        <f>[1]Orçamento!A63</f>
        <v xml:space="preserve"> 6.11 </v>
      </c>
      <c r="B80" s="46" t="str">
        <f>[1]Orçamento!D63</f>
        <v>FIXAÇÃO (ENCUNHAMENTO) DE ALVENARIA DE VEDAÇÃO COM ESPUMA DE POLIURETANO EXPANSIVA. AF_03/2016</v>
      </c>
      <c r="C80" s="41" t="str">
        <f>[1]Orçamento!E63</f>
        <v>M</v>
      </c>
      <c r="D80" s="42"/>
      <c r="E80" s="43">
        <f>[1]Orçamento!H63</f>
        <v>16.25</v>
      </c>
      <c r="F80" s="43">
        <f>[1]Orçamento!F63</f>
        <v>818.67</v>
      </c>
      <c r="G80" s="42"/>
      <c r="H80" s="42"/>
      <c r="I80" s="55">
        <f t="shared" si="7"/>
        <v>13303.387499999999</v>
      </c>
      <c r="J80" s="55"/>
      <c r="K80" s="55"/>
      <c r="L80" s="44">
        <f t="shared" si="3"/>
        <v>0</v>
      </c>
    </row>
    <row r="81" spans="1:12"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2"/>
      <c r="E81" s="43">
        <f>[1]Orçamento!H64</f>
        <v>2117.0300000000002</v>
      </c>
      <c r="F81" s="43">
        <f>[1]Orçamento!F64</f>
        <v>448.8</v>
      </c>
      <c r="G81" s="42"/>
      <c r="H81" s="42"/>
      <c r="I81" s="55">
        <f t="shared" si="7"/>
        <v>950123.06400000013</v>
      </c>
      <c r="J81" s="55"/>
      <c r="K81" s="55"/>
      <c r="L81" s="44">
        <f t="shared" si="3"/>
        <v>0</v>
      </c>
    </row>
    <row r="82" spans="1:12" x14ac:dyDescent="0.25">
      <c r="A82" s="39" t="str">
        <f>[1]Orçamento!A65</f>
        <v xml:space="preserve"> 7 </v>
      </c>
      <c r="B82" s="45" t="str">
        <f>[1]Orçamento!D65</f>
        <v>PISOS INTERNOS E EXTERNOS</v>
      </c>
      <c r="C82" s="39"/>
      <c r="D82" s="47"/>
      <c r="E82" s="48"/>
      <c r="F82" s="48"/>
      <c r="G82" s="47"/>
      <c r="H82" s="47"/>
      <c r="I82" s="56"/>
      <c r="J82" s="56"/>
      <c r="K82" s="56"/>
      <c r="L82" s="49"/>
    </row>
    <row r="83" spans="1:12" ht="25.5" x14ac:dyDescent="0.25">
      <c r="A83" s="41" t="str">
        <f>[1]Orçamento!A66</f>
        <v xml:space="preserve"> 7.1 </v>
      </c>
      <c r="B83" s="46" t="str">
        <f>[1]Orçamento!D66</f>
        <v>CAMADA SEPARADORA PARA EXECUÇÃO DE RADIER, PISO DE CONCRETO OU LAJE SOBRE SOLO, EM LONA PLÁSTICA. AF_09/2021</v>
      </c>
      <c r="C83" s="41" t="str">
        <f>[1]Orçamento!E66</f>
        <v>m²</v>
      </c>
      <c r="D83" s="42"/>
      <c r="E83" s="43">
        <f>[1]Orçamento!H66</f>
        <v>2.65</v>
      </c>
      <c r="F83" s="43">
        <f>[1]Orçamento!F66</f>
        <v>1986.21</v>
      </c>
      <c r="G83" s="42"/>
      <c r="H83" s="42"/>
      <c r="I83" s="55">
        <f t="shared" si="7"/>
        <v>5263.4565000000002</v>
      </c>
      <c r="J83" s="55"/>
      <c r="K83" s="55"/>
      <c r="L83" s="44">
        <f t="shared" si="3"/>
        <v>0</v>
      </c>
    </row>
    <row r="84" spans="1:12"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2"/>
      <c r="E84" s="43">
        <f>[1]Orçamento!H67</f>
        <v>411.19</v>
      </c>
      <c r="F84" s="43">
        <f>[1]Orçamento!F67</f>
        <v>158.9</v>
      </c>
      <c r="G84" s="42"/>
      <c r="H84" s="42"/>
      <c r="I84" s="55">
        <f t="shared" si="7"/>
        <v>65338.091</v>
      </c>
      <c r="J84" s="55"/>
      <c r="K84" s="55"/>
      <c r="L84" s="44">
        <f t="shared" si="3"/>
        <v>0</v>
      </c>
    </row>
    <row r="85" spans="1:12" ht="25.5" x14ac:dyDescent="0.25">
      <c r="A85" s="41" t="str">
        <f>[1]Orçamento!A68</f>
        <v xml:space="preserve"> 7.3 </v>
      </c>
      <c r="B85" s="46" t="str">
        <f>[1]Orçamento!D68</f>
        <v>CONTRAPISO COM ARGAMASSA AUTONIVELANTE, APLICADO SOBRE LAJE, ADERIDO, ESPESSURA 3CM. AF_07/2021</v>
      </c>
      <c r="C85" s="41" t="str">
        <f>[1]Orçamento!E68</f>
        <v>m²</v>
      </c>
      <c r="D85" s="42"/>
      <c r="E85" s="43">
        <f>[1]Orçamento!H68</f>
        <v>29.97</v>
      </c>
      <c r="F85" s="43">
        <f>[1]Orçamento!F68</f>
        <v>1853.76</v>
      </c>
      <c r="G85" s="42"/>
      <c r="H85" s="42"/>
      <c r="I85" s="55">
        <f t="shared" si="7"/>
        <v>55557.1872</v>
      </c>
      <c r="J85" s="55"/>
      <c r="K85" s="55"/>
      <c r="L85" s="44">
        <f t="shared" si="3"/>
        <v>0</v>
      </c>
    </row>
    <row r="86" spans="1:12"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2"/>
      <c r="E86" s="43">
        <f>[1]Orçamento!H69</f>
        <v>185.01</v>
      </c>
      <c r="F86" s="43">
        <f>[1]Orçamento!F69</f>
        <v>203.32</v>
      </c>
      <c r="G86" s="42"/>
      <c r="H86" s="42"/>
      <c r="I86" s="55">
        <f t="shared" si="7"/>
        <v>37616.233199999995</v>
      </c>
      <c r="J86" s="55"/>
      <c r="K86" s="55"/>
      <c r="L86" s="44">
        <f t="shared" si="3"/>
        <v>0</v>
      </c>
    </row>
    <row r="87" spans="1:12"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2"/>
      <c r="E87" s="43">
        <f>[1]Orçamento!H70</f>
        <v>193.94</v>
      </c>
      <c r="F87" s="43">
        <f>[1]Orçamento!F70</f>
        <v>1673</v>
      </c>
      <c r="G87" s="42"/>
      <c r="H87" s="42"/>
      <c r="I87" s="55">
        <f t="shared" si="7"/>
        <v>324461.62</v>
      </c>
      <c r="J87" s="55"/>
      <c r="K87" s="55"/>
      <c r="L87" s="44">
        <f t="shared" si="3"/>
        <v>0</v>
      </c>
    </row>
    <row r="88" spans="1:12"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2"/>
      <c r="E88" s="43">
        <f>[1]Orçamento!H71</f>
        <v>90.17</v>
      </c>
      <c r="F88" s="43">
        <f>[1]Orçamento!F71</f>
        <v>660.13</v>
      </c>
      <c r="G88" s="42"/>
      <c r="H88" s="42"/>
      <c r="I88" s="55">
        <f t="shared" si="7"/>
        <v>59523.922100000003</v>
      </c>
      <c r="J88" s="55"/>
      <c r="K88" s="55"/>
      <c r="L88" s="44">
        <f t="shared" ref="L88:L151" si="12">K88/I88</f>
        <v>0</v>
      </c>
    </row>
    <row r="89" spans="1:12" ht="25.5" x14ac:dyDescent="0.25">
      <c r="A89" s="41" t="str">
        <f>[1]Orçamento!A72</f>
        <v xml:space="preserve"> 7.7 </v>
      </c>
      <c r="B89" s="46" t="str">
        <f>[1]Orçamento!D72</f>
        <v>CARPETE DE POLIPROPILENO EM MANTA PARA TRAFEGO COMERCIAL MEDIO, E = 5 A 6 MM (INSTALADO)</v>
      </c>
      <c r="C89" s="41" t="str">
        <f>[1]Orçamento!E72</f>
        <v>m²</v>
      </c>
      <c r="D89" s="42"/>
      <c r="E89" s="43">
        <f>[1]Orçamento!H72</f>
        <v>100.77</v>
      </c>
      <c r="F89" s="43">
        <f>[1]Orçamento!F72</f>
        <v>400.81</v>
      </c>
      <c r="G89" s="42"/>
      <c r="H89" s="42"/>
      <c r="I89" s="55">
        <f t="shared" si="7"/>
        <v>40389.623699999996</v>
      </c>
      <c r="J89" s="55"/>
      <c r="K89" s="55"/>
      <c r="L89" s="44">
        <f t="shared" si="12"/>
        <v>0</v>
      </c>
    </row>
    <row r="90" spans="1:12" x14ac:dyDescent="0.25">
      <c r="A90" s="41" t="str">
        <f>[1]Orçamento!A73</f>
        <v xml:space="preserve"> 7.8 </v>
      </c>
      <c r="B90" s="46" t="str">
        <f>[1]Orçamento!D73</f>
        <v>PISO EM TACO DE MADEIRA 7X21CM, FIXADO COM COLA BASE DE PVA. AF_09/2020</v>
      </c>
      <c r="C90" s="41" t="str">
        <f>[1]Orçamento!E73</f>
        <v>m²</v>
      </c>
      <c r="D90" s="42"/>
      <c r="E90" s="43">
        <f>[1]Orçamento!H73</f>
        <v>238.04</v>
      </c>
      <c r="F90" s="43">
        <f>[1]Orçamento!F73</f>
        <v>259.32</v>
      </c>
      <c r="G90" s="42"/>
      <c r="H90" s="42"/>
      <c r="I90" s="55">
        <f t="shared" si="7"/>
        <v>61728.532799999994</v>
      </c>
      <c r="J90" s="55"/>
      <c r="K90" s="55"/>
      <c r="L90" s="44">
        <f t="shared" si="12"/>
        <v>0</v>
      </c>
    </row>
    <row r="91" spans="1:12" ht="25.5" x14ac:dyDescent="0.25">
      <c r="A91" s="41" t="str">
        <f>[1]Orçamento!A74</f>
        <v xml:space="preserve"> 7.9 </v>
      </c>
      <c r="B91" s="46" t="str">
        <f>[1]Orçamento!D74</f>
        <v>PISO PODOTÁTIL DE ALERTA OU DIRECIONAL, DE BORRACHA, ASSENTADO SOBRE ARGAMASSA. AF_05/2020</v>
      </c>
      <c r="C91" s="41" t="str">
        <f>[1]Orçamento!E74</f>
        <v>M</v>
      </c>
      <c r="D91" s="42"/>
      <c r="E91" s="43">
        <f>[1]Orçamento!H74</f>
        <v>200.36</v>
      </c>
      <c r="F91" s="43">
        <f>[1]Orçamento!F74</f>
        <v>100</v>
      </c>
      <c r="G91" s="42"/>
      <c r="H91" s="42"/>
      <c r="I91" s="55">
        <f t="shared" si="7"/>
        <v>20036</v>
      </c>
      <c r="J91" s="55"/>
      <c r="K91" s="55"/>
      <c r="L91" s="44">
        <f t="shared" si="12"/>
        <v>0</v>
      </c>
    </row>
    <row r="92" spans="1:12" ht="25.5" x14ac:dyDescent="0.25">
      <c r="A92" s="41" t="str">
        <f>[1]Orçamento!A75</f>
        <v xml:space="preserve"> 7.10 </v>
      </c>
      <c r="B92" s="46" t="str">
        <f>[1]Orçamento!D75</f>
        <v>(COMPOSIÇÃO REPRESENTATIVA) EXECUÇÃO DE ESCADA EM CONCRETO ARMADO, MOLDADA IN LOCO, FCK = 25 MPA. AF_02/2017</v>
      </c>
      <c r="C92" s="41" t="str">
        <f>[1]Orçamento!E75</f>
        <v>m³</v>
      </c>
      <c r="D92" s="42"/>
      <c r="E92" s="43">
        <f>[1]Orçamento!H75</f>
        <v>3363.38</v>
      </c>
      <c r="F92" s="43">
        <f>[1]Orçamento!F75</f>
        <v>8</v>
      </c>
      <c r="G92" s="42"/>
      <c r="H92" s="42"/>
      <c r="I92" s="55">
        <f t="shared" si="7"/>
        <v>26907.040000000001</v>
      </c>
      <c r="J92" s="55"/>
      <c r="K92" s="55"/>
      <c r="L92" s="44">
        <f t="shared" si="12"/>
        <v>0</v>
      </c>
    </row>
    <row r="93" spans="1:12"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2"/>
      <c r="E93" s="43">
        <f>[1]Orçamento!H76</f>
        <v>79.760000000000005</v>
      </c>
      <c r="F93" s="43">
        <f>[1]Orçamento!F76</f>
        <v>2471.02</v>
      </c>
      <c r="G93" s="42"/>
      <c r="H93" s="42"/>
      <c r="I93" s="55">
        <f t="shared" si="7"/>
        <v>197088.5552</v>
      </c>
      <c r="J93" s="55"/>
      <c r="K93" s="55"/>
      <c r="L93" s="44">
        <f t="shared" si="12"/>
        <v>0</v>
      </c>
    </row>
    <row r="94" spans="1:12"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2"/>
      <c r="E94" s="43">
        <f>[1]Orçamento!H77</f>
        <v>41.82</v>
      </c>
      <c r="F94" s="43">
        <f>[1]Orçamento!F77</f>
        <v>932.17</v>
      </c>
      <c r="G94" s="42"/>
      <c r="H94" s="42"/>
      <c r="I94" s="55">
        <f t="shared" si="7"/>
        <v>38983.349399999999</v>
      </c>
      <c r="J94" s="55"/>
      <c r="K94" s="55"/>
      <c r="L94" s="44">
        <f t="shared" si="12"/>
        <v>0</v>
      </c>
    </row>
    <row r="95" spans="1:12" x14ac:dyDescent="0.25">
      <c r="A95" s="41" t="str">
        <f>[1]Orçamento!A78</f>
        <v xml:space="preserve"> 7.13 </v>
      </c>
      <c r="B95" s="46" t="str">
        <f>[1]Orçamento!D78</f>
        <v>AREIA PARA ATERRO - POSTO JAZIDA/FORNECEDOR (RETIRADO NA JAZIDA, SEM TRANSPORTE)</v>
      </c>
      <c r="C95" s="41" t="str">
        <f>[1]Orçamento!E78</f>
        <v>m³</v>
      </c>
      <c r="D95" s="42"/>
      <c r="E95" s="43">
        <f>[1]Orçamento!H78</f>
        <v>62.29</v>
      </c>
      <c r="F95" s="43">
        <f>[1]Orçamento!F78</f>
        <v>296.58</v>
      </c>
      <c r="G95" s="42"/>
      <c r="H95" s="42"/>
      <c r="I95" s="55">
        <f t="shared" si="7"/>
        <v>18473.968199999999</v>
      </c>
      <c r="J95" s="55"/>
      <c r="K95" s="55"/>
      <c r="L95" s="44">
        <f t="shared" si="12"/>
        <v>0</v>
      </c>
    </row>
    <row r="96" spans="1:12" x14ac:dyDescent="0.25">
      <c r="A96" s="39" t="str">
        <f>[1]Orçamento!A79</f>
        <v xml:space="preserve"> 8 </v>
      </c>
      <c r="B96" s="45" t="str">
        <f>[1]Orçamento!D79</f>
        <v>C0BERTA</v>
      </c>
      <c r="C96" s="39"/>
      <c r="D96" s="47"/>
      <c r="E96" s="48"/>
      <c r="F96" s="48"/>
      <c r="G96" s="47"/>
      <c r="H96" s="47"/>
      <c r="I96" s="56"/>
      <c r="J96" s="56"/>
      <c r="K96" s="56"/>
      <c r="L96" s="49"/>
    </row>
    <row r="97" spans="1:12" ht="25.5" x14ac:dyDescent="0.25">
      <c r="A97" s="41" t="str">
        <f>[1]Orçamento!A80</f>
        <v xml:space="preserve"> 8.1 </v>
      </c>
      <c r="B97" s="46" t="str">
        <f>[1]Orçamento!D80</f>
        <v>TELHAMENTO COM TELHA METÁLICA TERMOACÚSTICA E = 30 MM, COM ATÉ 2 ÁGUAS, INCLUSO IÇAMENTO. AF_07/2019</v>
      </c>
      <c r="C97" s="41" t="str">
        <f>[1]Orçamento!E80</f>
        <v>m²</v>
      </c>
      <c r="D97" s="42"/>
      <c r="E97" s="43">
        <f>[1]Orçamento!H80</f>
        <v>276.37</v>
      </c>
      <c r="F97" s="43">
        <f>[1]Orçamento!F80</f>
        <v>709.15</v>
      </c>
      <c r="G97" s="42"/>
      <c r="H97" s="42"/>
      <c r="I97" s="55">
        <f t="shared" si="7"/>
        <v>195987.7855</v>
      </c>
      <c r="J97" s="55"/>
      <c r="K97" s="55"/>
      <c r="L97" s="44">
        <f t="shared" si="12"/>
        <v>0</v>
      </c>
    </row>
    <row r="98" spans="1:12" ht="25.5" x14ac:dyDescent="0.25">
      <c r="A98" s="41" t="str">
        <f>[1]Orçamento!A81</f>
        <v xml:space="preserve"> 8.2 </v>
      </c>
      <c r="B98" s="46" t="str">
        <f>[1]Orçamento!D81</f>
        <v>TELHAMENTO COM TELHA DE AÇO/ALUMÍNIO E = 0,5 MM, COM ATÉ 2 ÁGUAS, INCLUSO IÇAMENTO. AF_07/2019</v>
      </c>
      <c r="C98" s="41" t="str">
        <f>[1]Orçamento!E81</f>
        <v>m²</v>
      </c>
      <c r="D98" s="42"/>
      <c r="E98" s="43">
        <f>[1]Orçamento!H81</f>
        <v>94.36</v>
      </c>
      <c r="F98" s="43">
        <f>[1]Orçamento!F81</f>
        <v>649.82000000000005</v>
      </c>
      <c r="G98" s="42"/>
      <c r="H98" s="42"/>
      <c r="I98" s="55">
        <f t="shared" si="7"/>
        <v>61317.015200000002</v>
      </c>
      <c r="J98" s="55"/>
      <c r="K98" s="55"/>
      <c r="L98" s="44">
        <f t="shared" si="12"/>
        <v>0</v>
      </c>
    </row>
    <row r="99" spans="1:12" ht="25.5" x14ac:dyDescent="0.25">
      <c r="A99" s="41" t="str">
        <f>[1]Orçamento!A82</f>
        <v xml:space="preserve"> 8.3 </v>
      </c>
      <c r="B99" s="46" t="str">
        <f>[1]Orçamento!D82</f>
        <v>CALHA EM CHAPA DE AÇO GALVANIZADO NÚMERO 24, DESENVOLVIMENTO DE 50 CM, INCLUSO TRANSPORTE VERTICAL. AF_07/2019</v>
      </c>
      <c r="C99" s="41" t="str">
        <f>[1]Orçamento!E82</f>
        <v>M</v>
      </c>
      <c r="D99" s="42"/>
      <c r="E99" s="43">
        <f>[1]Orçamento!H82</f>
        <v>90.99</v>
      </c>
      <c r="F99" s="43">
        <f>[1]Orçamento!F82</f>
        <v>152.62</v>
      </c>
      <c r="G99" s="42"/>
      <c r="H99" s="42"/>
      <c r="I99" s="55">
        <f t="shared" si="7"/>
        <v>13886.8938</v>
      </c>
      <c r="J99" s="55"/>
      <c r="K99" s="55"/>
      <c r="L99" s="44">
        <f t="shared" si="12"/>
        <v>0</v>
      </c>
    </row>
    <row r="100" spans="1:12" ht="25.5" x14ac:dyDescent="0.25">
      <c r="A100" s="41" t="str">
        <f>[1]Orçamento!A83</f>
        <v xml:space="preserve"> 8.4 </v>
      </c>
      <c r="B100" s="46" t="str">
        <f>[1]Orçamento!D83</f>
        <v>RUFO EM CHAPA DE AÇO GALVANIZADO NÚMERO 24, CORTE DE 25 CM, INCLUSO TRANSPORTE VERTICAL. AF_07/2019</v>
      </c>
      <c r="C100" s="41" t="str">
        <f>[1]Orçamento!E83</f>
        <v>M</v>
      </c>
      <c r="D100" s="42"/>
      <c r="E100" s="43">
        <f>[1]Orçamento!H83</f>
        <v>56.29</v>
      </c>
      <c r="F100" s="43">
        <f>[1]Orçamento!F83</f>
        <v>152.62</v>
      </c>
      <c r="G100" s="42"/>
      <c r="H100" s="42"/>
      <c r="I100" s="55">
        <f t="shared" si="7"/>
        <v>8590.979800000001</v>
      </c>
      <c r="J100" s="55"/>
      <c r="K100" s="55"/>
      <c r="L100" s="44">
        <f t="shared" si="12"/>
        <v>0</v>
      </c>
    </row>
    <row r="101" spans="1:12" x14ac:dyDescent="0.25">
      <c r="A101" s="39" t="str">
        <f>[1]Orçamento!A84</f>
        <v xml:space="preserve"> 9 </v>
      </c>
      <c r="B101" s="45" t="str">
        <f>[1]Orçamento!D84</f>
        <v>IMPERMEABILIZAÇÕES</v>
      </c>
      <c r="C101" s="39"/>
      <c r="D101" s="47"/>
      <c r="E101" s="48"/>
      <c r="F101" s="48"/>
      <c r="G101" s="47"/>
      <c r="H101" s="47"/>
      <c r="I101" s="56"/>
      <c r="J101" s="56"/>
      <c r="K101" s="56"/>
      <c r="L101" s="49"/>
    </row>
    <row r="102" spans="1:12" ht="25.5" x14ac:dyDescent="0.25">
      <c r="A102" s="41" t="str">
        <f>[1]Orçamento!A85</f>
        <v xml:space="preserve"> 9.1 </v>
      </c>
      <c r="B102" s="46" t="str">
        <f>[1]Orçamento!D85</f>
        <v>CONTRAPISO COM ARGAMASSA AUTONIVELANTE, APLICADO SOBRE LAJE, ADERIDO, ESPESSURA 2CM. AF_07/2021</v>
      </c>
      <c r="C102" s="41" t="str">
        <f>[1]Orçamento!E85</f>
        <v>m²</v>
      </c>
      <c r="D102" s="42"/>
      <c r="E102" s="43">
        <f>[1]Orçamento!H85</f>
        <v>22.31</v>
      </c>
      <c r="F102" s="43">
        <f>[1]Orçamento!F85</f>
        <v>1011.78</v>
      </c>
      <c r="G102" s="42"/>
      <c r="H102" s="42"/>
      <c r="I102" s="55">
        <f t="shared" si="7"/>
        <v>22572.811799999999</v>
      </c>
      <c r="J102" s="55"/>
      <c r="K102" s="55"/>
      <c r="L102" s="44">
        <f t="shared" si="12"/>
        <v>0</v>
      </c>
    </row>
    <row r="103" spans="1:12"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2"/>
      <c r="E103" s="43">
        <f>[1]Orçamento!H86</f>
        <v>113.01</v>
      </c>
      <c r="F103" s="43">
        <f>[1]Orçamento!F86</f>
        <v>1164.56</v>
      </c>
      <c r="G103" s="42"/>
      <c r="H103" s="42"/>
      <c r="I103" s="55">
        <f t="shared" si="7"/>
        <v>131606.92559999999</v>
      </c>
      <c r="J103" s="55"/>
      <c r="K103" s="55"/>
      <c r="L103" s="44">
        <f t="shared" si="12"/>
        <v>0</v>
      </c>
    </row>
    <row r="104" spans="1:12" x14ac:dyDescent="0.25">
      <c r="A104" s="41" t="str">
        <f>[1]Orçamento!A87</f>
        <v xml:space="preserve"> 9.3 </v>
      </c>
      <c r="B104" s="46" t="str">
        <f>[1]Orçamento!D87</f>
        <v>IMPERMEABILIZAÇÃO DE SUPERFÍCIE COM EMULSÃO ASFÁLTICA, 2 DEMÃOS AF_06/2018</v>
      </c>
      <c r="C104" s="41" t="str">
        <f>[1]Orçamento!E87</f>
        <v>m²</v>
      </c>
      <c r="D104" s="42"/>
      <c r="E104" s="43">
        <f>[1]Orçamento!H87</f>
        <v>54.7</v>
      </c>
      <c r="F104" s="43">
        <f>[1]Orçamento!F87</f>
        <v>254.24</v>
      </c>
      <c r="G104" s="42"/>
      <c r="H104" s="42"/>
      <c r="I104" s="55">
        <f t="shared" ref="I104:I105" si="13">F104*E104</f>
        <v>13906.928000000002</v>
      </c>
      <c r="J104" s="55"/>
      <c r="K104" s="55"/>
      <c r="L104" s="44">
        <f t="shared" si="12"/>
        <v>0</v>
      </c>
    </row>
    <row r="105" spans="1:12" ht="25.5" x14ac:dyDescent="0.25">
      <c r="A105" s="41" t="str">
        <f>[1]Orçamento!A88</f>
        <v xml:space="preserve"> 9.4 </v>
      </c>
      <c r="B105" s="46" t="str">
        <f>[1]Orçamento!D88</f>
        <v>PROTEÇÃO MECÂNICA DE SUPERFICIE HORIZONTAL COM ARGAMASSA DE CIMENTO E AREIA, TRAÇO 1:3, E=3CM. AF_06/2018</v>
      </c>
      <c r="C105" s="41" t="str">
        <f>[1]Orçamento!E88</f>
        <v>m²</v>
      </c>
      <c r="D105" s="42"/>
      <c r="E105" s="43">
        <f>[1]Orçamento!H88</f>
        <v>49.56</v>
      </c>
      <c r="F105" s="43">
        <f>[1]Orçamento!F88</f>
        <v>1418.8</v>
      </c>
      <c r="G105" s="42"/>
      <c r="H105" s="42"/>
      <c r="I105" s="55">
        <f t="shared" si="13"/>
        <v>70315.728000000003</v>
      </c>
      <c r="J105" s="55"/>
      <c r="K105" s="55"/>
      <c r="L105" s="44">
        <f t="shared" si="12"/>
        <v>0</v>
      </c>
    </row>
    <row r="106" spans="1:12" x14ac:dyDescent="0.25">
      <c r="A106" s="39" t="str">
        <f>[1]Orçamento!A89</f>
        <v xml:space="preserve"> 10 </v>
      </c>
      <c r="B106" s="45" t="str">
        <f>[1]Orçamento!D89</f>
        <v>REVESTIMENTOS INTERNOS</v>
      </c>
      <c r="C106" s="39"/>
      <c r="D106" s="47"/>
      <c r="E106" s="48"/>
      <c r="F106" s="48"/>
      <c r="G106" s="47"/>
      <c r="H106" s="47"/>
      <c r="I106" s="56"/>
      <c r="J106" s="56"/>
      <c r="K106" s="56"/>
      <c r="L106" s="49"/>
    </row>
    <row r="107" spans="1:12"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2"/>
      <c r="E107" s="43">
        <f>[1]Orçamento!H90</f>
        <v>4.08</v>
      </c>
      <c r="F107" s="43">
        <f>[1]Orçamento!F90</f>
        <v>6437.02</v>
      </c>
      <c r="G107" s="42"/>
      <c r="H107" s="42"/>
      <c r="I107" s="55">
        <f t="shared" ref="I107:I170" si="14">F107*E107</f>
        <v>26263.0416</v>
      </c>
      <c r="J107" s="55"/>
      <c r="K107" s="55"/>
      <c r="L107" s="44">
        <f t="shared" si="12"/>
        <v>0</v>
      </c>
    </row>
    <row r="108" spans="1:12"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2"/>
      <c r="E108" s="43">
        <f>[1]Orçamento!H91</f>
        <v>35.229999999999997</v>
      </c>
      <c r="F108" s="43">
        <f>[1]Orçamento!F91</f>
        <v>6437.02</v>
      </c>
      <c r="G108" s="42"/>
      <c r="H108" s="42"/>
      <c r="I108" s="55">
        <f t="shared" si="14"/>
        <v>226776.21460000001</v>
      </c>
      <c r="J108" s="55"/>
      <c r="K108" s="55"/>
      <c r="L108" s="44">
        <f t="shared" si="12"/>
        <v>0</v>
      </c>
    </row>
    <row r="109" spans="1:12"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2"/>
      <c r="E109" s="43">
        <f>[1]Orçamento!H92</f>
        <v>209.94</v>
      </c>
      <c r="F109" s="43">
        <f>[1]Orçamento!F92</f>
        <v>1466.24</v>
      </c>
      <c r="G109" s="42"/>
      <c r="H109" s="42"/>
      <c r="I109" s="55">
        <f t="shared" si="14"/>
        <v>307822.42560000002</v>
      </c>
      <c r="J109" s="55"/>
      <c r="K109" s="55"/>
      <c r="L109" s="44">
        <f t="shared" si="12"/>
        <v>0</v>
      </c>
    </row>
    <row r="110" spans="1:12" x14ac:dyDescent="0.25">
      <c r="A110" s="41" t="str">
        <f>[1]Orçamento!A93</f>
        <v xml:space="preserve"> 10.4 </v>
      </c>
      <c r="B110" s="46" t="str">
        <f>[1]Orçamento!D93</f>
        <v>CARPETE DE NYLON EM MANTA PARA TRAFEGO COMERCIAL PESADO, E = 6 A 7 MM (INSTALADO)</v>
      </c>
      <c r="C110" s="41" t="str">
        <f>[1]Orçamento!E93</f>
        <v>m²</v>
      </c>
      <c r="D110" s="42"/>
      <c r="E110" s="43">
        <f>[1]Orçamento!H93</f>
        <v>152.91</v>
      </c>
      <c r="F110" s="43">
        <f>[1]Orçamento!F93</f>
        <v>993.8</v>
      </c>
      <c r="G110" s="42"/>
      <c r="H110" s="42"/>
      <c r="I110" s="55">
        <f t="shared" si="14"/>
        <v>151961.95799999998</v>
      </c>
      <c r="J110" s="55"/>
      <c r="K110" s="55"/>
      <c r="L110" s="44">
        <f t="shared" si="12"/>
        <v>0</v>
      </c>
    </row>
    <row r="111" spans="1:12" x14ac:dyDescent="0.25">
      <c r="A111" s="39" t="str">
        <f>[1]Orçamento!A94</f>
        <v xml:space="preserve"> 11 </v>
      </c>
      <c r="B111" s="45" t="str">
        <f>[1]Orçamento!D94</f>
        <v>FORROS</v>
      </c>
      <c r="C111" s="39"/>
      <c r="D111" s="47"/>
      <c r="E111" s="48"/>
      <c r="F111" s="48"/>
      <c r="G111" s="47"/>
      <c r="H111" s="47"/>
      <c r="I111" s="56"/>
      <c r="J111" s="56"/>
      <c r="K111" s="56"/>
      <c r="L111" s="49"/>
    </row>
    <row r="112" spans="1:12"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2"/>
      <c r="E112" s="43">
        <f>[1]Orçamento!H95</f>
        <v>107.61</v>
      </c>
      <c r="F112" s="43">
        <f>[1]Orçamento!F95</f>
        <v>725.17</v>
      </c>
      <c r="G112" s="42"/>
      <c r="H112" s="42"/>
      <c r="I112" s="55">
        <f t="shared" si="14"/>
        <v>78035.543699999995</v>
      </c>
      <c r="J112" s="55"/>
      <c r="K112" s="55"/>
      <c r="L112" s="44">
        <f t="shared" si="12"/>
        <v>0</v>
      </c>
    </row>
    <row r="113" spans="1:12" x14ac:dyDescent="0.25">
      <c r="A113" s="41" t="str">
        <f>[1]Orçamento!A96</f>
        <v xml:space="preserve"> 11.2 </v>
      </c>
      <c r="B113" s="46" t="str">
        <f>[1]Orçamento!D96</f>
        <v>ACABAMENTOS PARA FORRO (MOLDURA EM DRYWALL, COM LARGURA DE 15 CM). AF_05/2017_PS</v>
      </c>
      <c r="C113" s="41" t="str">
        <f>[1]Orçamento!E96</f>
        <v>M</v>
      </c>
      <c r="D113" s="42"/>
      <c r="E113" s="43">
        <f>[1]Orçamento!H96</f>
        <v>35.9</v>
      </c>
      <c r="F113" s="43">
        <f>[1]Orçamento!F96</f>
        <v>257.57</v>
      </c>
      <c r="G113" s="42"/>
      <c r="H113" s="42"/>
      <c r="I113" s="55">
        <f t="shared" si="14"/>
        <v>9246.762999999999</v>
      </c>
      <c r="J113" s="55"/>
      <c r="K113" s="55"/>
      <c r="L113" s="44">
        <f t="shared" si="12"/>
        <v>0</v>
      </c>
    </row>
    <row r="114" spans="1:12" x14ac:dyDescent="0.25">
      <c r="A114" s="41" t="str">
        <f>[1]Orçamento!A97</f>
        <v xml:space="preserve"> 11.3 </v>
      </c>
      <c r="B114" s="46" t="str">
        <f>[1]Orçamento!D97</f>
        <v>FORRO EM PLACAS DE GESSO, PARA AMBIENTES COMERCIAIS. AF_05/2017_PS</v>
      </c>
      <c r="C114" s="41" t="str">
        <f>[1]Orçamento!E97</f>
        <v>m²</v>
      </c>
      <c r="D114" s="42"/>
      <c r="E114" s="43">
        <f>[1]Orçamento!H97</f>
        <v>38.14</v>
      </c>
      <c r="F114" s="43">
        <f>[1]Orçamento!F97</f>
        <v>1509.13</v>
      </c>
      <c r="G114" s="42"/>
      <c r="H114" s="42"/>
      <c r="I114" s="55">
        <f t="shared" si="14"/>
        <v>57558.218200000003</v>
      </c>
      <c r="J114" s="55"/>
      <c r="K114" s="55"/>
      <c r="L114" s="44">
        <f t="shared" si="12"/>
        <v>0</v>
      </c>
    </row>
    <row r="115" spans="1:12" x14ac:dyDescent="0.25">
      <c r="A115" s="41" t="str">
        <f>[1]Orçamento!A98</f>
        <v xml:space="preserve"> 11.4 </v>
      </c>
      <c r="B115" s="46" t="str">
        <f>[1]Orçamento!D98</f>
        <v>ACABAMENTOS PARA FORRO (SANCA DE GESSO MONTADA NA OBRA). AF_05/2017_PS</v>
      </c>
      <c r="C115" s="41" t="str">
        <f>[1]Orçamento!E98</f>
        <v>m²</v>
      </c>
      <c r="D115" s="42"/>
      <c r="E115" s="43">
        <f>[1]Orçamento!H98</f>
        <v>53.04</v>
      </c>
      <c r="F115" s="43">
        <f>[1]Orçamento!F98</f>
        <v>899.36</v>
      </c>
      <c r="G115" s="42"/>
      <c r="H115" s="42"/>
      <c r="I115" s="55">
        <f t="shared" si="14"/>
        <v>47702.054400000001</v>
      </c>
      <c r="J115" s="55"/>
      <c r="K115" s="55"/>
      <c r="L115" s="44">
        <f t="shared" si="12"/>
        <v>0</v>
      </c>
    </row>
    <row r="116" spans="1:12" ht="25.5" x14ac:dyDescent="0.25">
      <c r="A116" s="41" t="str">
        <f>[1]Orçamento!A99</f>
        <v xml:space="preserve"> 11.5 </v>
      </c>
      <c r="B116" s="46" t="str">
        <f>[1]Orçamento!D99</f>
        <v>Forro de madeira lambri pau d'arco, e = 6,4 mm,  inclusive madeiramento de suporte (sarrafo), instalado</v>
      </c>
      <c r="C116" s="41" t="str">
        <f>[1]Orçamento!E99</f>
        <v>m²</v>
      </c>
      <c r="D116" s="42"/>
      <c r="E116" s="43">
        <f>[1]Orçamento!H99</f>
        <v>156.26</v>
      </c>
      <c r="F116" s="43">
        <f>[1]Orçamento!F99</f>
        <v>267.58999999999997</v>
      </c>
      <c r="G116" s="42"/>
      <c r="H116" s="42"/>
      <c r="I116" s="55">
        <f t="shared" si="14"/>
        <v>41813.613399999995</v>
      </c>
      <c r="J116" s="55"/>
      <c r="K116" s="55"/>
      <c r="L116" s="44">
        <f t="shared" si="12"/>
        <v>0</v>
      </c>
    </row>
    <row r="117" spans="1:12" x14ac:dyDescent="0.25">
      <c r="A117" s="39" t="str">
        <f>[1]Orçamento!A100</f>
        <v xml:space="preserve"> 12 </v>
      </c>
      <c r="B117" s="45" t="str">
        <f>[1]Orçamento!D100</f>
        <v>REVESTIMENTOS EXTERNOS</v>
      </c>
      <c r="C117" s="39"/>
      <c r="D117" s="47"/>
      <c r="E117" s="48"/>
      <c r="F117" s="48"/>
      <c r="G117" s="47"/>
      <c r="H117" s="47"/>
      <c r="I117" s="56"/>
      <c r="J117" s="56"/>
      <c r="K117" s="56"/>
      <c r="L117" s="49"/>
    </row>
    <row r="118" spans="1:12"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2"/>
      <c r="E118" s="43">
        <f>[1]Orçamento!H101</f>
        <v>9.6</v>
      </c>
      <c r="F118" s="43">
        <f>[1]Orçamento!F101</f>
        <v>3583.04</v>
      </c>
      <c r="G118" s="42"/>
      <c r="H118" s="42"/>
      <c r="I118" s="55">
        <f t="shared" si="14"/>
        <v>34397.184000000001</v>
      </c>
      <c r="J118" s="55"/>
      <c r="K118" s="55"/>
      <c r="L118" s="44">
        <f t="shared" si="12"/>
        <v>0</v>
      </c>
    </row>
    <row r="119" spans="1:12"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2"/>
      <c r="E119" s="43">
        <f>[1]Orçamento!H102</f>
        <v>35.04</v>
      </c>
      <c r="F119" s="43">
        <f>[1]Orçamento!F102</f>
        <v>3583.04</v>
      </c>
      <c r="G119" s="42"/>
      <c r="H119" s="42"/>
      <c r="I119" s="55">
        <f t="shared" si="14"/>
        <v>125549.72159999999</v>
      </c>
      <c r="J119" s="55"/>
      <c r="K119" s="55"/>
      <c r="L119" s="44">
        <f t="shared" si="12"/>
        <v>0</v>
      </c>
    </row>
    <row r="120" spans="1:12"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2"/>
      <c r="E120" s="43">
        <f>[1]Orçamento!H103</f>
        <v>572.33000000000004</v>
      </c>
      <c r="F120" s="43">
        <f>[1]Orçamento!F103</f>
        <v>460.51</v>
      </c>
      <c r="G120" s="42"/>
      <c r="H120" s="42"/>
      <c r="I120" s="55">
        <f t="shared" si="14"/>
        <v>263563.68830000004</v>
      </c>
      <c r="J120" s="55"/>
      <c r="K120" s="55"/>
      <c r="L120" s="44">
        <f t="shared" si="12"/>
        <v>0</v>
      </c>
    </row>
    <row r="121" spans="1:12"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2"/>
      <c r="E121" s="43">
        <f>[1]Orçamento!H104</f>
        <v>122.84</v>
      </c>
      <c r="F121" s="43">
        <f>[1]Orçamento!F104</f>
        <v>114.72</v>
      </c>
      <c r="G121" s="42"/>
      <c r="H121" s="42"/>
      <c r="I121" s="55">
        <f t="shared" si="14"/>
        <v>14092.2048</v>
      </c>
      <c r="J121" s="55"/>
      <c r="K121" s="55"/>
      <c r="L121" s="44">
        <f t="shared" si="12"/>
        <v>0</v>
      </c>
    </row>
    <row r="122" spans="1:12" x14ac:dyDescent="0.25">
      <c r="A122" s="39" t="str">
        <f>[1]Orçamento!A105</f>
        <v xml:space="preserve"> 13 </v>
      </c>
      <c r="B122" s="45" t="str">
        <f>[1]Orçamento!D105</f>
        <v>PINTURA_1</v>
      </c>
      <c r="C122" s="39"/>
      <c r="D122" s="47"/>
      <c r="E122" s="48"/>
      <c r="F122" s="48"/>
      <c r="G122" s="47"/>
      <c r="H122" s="47"/>
      <c r="I122" s="56"/>
      <c r="J122" s="56"/>
      <c r="K122" s="56"/>
      <c r="L122" s="49"/>
    </row>
    <row r="123" spans="1:12" x14ac:dyDescent="0.25">
      <c r="A123" s="41" t="str">
        <f>[1]Orçamento!A106</f>
        <v xml:space="preserve"> 13.1 </v>
      </c>
      <c r="B123" s="46" t="str">
        <f>[1]Orçamento!D106</f>
        <v>APLICAÇÃO DE FUNDO SELADOR ACRÍLICO EM PAREDES, UMA DEMÃO. AF_06/2014</v>
      </c>
      <c r="C123" s="41" t="str">
        <f>[1]Orçamento!E106</f>
        <v>m²</v>
      </c>
      <c r="D123" s="42"/>
      <c r="E123" s="43">
        <f>[1]Orçamento!H106</f>
        <v>2.69</v>
      </c>
      <c r="F123" s="43">
        <f>[1]Orçamento!F106</f>
        <v>7407.16</v>
      </c>
      <c r="G123" s="42"/>
      <c r="H123" s="42"/>
      <c r="I123" s="55">
        <f t="shared" si="14"/>
        <v>19925.260399999999</v>
      </c>
      <c r="J123" s="55"/>
      <c r="K123" s="55"/>
      <c r="L123" s="44">
        <f t="shared" si="12"/>
        <v>0</v>
      </c>
    </row>
    <row r="124" spans="1:12" x14ac:dyDescent="0.25">
      <c r="A124" s="41" t="str">
        <f>[1]Orçamento!A107</f>
        <v xml:space="preserve"> 13.2 </v>
      </c>
      <c r="B124" s="46" t="str">
        <f>[1]Orçamento!D107</f>
        <v>APLICAÇÃO E LIXAMENTO DE MASSA LÁTEX EM PAREDES, DUAS DEMÃOS. AF_06/2014</v>
      </c>
      <c r="C124" s="41" t="str">
        <f>[1]Orçamento!E107</f>
        <v>m²</v>
      </c>
      <c r="D124" s="42"/>
      <c r="E124" s="43">
        <f>[1]Orçamento!H107</f>
        <v>15</v>
      </c>
      <c r="F124" s="43">
        <f>[1]Orçamento!F107</f>
        <v>7407.16</v>
      </c>
      <c r="G124" s="42"/>
      <c r="H124" s="42"/>
      <c r="I124" s="55">
        <f t="shared" si="14"/>
        <v>111107.4</v>
      </c>
      <c r="J124" s="55"/>
      <c r="K124" s="55"/>
      <c r="L124" s="44">
        <f t="shared" si="12"/>
        <v>0</v>
      </c>
    </row>
    <row r="125" spans="1:12" ht="25.5" x14ac:dyDescent="0.25">
      <c r="A125" s="41" t="str">
        <f>[1]Orçamento!A108</f>
        <v xml:space="preserve"> 13.3 </v>
      </c>
      <c r="B125" s="46" t="str">
        <f>[1]Orçamento!D108</f>
        <v>APLICAÇÃO MANUAL DE PINTURA COM TINTA LÁTEX ACRÍLICA EM PAREDES, DUAS DEMÃOS. AF_06/2014</v>
      </c>
      <c r="C125" s="41" t="str">
        <f>[1]Orçamento!E108</f>
        <v>m²</v>
      </c>
      <c r="D125" s="42"/>
      <c r="E125" s="43">
        <f>[1]Orçamento!H108</f>
        <v>15.08</v>
      </c>
      <c r="F125" s="43">
        <f>[1]Orçamento!F108</f>
        <v>7407.16</v>
      </c>
      <c r="G125" s="42"/>
      <c r="H125" s="42"/>
      <c r="I125" s="55">
        <f t="shared" si="14"/>
        <v>111699.9728</v>
      </c>
      <c r="J125" s="55"/>
      <c r="K125" s="55"/>
      <c r="L125" s="44">
        <f t="shared" si="12"/>
        <v>0</v>
      </c>
    </row>
    <row r="126" spans="1:12" x14ac:dyDescent="0.25">
      <c r="A126" s="41" t="str">
        <f>[1]Orçamento!A109</f>
        <v xml:space="preserve"> 13.4 </v>
      </c>
      <c r="B126" s="46" t="str">
        <f>[1]Orçamento!D109</f>
        <v>APLICAÇÃO DE FUNDO SELADOR ACRÍLICO EM TETO, UMA DEMÃO. AF_06/2014</v>
      </c>
      <c r="C126" s="41" t="str">
        <f>[1]Orçamento!E109</f>
        <v>m²</v>
      </c>
      <c r="D126" s="42"/>
      <c r="E126" s="43">
        <f>[1]Orçamento!H109</f>
        <v>3.08</v>
      </c>
      <c r="F126" s="43">
        <f>[1]Orçamento!F109</f>
        <v>1564.15</v>
      </c>
      <c r="G126" s="42"/>
      <c r="H126" s="42"/>
      <c r="I126" s="55">
        <f t="shared" si="14"/>
        <v>4817.5820000000003</v>
      </c>
      <c r="J126" s="55"/>
      <c r="K126" s="55"/>
      <c r="L126" s="44">
        <f t="shared" si="12"/>
        <v>0</v>
      </c>
    </row>
    <row r="127" spans="1:12" x14ac:dyDescent="0.25">
      <c r="A127" s="41" t="str">
        <f>[1]Orçamento!A110</f>
        <v xml:space="preserve"> 13.5 </v>
      </c>
      <c r="B127" s="46" t="str">
        <f>[1]Orçamento!D110</f>
        <v>APLICAÇÃO E LIXAMENTO DE MASSA LÁTEX EM TETO, DUAS DEMÃOS. AF_06/2014</v>
      </c>
      <c r="C127" s="41" t="str">
        <f>[1]Orçamento!E110</f>
        <v>m²</v>
      </c>
      <c r="D127" s="42"/>
      <c r="E127" s="43">
        <f>[1]Orçamento!H110</f>
        <v>26.58</v>
      </c>
      <c r="F127" s="43">
        <f>[1]Orçamento!F110</f>
        <v>1564.15</v>
      </c>
      <c r="G127" s="42"/>
      <c r="H127" s="42"/>
      <c r="I127" s="55">
        <f t="shared" si="14"/>
        <v>41575.106999999996</v>
      </c>
      <c r="J127" s="55"/>
      <c r="K127" s="55"/>
      <c r="L127" s="44">
        <f t="shared" si="12"/>
        <v>0</v>
      </c>
    </row>
    <row r="128" spans="1:12" ht="25.5" x14ac:dyDescent="0.25">
      <c r="A128" s="41" t="str">
        <f>[1]Orçamento!A111</f>
        <v xml:space="preserve"> 13.6 </v>
      </c>
      <c r="B128" s="46" t="str">
        <f>[1]Orçamento!D111</f>
        <v>APLICAÇÃO MANUAL DE PINTURA COM TINTA LÁTEX ACRÍLICA EM TETO, DUAS DEMÃOS. AF_06/2014</v>
      </c>
      <c r="C128" s="41" t="str">
        <f>[1]Orçamento!E111</f>
        <v>m²</v>
      </c>
      <c r="D128" s="42"/>
      <c r="E128" s="43">
        <f>[1]Orçamento!H111</f>
        <v>16.899999999999999</v>
      </c>
      <c r="F128" s="43">
        <f>[1]Orçamento!F111</f>
        <v>1564.15</v>
      </c>
      <c r="G128" s="42"/>
      <c r="H128" s="42"/>
      <c r="I128" s="55">
        <f t="shared" si="14"/>
        <v>26434.134999999998</v>
      </c>
      <c r="J128" s="55"/>
      <c r="K128" s="55"/>
      <c r="L128" s="44">
        <f t="shared" si="12"/>
        <v>0</v>
      </c>
    </row>
    <row r="129" spans="1:12" ht="25.5" x14ac:dyDescent="0.25">
      <c r="A129" s="41" t="str">
        <f>[1]Orçamento!A112</f>
        <v xml:space="preserve"> 13.7 </v>
      </c>
      <c r="B129" s="46" t="str">
        <f>[1]Orçamento!D112</f>
        <v>PINTURA TINTA DE ACABAMENTO (PIGMENTADA) ESMALTE SINTÉTICO BRILHANTE EM MADEIRA, 2 DEMÃOS. AF_01/2021</v>
      </c>
      <c r="C129" s="41" t="str">
        <f>[1]Orçamento!E112</f>
        <v>m²</v>
      </c>
      <c r="D129" s="42"/>
      <c r="E129" s="43">
        <f>[1]Orçamento!H112</f>
        <v>14.06</v>
      </c>
      <c r="F129" s="43">
        <f>[1]Orçamento!F112</f>
        <v>118.46</v>
      </c>
      <c r="G129" s="42"/>
      <c r="H129" s="42"/>
      <c r="I129" s="55">
        <f t="shared" si="14"/>
        <v>1665.5475999999999</v>
      </c>
      <c r="J129" s="55"/>
      <c r="K129" s="55"/>
      <c r="L129" s="44">
        <f t="shared" si="12"/>
        <v>0</v>
      </c>
    </row>
    <row r="130" spans="1:12" ht="25.5" x14ac:dyDescent="0.25">
      <c r="A130" s="41" t="str">
        <f>[1]Orçamento!A113</f>
        <v xml:space="preserve"> 13.8 </v>
      </c>
      <c r="B130" s="46" t="str">
        <f>[1]Orçamento!D113</f>
        <v>PINTURA DE DEMARCAÇÃO DE VAGA COM TINTA EPÓXI, E = 10 CM, APLICAÇÃO MANUAL. AF_05/2021</v>
      </c>
      <c r="C130" s="41" t="str">
        <f>[1]Orçamento!E113</f>
        <v>M</v>
      </c>
      <c r="D130" s="42"/>
      <c r="E130" s="43">
        <f>[1]Orçamento!H113</f>
        <v>5.55</v>
      </c>
      <c r="F130" s="43">
        <f>[1]Orçamento!F113</f>
        <v>85</v>
      </c>
      <c r="G130" s="42"/>
      <c r="H130" s="42"/>
      <c r="I130" s="55">
        <f t="shared" si="14"/>
        <v>471.75</v>
      </c>
      <c r="J130" s="55"/>
      <c r="K130" s="55"/>
      <c r="L130" s="44">
        <f t="shared" si="12"/>
        <v>0</v>
      </c>
    </row>
    <row r="131" spans="1:12" x14ac:dyDescent="0.25">
      <c r="A131" s="39" t="str">
        <f>[1]Orçamento!A114</f>
        <v xml:space="preserve"> 14 </v>
      </c>
      <c r="B131" s="45" t="str">
        <f>[1]Orçamento!D114</f>
        <v>ESQUADRIAS</v>
      </c>
      <c r="C131" s="39"/>
      <c r="D131" s="47"/>
      <c r="E131" s="48"/>
      <c r="F131" s="48"/>
      <c r="G131" s="47"/>
      <c r="H131" s="47"/>
      <c r="I131" s="56"/>
      <c r="J131" s="56"/>
      <c r="K131" s="56"/>
      <c r="L131" s="49"/>
    </row>
    <row r="132" spans="1:12"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2"/>
      <c r="E132" s="43">
        <f>[1]Orçamento!H115</f>
        <v>397.84</v>
      </c>
      <c r="F132" s="43">
        <f>[1]Orçamento!F115</f>
        <v>7</v>
      </c>
      <c r="G132" s="42"/>
      <c r="H132" s="42"/>
      <c r="I132" s="55">
        <f t="shared" si="14"/>
        <v>2784.8799999999997</v>
      </c>
      <c r="J132" s="55"/>
      <c r="K132" s="55"/>
      <c r="L132" s="44">
        <f t="shared" si="12"/>
        <v>0</v>
      </c>
    </row>
    <row r="133" spans="1:12"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2"/>
      <c r="E133" s="43">
        <f>[1]Orçamento!H116</f>
        <v>423.95</v>
      </c>
      <c r="F133" s="43">
        <f>[1]Orçamento!F116</f>
        <v>11</v>
      </c>
      <c r="G133" s="42"/>
      <c r="H133" s="42"/>
      <c r="I133" s="55">
        <f t="shared" si="14"/>
        <v>4663.45</v>
      </c>
      <c r="J133" s="55"/>
      <c r="K133" s="55"/>
      <c r="L133" s="44">
        <f t="shared" si="12"/>
        <v>0</v>
      </c>
    </row>
    <row r="134" spans="1:12"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2"/>
      <c r="E134" s="43">
        <f>[1]Orçamento!H117</f>
        <v>514.95000000000005</v>
      </c>
      <c r="F134" s="43">
        <f>[1]Orçamento!F117</f>
        <v>5</v>
      </c>
      <c r="G134" s="42"/>
      <c r="H134" s="42"/>
      <c r="I134" s="55">
        <f t="shared" si="14"/>
        <v>2574.75</v>
      </c>
      <c r="J134" s="55"/>
      <c r="K134" s="55"/>
      <c r="L134" s="44">
        <f t="shared" si="12"/>
        <v>0</v>
      </c>
    </row>
    <row r="135" spans="1:12"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2"/>
      <c r="E135" s="43">
        <f>[1]Orçamento!H118</f>
        <v>1172.4000000000001</v>
      </c>
      <c r="F135" s="43">
        <f>[1]Orçamento!F118</f>
        <v>1</v>
      </c>
      <c r="G135" s="42"/>
      <c r="H135" s="42"/>
      <c r="I135" s="55">
        <f t="shared" si="14"/>
        <v>1172.4000000000001</v>
      </c>
      <c r="J135" s="55"/>
      <c r="K135" s="55"/>
      <c r="L135" s="44">
        <f t="shared" si="12"/>
        <v>0</v>
      </c>
    </row>
    <row r="136" spans="1:12"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2"/>
      <c r="E136" s="43">
        <f>[1]Orçamento!H119</f>
        <v>18588.939999999999</v>
      </c>
      <c r="F136" s="43">
        <f>[1]Orçamento!F119</f>
        <v>5</v>
      </c>
      <c r="G136" s="42"/>
      <c r="H136" s="42"/>
      <c r="I136" s="55">
        <f t="shared" si="14"/>
        <v>92944.7</v>
      </c>
      <c r="J136" s="55"/>
      <c r="K136" s="55"/>
      <c r="L136" s="44">
        <f t="shared" si="12"/>
        <v>0</v>
      </c>
    </row>
    <row r="137" spans="1:12" ht="25.5" x14ac:dyDescent="0.25">
      <c r="A137" s="41" t="str">
        <f>[1]Orçamento!A120</f>
        <v xml:space="preserve"> 14.6 </v>
      </c>
      <c r="B137" s="46" t="str">
        <f>[1]Orçamento!D120</f>
        <v>INSTALAÇÃO DE VIDRO LISO INCOLOR, E = 3 MM, EM ESQUADRIA DE MADEIRA, FIXADO COM BAGUETE. AF_01/2021</v>
      </c>
      <c r="C137" s="41" t="str">
        <f>[1]Orçamento!E120</f>
        <v>m²</v>
      </c>
      <c r="D137" s="42"/>
      <c r="E137" s="43">
        <f>[1]Orçamento!H120</f>
        <v>222.47</v>
      </c>
      <c r="F137" s="43">
        <f>[1]Orçamento!F120</f>
        <v>7.57</v>
      </c>
      <c r="G137" s="42"/>
      <c r="H137" s="42"/>
      <c r="I137" s="55">
        <f t="shared" si="14"/>
        <v>1684.0979</v>
      </c>
      <c r="J137" s="55"/>
      <c r="K137" s="55"/>
      <c r="L137" s="44">
        <f t="shared" si="12"/>
        <v>0</v>
      </c>
    </row>
    <row r="138" spans="1:12"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2"/>
      <c r="E138" s="43">
        <f>[1]Orçamento!H121</f>
        <v>359.84</v>
      </c>
      <c r="F138" s="43">
        <f>[1]Orçamento!F121</f>
        <v>30.4</v>
      </c>
      <c r="G138" s="42"/>
      <c r="H138" s="42"/>
      <c r="I138" s="55">
        <f t="shared" si="14"/>
        <v>10939.135999999999</v>
      </c>
      <c r="J138" s="55"/>
      <c r="K138" s="55"/>
      <c r="L138" s="44">
        <f t="shared" si="12"/>
        <v>0</v>
      </c>
    </row>
    <row r="139" spans="1:12"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2"/>
      <c r="E139" s="43">
        <f>[1]Orçamento!H122</f>
        <v>587.39</v>
      </c>
      <c r="F139" s="43">
        <f>[1]Orçamento!F122</f>
        <v>21.98</v>
      </c>
      <c r="G139" s="42"/>
      <c r="H139" s="42"/>
      <c r="I139" s="55">
        <f t="shared" si="14"/>
        <v>12910.832200000001</v>
      </c>
      <c r="J139" s="55"/>
      <c r="K139" s="55"/>
      <c r="L139" s="44">
        <f t="shared" si="12"/>
        <v>0</v>
      </c>
    </row>
    <row r="140" spans="1:12"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2"/>
      <c r="E140" s="43">
        <f>[1]Orçamento!H123</f>
        <v>345.11</v>
      </c>
      <c r="F140" s="43">
        <f>[1]Orçamento!F123</f>
        <v>26.58</v>
      </c>
      <c r="G140" s="42"/>
      <c r="H140" s="42"/>
      <c r="I140" s="55">
        <f t="shared" si="14"/>
        <v>9173.023799999999</v>
      </c>
      <c r="J140" s="55"/>
      <c r="K140" s="55"/>
      <c r="L140" s="44">
        <f t="shared" si="12"/>
        <v>0</v>
      </c>
    </row>
    <row r="141" spans="1:12" x14ac:dyDescent="0.25">
      <c r="A141" s="41" t="str">
        <f>[1]Orçamento!A124</f>
        <v xml:space="preserve"> 14.10 </v>
      </c>
      <c r="B141" s="46" t="str">
        <f>[1]Orçamento!D124</f>
        <v>INSTALAÇÃO DE VIDRO TEMPERADO, E = 6 MM, ENCAIXADO EM PERFIL U. AF_01/2021_PS</v>
      </c>
      <c r="C141" s="41" t="str">
        <f>[1]Orçamento!E124</f>
        <v>m²</v>
      </c>
      <c r="D141" s="42"/>
      <c r="E141" s="43">
        <f>[1]Orçamento!H124</f>
        <v>425.05</v>
      </c>
      <c r="F141" s="43">
        <f>[1]Orçamento!F124</f>
        <v>69.28</v>
      </c>
      <c r="G141" s="42"/>
      <c r="H141" s="42"/>
      <c r="I141" s="55">
        <f t="shared" si="14"/>
        <v>29447.464</v>
      </c>
      <c r="J141" s="55"/>
      <c r="K141" s="55"/>
      <c r="L141" s="44">
        <f t="shared" si="12"/>
        <v>0</v>
      </c>
    </row>
    <row r="142" spans="1:12"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2"/>
      <c r="E142" s="43">
        <f>[1]Orçamento!H125</f>
        <v>1406.82</v>
      </c>
      <c r="F142" s="43">
        <f>[1]Orçamento!F125</f>
        <v>32.24</v>
      </c>
      <c r="G142" s="42"/>
      <c r="H142" s="42"/>
      <c r="I142" s="55">
        <f t="shared" si="14"/>
        <v>45355.876799999998</v>
      </c>
      <c r="J142" s="55"/>
      <c r="K142" s="55"/>
      <c r="L142" s="44">
        <f t="shared" si="12"/>
        <v>0</v>
      </c>
    </row>
    <row r="143" spans="1:12"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2"/>
      <c r="E143" s="43">
        <f>[1]Orçamento!H126</f>
        <v>8739.4</v>
      </c>
      <c r="F143" s="43">
        <f>[1]Orçamento!F126</f>
        <v>8</v>
      </c>
      <c r="G143" s="42"/>
      <c r="H143" s="42"/>
      <c r="I143" s="55">
        <f t="shared" si="14"/>
        <v>69915.199999999997</v>
      </c>
      <c r="J143" s="55"/>
      <c r="K143" s="55"/>
      <c r="L143" s="44">
        <f t="shared" si="12"/>
        <v>0</v>
      </c>
    </row>
    <row r="144" spans="1:12"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2"/>
      <c r="E144" s="43">
        <f>[1]Orçamento!H127</f>
        <v>765.43</v>
      </c>
      <c r="F144" s="43">
        <f>[1]Orçamento!F127</f>
        <v>12</v>
      </c>
      <c r="G144" s="42"/>
      <c r="H144" s="42"/>
      <c r="I144" s="55">
        <f t="shared" si="14"/>
        <v>9185.16</v>
      </c>
      <c r="J144" s="55"/>
      <c r="K144" s="55"/>
      <c r="L144" s="44">
        <f t="shared" si="12"/>
        <v>0</v>
      </c>
    </row>
    <row r="145" spans="1:12" x14ac:dyDescent="0.25">
      <c r="A145" s="41" t="str">
        <f>[1]Orçamento!A128</f>
        <v xml:space="preserve"> 14.14 </v>
      </c>
      <c r="B145" s="46" t="str">
        <f>[1]Orçamento!D128</f>
        <v>INSTALAÇÃO DE VIDRO TEMPERADO, E = 6 MM, ENCAIXADO EM PERFIL U. AF_01/2021_PS</v>
      </c>
      <c r="C145" s="41" t="str">
        <f>[1]Orçamento!E128</f>
        <v>m²</v>
      </c>
      <c r="D145" s="42"/>
      <c r="E145" s="43">
        <f>[1]Orçamento!H128</f>
        <v>425.05</v>
      </c>
      <c r="F145" s="43">
        <f>[1]Orçamento!F128</f>
        <v>9.6999999999999993</v>
      </c>
      <c r="G145" s="42"/>
      <c r="H145" s="42"/>
      <c r="I145" s="55">
        <f t="shared" si="14"/>
        <v>4122.9849999999997</v>
      </c>
      <c r="J145" s="55"/>
      <c r="K145" s="55"/>
      <c r="L145" s="44">
        <f t="shared" si="12"/>
        <v>0</v>
      </c>
    </row>
    <row r="146" spans="1:12"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2"/>
      <c r="E146" s="43">
        <f>[1]Orçamento!H129</f>
        <v>1012.17</v>
      </c>
      <c r="F146" s="43">
        <f>[1]Orçamento!F129</f>
        <v>31.3</v>
      </c>
      <c r="G146" s="42"/>
      <c r="H146" s="42"/>
      <c r="I146" s="55">
        <f t="shared" si="14"/>
        <v>31680.920999999998</v>
      </c>
      <c r="J146" s="55"/>
      <c r="K146" s="55"/>
      <c r="L146" s="44">
        <f t="shared" si="12"/>
        <v>0</v>
      </c>
    </row>
    <row r="147" spans="1:12"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2"/>
      <c r="E147" s="43">
        <f>[1]Orçamento!H130</f>
        <v>889.11</v>
      </c>
      <c r="F147" s="43">
        <f>[1]Orçamento!F130</f>
        <v>0.6</v>
      </c>
      <c r="G147" s="42"/>
      <c r="H147" s="42"/>
      <c r="I147" s="55">
        <f t="shared" si="14"/>
        <v>533.46600000000001</v>
      </c>
      <c r="J147" s="55"/>
      <c r="K147" s="55"/>
      <c r="L147" s="44">
        <f t="shared" si="12"/>
        <v>0</v>
      </c>
    </row>
    <row r="148" spans="1:12"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2"/>
      <c r="E148" s="43">
        <f>[1]Orçamento!H131</f>
        <v>1666.99</v>
      </c>
      <c r="F148" s="43">
        <f>[1]Orçamento!F131</f>
        <v>3.3</v>
      </c>
      <c r="G148" s="42"/>
      <c r="H148" s="42"/>
      <c r="I148" s="55">
        <f t="shared" si="14"/>
        <v>5501.067</v>
      </c>
      <c r="J148" s="55"/>
      <c r="K148" s="55"/>
      <c r="L148" s="44">
        <f t="shared" si="12"/>
        <v>0</v>
      </c>
    </row>
    <row r="149" spans="1:12"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2"/>
      <c r="E149" s="43">
        <f>[1]Orçamento!H132</f>
        <v>1901.03</v>
      </c>
      <c r="F149" s="43">
        <f>[1]Orçamento!F132</f>
        <v>3.25</v>
      </c>
      <c r="G149" s="42"/>
      <c r="H149" s="42"/>
      <c r="I149" s="55">
        <f t="shared" si="14"/>
        <v>6178.3474999999999</v>
      </c>
      <c r="J149" s="55"/>
      <c r="K149" s="55"/>
      <c r="L149" s="44">
        <f t="shared" si="12"/>
        <v>0</v>
      </c>
    </row>
    <row r="150" spans="1:12" ht="25.5" x14ac:dyDescent="0.25">
      <c r="A150" s="41" t="str">
        <f>[1]Orçamento!A133</f>
        <v xml:space="preserve"> 14.19 </v>
      </c>
      <c r="B150" s="46" t="str">
        <f>[1]Orçamento!D133</f>
        <v>CONTRAMARCO DE ALUMÍNIO, FIXAÇÃO COM ARGAMASSA - FORNECIMENTO E INSTALAÇÃO. AF_12/2019</v>
      </c>
      <c r="C150" s="41" t="str">
        <f>[1]Orçamento!E133</f>
        <v>M</v>
      </c>
      <c r="D150" s="42"/>
      <c r="E150" s="43">
        <f>[1]Orçamento!H133</f>
        <v>32.56</v>
      </c>
      <c r="F150" s="43">
        <f>[1]Orçamento!F133</f>
        <v>156</v>
      </c>
      <c r="G150" s="42"/>
      <c r="H150" s="42"/>
      <c r="I150" s="55">
        <f t="shared" si="14"/>
        <v>5079.3600000000006</v>
      </c>
      <c r="J150" s="55"/>
      <c r="K150" s="55"/>
      <c r="L150" s="44">
        <f t="shared" si="12"/>
        <v>0</v>
      </c>
    </row>
    <row r="151" spans="1:12"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2"/>
      <c r="E151" s="43">
        <f>[1]Orçamento!H134</f>
        <v>448.21</v>
      </c>
      <c r="F151" s="43">
        <f>[1]Orçamento!F134</f>
        <v>10.78</v>
      </c>
      <c r="G151" s="42"/>
      <c r="H151" s="42"/>
      <c r="I151" s="55">
        <f t="shared" si="14"/>
        <v>4831.7037999999993</v>
      </c>
      <c r="J151" s="55"/>
      <c r="K151" s="55"/>
      <c r="L151" s="44">
        <f t="shared" si="12"/>
        <v>0</v>
      </c>
    </row>
    <row r="152" spans="1:12"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2"/>
      <c r="E152" s="43">
        <f>[1]Orçamento!H135</f>
        <v>593.61</v>
      </c>
      <c r="F152" s="43">
        <f>[1]Orçamento!F135</f>
        <v>242.41</v>
      </c>
      <c r="G152" s="42"/>
      <c r="H152" s="42"/>
      <c r="I152" s="55">
        <f t="shared" si="14"/>
        <v>143897.0001</v>
      </c>
      <c r="J152" s="55"/>
      <c r="K152" s="55"/>
      <c r="L152" s="44">
        <f t="shared" ref="L152:L215" si="15">K152/I152</f>
        <v>0</v>
      </c>
    </row>
    <row r="153" spans="1:12"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2"/>
      <c r="E153" s="43">
        <f>[1]Orçamento!H136</f>
        <v>169.94</v>
      </c>
      <c r="F153" s="43">
        <f>[1]Orçamento!F136</f>
        <v>23</v>
      </c>
      <c r="G153" s="42"/>
      <c r="H153" s="42"/>
      <c r="I153" s="55">
        <f t="shared" si="14"/>
        <v>3908.62</v>
      </c>
      <c r="J153" s="55"/>
      <c r="K153" s="55"/>
      <c r="L153" s="44">
        <f t="shared" si="15"/>
        <v>0</v>
      </c>
    </row>
    <row r="154" spans="1:12" x14ac:dyDescent="0.25">
      <c r="A154" s="41" t="str">
        <f>[1]Orçamento!A137</f>
        <v xml:space="preserve"> 14.23 </v>
      </c>
      <c r="B154" s="46" t="str">
        <f>[1]Orçamento!D137</f>
        <v>Batente em madeira de lei l = 0,14 m (caixão), incluindo 02 jogos de alizar</v>
      </c>
      <c r="C154" s="41" t="str">
        <f>[1]Orçamento!E137</f>
        <v>m</v>
      </c>
      <c r="D154" s="42"/>
      <c r="E154" s="43">
        <f>[1]Orçamento!H137</f>
        <v>75.819999999999993</v>
      </c>
      <c r="F154" s="43">
        <f>[1]Orçamento!F137</f>
        <v>129.97999999999999</v>
      </c>
      <c r="G154" s="42"/>
      <c r="H154" s="42"/>
      <c r="I154" s="55">
        <f t="shared" si="14"/>
        <v>9855.0835999999981</v>
      </c>
      <c r="J154" s="55"/>
      <c r="K154" s="55"/>
      <c r="L154" s="44">
        <f t="shared" si="15"/>
        <v>0</v>
      </c>
    </row>
    <row r="155" spans="1:12" x14ac:dyDescent="0.25">
      <c r="A155" s="39" t="str">
        <f>[1]Orçamento!A138</f>
        <v xml:space="preserve"> 15 </v>
      </c>
      <c r="B155" s="45" t="str">
        <f>[1]Orçamento!D138</f>
        <v>LOUÇAS, METAIS BANCADAS_1</v>
      </c>
      <c r="C155" s="39"/>
      <c r="D155" s="47"/>
      <c r="E155" s="48"/>
      <c r="F155" s="48"/>
      <c r="G155" s="47"/>
      <c r="H155" s="47"/>
      <c r="I155" s="56"/>
      <c r="J155" s="56"/>
      <c r="K155" s="56"/>
      <c r="L155" s="49"/>
    </row>
    <row r="156" spans="1:12"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2"/>
      <c r="E156" s="43">
        <f>[1]Orçamento!H139</f>
        <v>526.63</v>
      </c>
      <c r="F156" s="43">
        <f>[1]Orçamento!F139</f>
        <v>26</v>
      </c>
      <c r="G156" s="42"/>
      <c r="H156" s="42"/>
      <c r="I156" s="55">
        <f t="shared" si="14"/>
        <v>13692.38</v>
      </c>
      <c r="J156" s="55"/>
      <c r="K156" s="55"/>
      <c r="L156" s="44">
        <f t="shared" si="15"/>
        <v>0</v>
      </c>
    </row>
    <row r="157" spans="1:12"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2"/>
      <c r="E157" s="43">
        <f>[1]Orçamento!H140</f>
        <v>815.62</v>
      </c>
      <c r="F157" s="43">
        <f>[1]Orçamento!F140</f>
        <v>3</v>
      </c>
      <c r="G157" s="42"/>
      <c r="H157" s="42"/>
      <c r="I157" s="55">
        <f t="shared" si="14"/>
        <v>2446.86</v>
      </c>
      <c r="J157" s="55"/>
      <c r="K157" s="55"/>
      <c r="L157" s="44">
        <f t="shared" si="15"/>
        <v>0</v>
      </c>
    </row>
    <row r="158" spans="1:12" x14ac:dyDescent="0.25">
      <c r="A158" s="41" t="str">
        <f>[1]Orçamento!A141</f>
        <v xml:space="preserve"> 15.3 </v>
      </c>
      <c r="B158" s="46" t="str">
        <f>[1]Orçamento!D141</f>
        <v>ASSENTO SANITÁRIO CONVENCIONAL - FORNECIMENTO E INSTALACAO. AF_01/2020</v>
      </c>
      <c r="C158" s="41" t="str">
        <f>[1]Orçamento!E141</f>
        <v>UN</v>
      </c>
      <c r="D158" s="42"/>
      <c r="E158" s="43">
        <f>[1]Orçamento!H141</f>
        <v>47.53</v>
      </c>
      <c r="F158" s="43">
        <f>[1]Orçamento!F141</f>
        <v>29</v>
      </c>
      <c r="G158" s="42"/>
      <c r="H158" s="42"/>
      <c r="I158" s="55">
        <f t="shared" si="14"/>
        <v>1378.3700000000001</v>
      </c>
      <c r="J158" s="55"/>
      <c r="K158" s="55"/>
      <c r="L158" s="44">
        <f t="shared" si="15"/>
        <v>0</v>
      </c>
    </row>
    <row r="159" spans="1:12"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2"/>
      <c r="E159" s="43">
        <f>[1]Orçamento!H142</f>
        <v>381.77</v>
      </c>
      <c r="F159" s="43">
        <f>[1]Orçamento!F142</f>
        <v>9</v>
      </c>
      <c r="G159" s="42"/>
      <c r="H159" s="42"/>
      <c r="I159" s="55">
        <f t="shared" si="14"/>
        <v>3435.93</v>
      </c>
      <c r="J159" s="55"/>
      <c r="K159" s="55"/>
      <c r="L159" s="44">
        <f t="shared" si="15"/>
        <v>0</v>
      </c>
    </row>
    <row r="160" spans="1:12" x14ac:dyDescent="0.25">
      <c r="A160" s="41" t="str">
        <f>[1]Orçamento!A143</f>
        <v xml:space="preserve"> 15.5 </v>
      </c>
      <c r="B160" s="46" t="str">
        <f>[1]Orçamento!D143</f>
        <v>Ducha cromada, DECA, linha duna 1984 C 61 ou similar</v>
      </c>
      <c r="C160" s="41" t="str">
        <f>[1]Orçamento!E143</f>
        <v>un</v>
      </c>
      <c r="D160" s="42"/>
      <c r="E160" s="43">
        <f>[1]Orçamento!H143</f>
        <v>431.64</v>
      </c>
      <c r="F160" s="43">
        <f>[1]Orçamento!F143</f>
        <v>29</v>
      </c>
      <c r="G160" s="42"/>
      <c r="H160" s="42"/>
      <c r="I160" s="55">
        <f t="shared" si="14"/>
        <v>12517.56</v>
      </c>
      <c r="J160" s="55"/>
      <c r="K160" s="55"/>
      <c r="L160" s="44">
        <f t="shared" si="15"/>
        <v>0</v>
      </c>
    </row>
    <row r="161" spans="1:12" ht="25.5" x14ac:dyDescent="0.25">
      <c r="A161" s="41" t="str">
        <f>[1]Orçamento!A144</f>
        <v xml:space="preserve"> 15.6 </v>
      </c>
      <c r="B161" s="46" t="str">
        <f>[1]Orçamento!D144</f>
        <v>CHUVEIRO ELÉTRICO COMUM CORPO PLÁSTICO, TIPO DUCHA  FORNECIMENTO E INSTALAÇÃO. AF_01/2020</v>
      </c>
      <c r="C161" s="41" t="str">
        <f>[1]Orçamento!E144</f>
        <v>UN</v>
      </c>
      <c r="D161" s="42"/>
      <c r="E161" s="43">
        <f>[1]Orçamento!H144</f>
        <v>118.53</v>
      </c>
      <c r="F161" s="43">
        <f>[1]Orçamento!F144</f>
        <v>4</v>
      </c>
      <c r="G161" s="42"/>
      <c r="H161" s="42"/>
      <c r="I161" s="55">
        <f t="shared" si="14"/>
        <v>474.12</v>
      </c>
      <c r="J161" s="55"/>
      <c r="K161" s="55"/>
      <c r="L161" s="44">
        <f t="shared" si="15"/>
        <v>0</v>
      </c>
    </row>
    <row r="162" spans="1:12"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2"/>
      <c r="E162" s="43">
        <f>[1]Orçamento!H145</f>
        <v>422.1</v>
      </c>
      <c r="F162" s="43">
        <f>[1]Orçamento!F145</f>
        <v>3</v>
      </c>
      <c r="G162" s="42"/>
      <c r="H162" s="42"/>
      <c r="I162" s="55">
        <f t="shared" si="14"/>
        <v>1266.3000000000002</v>
      </c>
      <c r="J162" s="55"/>
      <c r="K162" s="55"/>
      <c r="L162" s="44">
        <f t="shared" si="15"/>
        <v>0</v>
      </c>
    </row>
    <row r="163" spans="1:12"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2"/>
      <c r="E163" s="43">
        <f>[1]Orçamento!H146</f>
        <v>497.59</v>
      </c>
      <c r="F163" s="43">
        <f>[1]Orçamento!F146</f>
        <v>3</v>
      </c>
      <c r="G163" s="42"/>
      <c r="H163" s="42"/>
      <c r="I163" s="55">
        <f t="shared" si="14"/>
        <v>1492.77</v>
      </c>
      <c r="J163" s="55"/>
      <c r="K163" s="55"/>
      <c r="L163" s="44">
        <f t="shared" si="15"/>
        <v>0</v>
      </c>
    </row>
    <row r="164" spans="1:12"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2"/>
      <c r="E164" s="43">
        <f>[1]Orçamento!H147</f>
        <v>458.14</v>
      </c>
      <c r="F164" s="43">
        <f>[1]Orçamento!F147</f>
        <v>18</v>
      </c>
      <c r="G164" s="42"/>
      <c r="H164" s="42"/>
      <c r="I164" s="55">
        <f t="shared" si="14"/>
        <v>8246.52</v>
      </c>
      <c r="J164" s="55"/>
      <c r="K164" s="55"/>
      <c r="L164" s="44">
        <f t="shared" si="15"/>
        <v>0</v>
      </c>
    </row>
    <row r="165" spans="1:12"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2"/>
      <c r="E165" s="43">
        <f>[1]Orçamento!H148</f>
        <v>459.19</v>
      </c>
      <c r="F165" s="43">
        <f>[1]Orçamento!F148</f>
        <v>5</v>
      </c>
      <c r="G165" s="42"/>
      <c r="H165" s="42"/>
      <c r="I165" s="55">
        <f t="shared" si="14"/>
        <v>2295.9499999999998</v>
      </c>
      <c r="J165" s="55"/>
      <c r="K165" s="55"/>
      <c r="L165" s="44">
        <f t="shared" si="15"/>
        <v>0</v>
      </c>
    </row>
    <row r="166" spans="1:12" x14ac:dyDescent="0.25">
      <c r="A166" s="41" t="str">
        <f>[1]Orçamento!A149</f>
        <v xml:space="preserve"> 15.11 </v>
      </c>
      <c r="B166" s="46" t="str">
        <f>[1]Orçamento!D149</f>
        <v>ENGATE FLEXÍVEL EM INOX, 1/2  X 40CM - FORNECIMENTO E INSTALAÇÃO. AF_01/2020</v>
      </c>
      <c r="C166" s="41" t="str">
        <f>[1]Orçamento!E149</f>
        <v>UN</v>
      </c>
      <c r="D166" s="42"/>
      <c r="E166" s="43">
        <f>[1]Orçamento!H149</f>
        <v>44.69</v>
      </c>
      <c r="F166" s="43">
        <f>[1]Orçamento!F149</f>
        <v>5</v>
      </c>
      <c r="G166" s="42"/>
      <c r="H166" s="42"/>
      <c r="I166" s="55">
        <f t="shared" si="14"/>
        <v>223.45</v>
      </c>
      <c r="J166" s="55"/>
      <c r="K166" s="55"/>
      <c r="L166" s="44">
        <f t="shared" si="15"/>
        <v>0</v>
      </c>
    </row>
    <row r="167" spans="1:12"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2"/>
      <c r="E167" s="43">
        <f>[1]Orçamento!H150</f>
        <v>137.91</v>
      </c>
      <c r="F167" s="43">
        <f>[1]Orçamento!F150</f>
        <v>21</v>
      </c>
      <c r="G167" s="42"/>
      <c r="H167" s="42"/>
      <c r="I167" s="55">
        <f t="shared" si="14"/>
        <v>2896.11</v>
      </c>
      <c r="J167" s="55"/>
      <c r="K167" s="55"/>
      <c r="L167" s="44">
        <f t="shared" si="15"/>
        <v>0</v>
      </c>
    </row>
    <row r="168" spans="1:12" ht="25.5" x14ac:dyDescent="0.25">
      <c r="A168" s="41" t="str">
        <f>[1]Orçamento!A151</f>
        <v xml:space="preserve"> 15.13 </v>
      </c>
      <c r="B168" s="46" t="str">
        <f>[1]Orçamento!D151</f>
        <v>Torneira cromada para pia de cozinha, de mesa, com articulador, 1/2", ref. 1167, da Deca ou similar</v>
      </c>
      <c r="C168" s="41" t="str">
        <f>[1]Orçamento!E151</f>
        <v>un</v>
      </c>
      <c r="D168" s="42"/>
      <c r="E168" s="43">
        <f>[1]Orçamento!H151</f>
        <v>140.68</v>
      </c>
      <c r="F168" s="43">
        <f>[1]Orçamento!F151</f>
        <v>5</v>
      </c>
      <c r="G168" s="42"/>
      <c r="H168" s="42"/>
      <c r="I168" s="55">
        <f t="shared" si="14"/>
        <v>703.40000000000009</v>
      </c>
      <c r="J168" s="55"/>
      <c r="K168" s="55"/>
      <c r="L168" s="44">
        <f t="shared" si="15"/>
        <v>0</v>
      </c>
    </row>
    <row r="169" spans="1:12" x14ac:dyDescent="0.25">
      <c r="A169" s="41" t="str">
        <f>[1]Orçamento!A152</f>
        <v xml:space="preserve"> 15.14 </v>
      </c>
      <c r="B169" s="46" t="str">
        <f>[1]Orçamento!D152</f>
        <v>PAPELEIRA PLASTICA TIPO DISPENSER PARA PAPEL HIGIENICO ROLAO</v>
      </c>
      <c r="C169" s="41" t="str">
        <f>[1]Orçamento!E152</f>
        <v>UN</v>
      </c>
      <c r="D169" s="42"/>
      <c r="E169" s="43">
        <f>[1]Orçamento!H152</f>
        <v>139.15</v>
      </c>
      <c r="F169" s="43">
        <f>[1]Orçamento!F152</f>
        <v>29</v>
      </c>
      <c r="G169" s="42"/>
      <c r="H169" s="42"/>
      <c r="I169" s="55">
        <f t="shared" si="14"/>
        <v>4035.3500000000004</v>
      </c>
      <c r="J169" s="55"/>
      <c r="K169" s="55"/>
      <c r="L169" s="44">
        <f t="shared" si="15"/>
        <v>0</v>
      </c>
    </row>
    <row r="170" spans="1:12" ht="25.5" x14ac:dyDescent="0.25">
      <c r="A170" s="41" t="str">
        <f>[1]Orçamento!A153</f>
        <v xml:space="preserve"> 15.15 </v>
      </c>
      <c r="B170" s="46" t="str">
        <f>[1]Orçamento!D153</f>
        <v>SABONETEIRA PLASTICA TIPO DISPENSER PARA SABONETE LIQUIDO COM RESERVATORIO 800 A 1500 ML</v>
      </c>
      <c r="C170" s="41" t="str">
        <f>[1]Orçamento!E153</f>
        <v>UN</v>
      </c>
      <c r="D170" s="42"/>
      <c r="E170" s="43">
        <f>[1]Orçamento!H153</f>
        <v>133.65</v>
      </c>
      <c r="F170" s="43">
        <f>[1]Orçamento!F153</f>
        <v>13</v>
      </c>
      <c r="G170" s="42"/>
      <c r="H170" s="42"/>
      <c r="I170" s="55">
        <f t="shared" si="14"/>
        <v>1737.45</v>
      </c>
      <c r="J170" s="55"/>
      <c r="K170" s="55"/>
      <c r="L170" s="44">
        <f t="shared" si="15"/>
        <v>0</v>
      </c>
    </row>
    <row r="171" spans="1:12" x14ac:dyDescent="0.25">
      <c r="A171" s="41" t="str">
        <f>[1]Orçamento!A154</f>
        <v xml:space="preserve"> 15.16 </v>
      </c>
      <c r="B171" s="46" t="str">
        <f>[1]Orçamento!D154</f>
        <v>Bancada em granito verde ubatuba, e = 2cm</v>
      </c>
      <c r="C171" s="41" t="str">
        <f>[1]Orçamento!E154</f>
        <v>m²</v>
      </c>
      <c r="D171" s="42"/>
      <c r="E171" s="43">
        <f>[1]Orçamento!H154</f>
        <v>738.62</v>
      </c>
      <c r="F171" s="43">
        <f>[1]Orçamento!F154</f>
        <v>62.69</v>
      </c>
      <c r="G171" s="42"/>
      <c r="H171" s="42"/>
      <c r="I171" s="55">
        <f t="shared" ref="I171:I234" si="16">F171*E171</f>
        <v>46304.087800000001</v>
      </c>
      <c r="J171" s="55"/>
      <c r="K171" s="55"/>
      <c r="L171" s="44">
        <f t="shared" si="15"/>
        <v>0</v>
      </c>
    </row>
    <row r="172" spans="1:12" x14ac:dyDescent="0.25">
      <c r="A172" s="41" t="str">
        <f>[1]Orçamento!A155</f>
        <v xml:space="preserve"> 15.17 </v>
      </c>
      <c r="B172" s="46" t="str">
        <f>[1]Orçamento!D155</f>
        <v>TOALHEIRO PLASTICO TIPO DISPENSER PARA PAPEL TOALHA INTERFOLHADO</v>
      </c>
      <c r="C172" s="41" t="str">
        <f>[1]Orçamento!E155</f>
        <v>UN</v>
      </c>
      <c r="D172" s="42"/>
      <c r="E172" s="43">
        <f>[1]Orçamento!H155</f>
        <v>139.15</v>
      </c>
      <c r="F172" s="43">
        <f>[1]Orçamento!F155</f>
        <v>13</v>
      </c>
      <c r="G172" s="42"/>
      <c r="H172" s="42"/>
      <c r="I172" s="55">
        <f t="shared" si="16"/>
        <v>1808.95</v>
      </c>
      <c r="J172" s="55"/>
      <c r="K172" s="55"/>
      <c r="L172" s="44">
        <f t="shared" si="15"/>
        <v>0</v>
      </c>
    </row>
    <row r="173" spans="1:12" x14ac:dyDescent="0.25">
      <c r="A173" s="39" t="str">
        <f>[1]Orçamento!A156</f>
        <v xml:space="preserve"> 16 </v>
      </c>
      <c r="B173" s="45" t="str">
        <f>[1]Orçamento!D156</f>
        <v>INSTALAÇÕES HIDRAULICAS</v>
      </c>
      <c r="C173" s="39"/>
      <c r="D173" s="47"/>
      <c r="E173" s="48"/>
      <c r="F173" s="48"/>
      <c r="G173" s="47"/>
      <c r="H173" s="47"/>
      <c r="I173" s="56"/>
      <c r="J173" s="56"/>
      <c r="K173" s="56"/>
      <c r="L173" s="49"/>
    </row>
    <row r="174" spans="1:12" x14ac:dyDescent="0.25">
      <c r="A174" s="41" t="str">
        <f>[1]Orçamento!A157</f>
        <v xml:space="preserve"> 16.1 </v>
      </c>
      <c r="B174" s="46" t="str">
        <f>[1]Orçamento!D157</f>
        <v>Filtro TP Jacuzzi: 12 TP - 25A - M2 220V - MONO (1/4 CV - ATÉ 2,5 M³/h)</v>
      </c>
      <c r="C174" s="41" t="str">
        <f>[1]Orçamento!E157</f>
        <v>UND</v>
      </c>
      <c r="D174" s="42"/>
      <c r="E174" s="43">
        <f>[1]Orçamento!H157</f>
        <v>2282.33</v>
      </c>
      <c r="F174" s="43">
        <f>[1]Orçamento!F157</f>
        <v>2</v>
      </c>
      <c r="G174" s="42"/>
      <c r="H174" s="42"/>
      <c r="I174" s="55">
        <f t="shared" si="16"/>
        <v>4564.66</v>
      </c>
      <c r="J174" s="55"/>
      <c r="K174" s="55"/>
      <c r="L174" s="44">
        <f t="shared" si="15"/>
        <v>0</v>
      </c>
    </row>
    <row r="175" spans="1:12" x14ac:dyDescent="0.25">
      <c r="A175" s="41" t="str">
        <f>[1]Orçamento!A158</f>
        <v xml:space="preserve"> 16.2 </v>
      </c>
      <c r="B175" s="46" t="str">
        <f>[1]Orçamento!D158</f>
        <v>BOMBA SUBMERSIVA BCS-255 0.5 M 60 220V 4P</v>
      </c>
      <c r="C175" s="41" t="str">
        <f>[1]Orçamento!E158</f>
        <v>UND</v>
      </c>
      <c r="D175" s="42"/>
      <c r="E175" s="43">
        <f>[1]Orçamento!H158</f>
        <v>5119.25</v>
      </c>
      <c r="F175" s="43">
        <f>[1]Orçamento!F158</f>
        <v>2</v>
      </c>
      <c r="G175" s="42"/>
      <c r="H175" s="42"/>
      <c r="I175" s="55">
        <f t="shared" si="16"/>
        <v>10238.5</v>
      </c>
      <c r="J175" s="55"/>
      <c r="K175" s="55"/>
      <c r="L175" s="44">
        <f t="shared" si="15"/>
        <v>0</v>
      </c>
    </row>
    <row r="176" spans="1:12" x14ac:dyDescent="0.25">
      <c r="A176" s="41" t="str">
        <f>[1]Orçamento!A159</f>
        <v xml:space="preserve"> 16.3 </v>
      </c>
      <c r="B176" s="46" t="str">
        <f>[1]Orçamento!D159</f>
        <v>BOMBA DE RECALQUE BC-92S 1B 3 M 60 1/2,RT143</v>
      </c>
      <c r="C176" s="41" t="str">
        <f>[1]Orçamento!E159</f>
        <v>UND</v>
      </c>
      <c r="D176" s="42"/>
      <c r="E176" s="43">
        <f>[1]Orçamento!H159</f>
        <v>2493.98</v>
      </c>
      <c r="F176" s="43">
        <f>[1]Orçamento!F159</f>
        <v>2</v>
      </c>
      <c r="G176" s="42"/>
      <c r="H176" s="42"/>
      <c r="I176" s="55">
        <f t="shared" si="16"/>
        <v>4987.96</v>
      </c>
      <c r="J176" s="55"/>
      <c r="K176" s="55"/>
      <c r="L176" s="44">
        <f t="shared" si="15"/>
        <v>0</v>
      </c>
    </row>
    <row r="177" spans="1:12"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2"/>
      <c r="E177" s="43">
        <f>[1]Orçamento!H160</f>
        <v>110.11</v>
      </c>
      <c r="F177" s="43">
        <f>[1]Orçamento!F160</f>
        <v>23</v>
      </c>
      <c r="G177" s="42"/>
      <c r="H177" s="42"/>
      <c r="I177" s="55">
        <f t="shared" si="16"/>
        <v>2532.5300000000002</v>
      </c>
      <c r="J177" s="55"/>
      <c r="K177" s="55"/>
      <c r="L177" s="44">
        <f t="shared" si="15"/>
        <v>0</v>
      </c>
    </row>
    <row r="178" spans="1:12" ht="25.5" x14ac:dyDescent="0.25">
      <c r="A178" s="41" t="str">
        <f>[1]Orçamento!A161</f>
        <v xml:space="preserve"> 16.5 </v>
      </c>
      <c r="B178" s="46" t="str">
        <f>[1]Orçamento!D161</f>
        <v>REGISTRO DE PRESSÃO, PVC, ROSCÁVEL, VOLANTE SIMPLES, 3/4" - FORNECIMENTO E INSTALAÇÃO. AF_08/2021</v>
      </c>
      <c r="C178" s="41" t="str">
        <f>[1]Orçamento!E161</f>
        <v>UN</v>
      </c>
      <c r="D178" s="42"/>
      <c r="E178" s="43">
        <f>[1]Orçamento!H161</f>
        <v>16.45</v>
      </c>
      <c r="F178" s="43">
        <f>[1]Orçamento!F161</f>
        <v>4</v>
      </c>
      <c r="G178" s="42"/>
      <c r="H178" s="42"/>
      <c r="I178" s="55">
        <f t="shared" si="16"/>
        <v>65.8</v>
      </c>
      <c r="J178" s="55"/>
      <c r="K178" s="55"/>
      <c r="L178" s="44">
        <f t="shared" si="15"/>
        <v>0</v>
      </c>
    </row>
    <row r="179" spans="1:12" ht="25.5" x14ac:dyDescent="0.25">
      <c r="A179" s="41" t="str">
        <f>[1]Orçamento!A162</f>
        <v xml:space="preserve"> 16.6 </v>
      </c>
      <c r="B179" s="46" t="str">
        <f>[1]Orçamento!D162</f>
        <v>REGISTRO DE ESFERA, PVC, ROSCÁVEL, COM VOLANTE, 1 1/2" - FORNECIMENTO E INSTALAÇÃO. AF_08/2021</v>
      </c>
      <c r="C179" s="41" t="str">
        <f>[1]Orçamento!E162</f>
        <v>UN</v>
      </c>
      <c r="D179" s="42"/>
      <c r="E179" s="43">
        <f>[1]Orçamento!H162</f>
        <v>47.73</v>
      </c>
      <c r="F179" s="43">
        <f>[1]Orçamento!F162</f>
        <v>2</v>
      </c>
      <c r="G179" s="42"/>
      <c r="H179" s="42"/>
      <c r="I179" s="55">
        <f t="shared" si="16"/>
        <v>95.46</v>
      </c>
      <c r="J179" s="55"/>
      <c r="K179" s="55"/>
      <c r="L179" s="44">
        <f t="shared" si="15"/>
        <v>0</v>
      </c>
    </row>
    <row r="180" spans="1:12" ht="25.5" x14ac:dyDescent="0.25">
      <c r="A180" s="41" t="str">
        <f>[1]Orçamento!A163</f>
        <v xml:space="preserve"> 16.7 </v>
      </c>
      <c r="B180" s="46" t="str">
        <f>[1]Orçamento!D163</f>
        <v>VÁLVULA DE RETENÇÃO HORIZONTAL, DE BRONZE, ROSCÁVEL, 1 1/2"  - FORNECIMENTO E INSTALAÇÃO. AF_08/2021</v>
      </c>
      <c r="C180" s="41" t="str">
        <f>[1]Orçamento!E163</f>
        <v>UN</v>
      </c>
      <c r="D180" s="42"/>
      <c r="E180" s="43">
        <f>[1]Orçamento!H163</f>
        <v>302</v>
      </c>
      <c r="F180" s="43">
        <f>[1]Orçamento!F163</f>
        <v>2</v>
      </c>
      <c r="G180" s="42"/>
      <c r="H180" s="42"/>
      <c r="I180" s="55">
        <f t="shared" si="16"/>
        <v>604</v>
      </c>
      <c r="J180" s="55"/>
      <c r="K180" s="55"/>
      <c r="L180" s="44">
        <f t="shared" si="15"/>
        <v>0</v>
      </c>
    </row>
    <row r="181" spans="1:12" x14ac:dyDescent="0.25">
      <c r="A181" s="41" t="str">
        <f>[1]Orçamento!A164</f>
        <v xml:space="preserve"> 16.8 </v>
      </c>
      <c r="B181" s="46" t="str">
        <f>[1]Orçamento!D164</f>
        <v>VÁLVULA DE RETENÇÃO VERTICAL Ø 40MM (1.1/2") - FORNECIMENTO E INSTALAÇÃO</v>
      </c>
      <c r="C181" s="41" t="str">
        <f>[1]Orçamento!E164</f>
        <v>UN</v>
      </c>
      <c r="D181" s="42"/>
      <c r="E181" s="43">
        <f>[1]Orçamento!H164</f>
        <v>184.81</v>
      </c>
      <c r="F181" s="43">
        <f>[1]Orçamento!F164</f>
        <v>2</v>
      </c>
      <c r="G181" s="42"/>
      <c r="H181" s="42"/>
      <c r="I181" s="55">
        <f t="shared" si="16"/>
        <v>369.62</v>
      </c>
      <c r="J181" s="55"/>
      <c r="K181" s="55"/>
      <c r="L181" s="44">
        <f t="shared" si="15"/>
        <v>0</v>
      </c>
    </row>
    <row r="182" spans="1:12" ht="25.5" x14ac:dyDescent="0.25">
      <c r="A182" s="41" t="str">
        <f>[1]Orçamento!A165</f>
        <v xml:space="preserve"> 16.9 </v>
      </c>
      <c r="B182" s="46" t="str">
        <f>[1]Orçamento!D165</f>
        <v>VÁLVULA DE RETENÇÃO VERTICAL, DE BRONZE, ROSCÁVEL, 1 1/4" - FORNECIMENTO E INSTALAÇÃO. AF_08/2021</v>
      </c>
      <c r="C182" s="41" t="str">
        <f>[1]Orçamento!E165</f>
        <v>UN</v>
      </c>
      <c r="D182" s="42"/>
      <c r="E182" s="43">
        <f>[1]Orçamento!H165</f>
        <v>142.96</v>
      </c>
      <c r="F182" s="43">
        <f>[1]Orçamento!F165</f>
        <v>2</v>
      </c>
      <c r="G182" s="42"/>
      <c r="H182" s="42"/>
      <c r="I182" s="55">
        <f t="shared" si="16"/>
        <v>285.92</v>
      </c>
      <c r="J182" s="55"/>
      <c r="K182" s="55"/>
      <c r="L182" s="44">
        <f t="shared" si="15"/>
        <v>0</v>
      </c>
    </row>
    <row r="183" spans="1:12" ht="25.5" x14ac:dyDescent="0.25">
      <c r="A183" s="41" t="str">
        <f>[1]Orçamento!A166</f>
        <v xml:space="preserve"> 16.10 </v>
      </c>
      <c r="B183" s="46" t="str">
        <f>[1]Orçamento!D166</f>
        <v>REGISTRO DE ESFERA, PVC, SOLDÁVEL, COM VOLANTE, DN  40 MM - FORNECIMENTO E INSTALAÇÃO. AF_08/2021</v>
      </c>
      <c r="C183" s="41" t="str">
        <f>[1]Orçamento!E166</f>
        <v>UN</v>
      </c>
      <c r="D183" s="42"/>
      <c r="E183" s="43">
        <f>[1]Orçamento!H166</f>
        <v>41.72</v>
      </c>
      <c r="F183" s="43">
        <f>[1]Orçamento!F166</f>
        <v>8</v>
      </c>
      <c r="G183" s="42"/>
      <c r="H183" s="42"/>
      <c r="I183" s="55">
        <f t="shared" si="16"/>
        <v>333.76</v>
      </c>
      <c r="J183" s="55"/>
      <c r="K183" s="55"/>
      <c r="L183" s="44">
        <f t="shared" si="15"/>
        <v>0</v>
      </c>
    </row>
    <row r="184" spans="1:12" ht="25.5" x14ac:dyDescent="0.25">
      <c r="A184" s="41" t="str">
        <f>[1]Orçamento!A167</f>
        <v xml:space="preserve"> 16.11 </v>
      </c>
      <c r="B184" s="46" t="str">
        <f>[1]Orçamento!D167</f>
        <v>REGISTRO DE ESFERA, PVC, SOLDÁVEL, COM VOLANTE, DN  50 MM - FORNECIMENTO E INSTALAÇÃO. AF_08/2021</v>
      </c>
      <c r="C184" s="41" t="str">
        <f>[1]Orçamento!E167</f>
        <v>UN</v>
      </c>
      <c r="D184" s="42"/>
      <c r="E184" s="43">
        <f>[1]Orçamento!H167</f>
        <v>42.83</v>
      </c>
      <c r="F184" s="43">
        <f>[1]Orçamento!F167</f>
        <v>4</v>
      </c>
      <c r="G184" s="42"/>
      <c r="H184" s="42"/>
      <c r="I184" s="55">
        <f t="shared" si="16"/>
        <v>171.32</v>
      </c>
      <c r="J184" s="55"/>
      <c r="K184" s="55"/>
      <c r="L184" s="44">
        <f t="shared" si="15"/>
        <v>0</v>
      </c>
    </row>
    <row r="185" spans="1:12" ht="25.5" x14ac:dyDescent="0.25">
      <c r="A185" s="41" t="str">
        <f>[1]Orçamento!A168</f>
        <v xml:space="preserve"> 16.12 </v>
      </c>
      <c r="B185" s="46" t="str">
        <f>[1]Orçamento!D168</f>
        <v>REGISTRO DE ESFERA, PVC, SOLDÁVEL, COM VOLANTE, DN  60 MM - FORNECIMENTO E INSTALAÇÃO. AF_08/2021</v>
      </c>
      <c r="C185" s="41" t="str">
        <f>[1]Orçamento!E168</f>
        <v>UN</v>
      </c>
      <c r="D185" s="42"/>
      <c r="E185" s="43">
        <f>[1]Orçamento!H168</f>
        <v>78.48</v>
      </c>
      <c r="F185" s="43">
        <f>[1]Orçamento!F168</f>
        <v>2</v>
      </c>
      <c r="G185" s="42"/>
      <c r="H185" s="42"/>
      <c r="I185" s="55">
        <f t="shared" si="16"/>
        <v>156.96</v>
      </c>
      <c r="J185" s="55"/>
      <c r="K185" s="55"/>
      <c r="L185" s="44">
        <f t="shared" si="15"/>
        <v>0</v>
      </c>
    </row>
    <row r="186" spans="1:12"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2"/>
      <c r="E186" s="43">
        <f>[1]Orçamento!H169</f>
        <v>43.1</v>
      </c>
      <c r="F186" s="43">
        <f>[1]Orçamento!F169</f>
        <v>223.7</v>
      </c>
      <c r="G186" s="42"/>
      <c r="H186" s="42"/>
      <c r="I186" s="55">
        <f t="shared" si="16"/>
        <v>9641.4699999999993</v>
      </c>
      <c r="J186" s="55"/>
      <c r="K186" s="55"/>
      <c r="L186" s="44">
        <f t="shared" si="15"/>
        <v>0</v>
      </c>
    </row>
    <row r="187" spans="1:12"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2"/>
      <c r="E187" s="43">
        <f>[1]Orçamento!H170</f>
        <v>35.06</v>
      </c>
      <c r="F187" s="43">
        <f>[1]Orçamento!F170</f>
        <v>95.31</v>
      </c>
      <c r="G187" s="42"/>
      <c r="H187" s="42"/>
      <c r="I187" s="55">
        <f t="shared" si="16"/>
        <v>3341.5686000000005</v>
      </c>
      <c r="J187" s="55"/>
      <c r="K187" s="55"/>
      <c r="L187" s="44">
        <f t="shared" si="15"/>
        <v>0</v>
      </c>
    </row>
    <row r="188" spans="1:12"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2"/>
      <c r="E188" s="43">
        <f>[1]Orçamento!H171</f>
        <v>42.34</v>
      </c>
      <c r="F188" s="43">
        <f>[1]Orçamento!F171</f>
        <v>75.8</v>
      </c>
      <c r="G188" s="42"/>
      <c r="H188" s="42"/>
      <c r="I188" s="55">
        <f t="shared" si="16"/>
        <v>3209.3720000000003</v>
      </c>
      <c r="J188" s="55"/>
      <c r="K188" s="55"/>
      <c r="L188" s="44">
        <f t="shared" si="15"/>
        <v>0</v>
      </c>
    </row>
    <row r="189" spans="1:12"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2"/>
      <c r="E189" s="43">
        <f>[1]Orçamento!H172</f>
        <v>52.68</v>
      </c>
      <c r="F189" s="43">
        <f>[1]Orçamento!F172</f>
        <v>219.33</v>
      </c>
      <c r="G189" s="42"/>
      <c r="H189" s="42"/>
      <c r="I189" s="55">
        <f t="shared" si="16"/>
        <v>11554.304400000001</v>
      </c>
      <c r="J189" s="55"/>
      <c r="K189" s="55"/>
      <c r="L189" s="44">
        <f t="shared" si="15"/>
        <v>0</v>
      </c>
    </row>
    <row r="190" spans="1:12"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2"/>
      <c r="E190" s="43">
        <f>[1]Orçamento!H173</f>
        <v>57.45</v>
      </c>
      <c r="F190" s="43">
        <f>[1]Orçamento!F173</f>
        <v>107.24</v>
      </c>
      <c r="G190" s="42"/>
      <c r="H190" s="42"/>
      <c r="I190" s="55">
        <f t="shared" si="16"/>
        <v>6160.9380000000001</v>
      </c>
      <c r="J190" s="55"/>
      <c r="K190" s="55"/>
      <c r="L190" s="44">
        <f t="shared" si="15"/>
        <v>0</v>
      </c>
    </row>
    <row r="191" spans="1:12"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2"/>
      <c r="E191" s="43">
        <f>[1]Orçamento!H174</f>
        <v>7491.47</v>
      </c>
      <c r="F191" s="43">
        <f>[1]Orçamento!F174</f>
        <v>5</v>
      </c>
      <c r="G191" s="42"/>
      <c r="H191" s="42"/>
      <c r="I191" s="55">
        <f t="shared" si="16"/>
        <v>37457.35</v>
      </c>
      <c r="J191" s="55"/>
      <c r="K191" s="55"/>
      <c r="L191" s="44">
        <f t="shared" si="15"/>
        <v>0</v>
      </c>
    </row>
    <row r="192" spans="1:12" x14ac:dyDescent="0.25">
      <c r="A192" s="39" t="str">
        <f>[1]Orçamento!A175</f>
        <v xml:space="preserve"> 17 </v>
      </c>
      <c r="B192" s="45" t="str">
        <f>[1]Orçamento!D175</f>
        <v>INSTALAÇÕES SANITÁRIAS</v>
      </c>
      <c r="C192" s="39"/>
      <c r="D192" s="47"/>
      <c r="E192" s="48"/>
      <c r="F192" s="48"/>
      <c r="G192" s="47"/>
      <c r="H192" s="47"/>
      <c r="I192" s="56"/>
      <c r="J192" s="56"/>
      <c r="K192" s="56"/>
      <c r="L192" s="49"/>
    </row>
    <row r="193" spans="1:12"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2"/>
      <c r="E193" s="43">
        <f>[1]Orçamento!H176</f>
        <v>73.61</v>
      </c>
      <c r="F193" s="43">
        <f>[1]Orçamento!F176</f>
        <v>191</v>
      </c>
      <c r="G193" s="42"/>
      <c r="H193" s="42"/>
      <c r="I193" s="55">
        <f t="shared" si="16"/>
        <v>14059.51</v>
      </c>
      <c r="J193" s="55"/>
      <c r="K193" s="55"/>
      <c r="L193" s="44">
        <f t="shared" si="15"/>
        <v>0</v>
      </c>
    </row>
    <row r="194" spans="1:12"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2"/>
      <c r="E194" s="43">
        <f>[1]Orçamento!H177</f>
        <v>46.1</v>
      </c>
      <c r="F194" s="43">
        <f>[1]Orçamento!F177</f>
        <v>77</v>
      </c>
      <c r="G194" s="42"/>
      <c r="H194" s="42"/>
      <c r="I194" s="55">
        <f t="shared" si="16"/>
        <v>3549.7000000000003</v>
      </c>
      <c r="J194" s="55"/>
      <c r="K194" s="55"/>
      <c r="L194" s="44">
        <f t="shared" si="15"/>
        <v>0</v>
      </c>
    </row>
    <row r="195" spans="1:12"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2"/>
      <c r="E195" s="43">
        <f>[1]Orçamento!H178</f>
        <v>92.81</v>
      </c>
      <c r="F195" s="43">
        <f>[1]Orçamento!F178</f>
        <v>96</v>
      </c>
      <c r="G195" s="42"/>
      <c r="H195" s="42"/>
      <c r="I195" s="55">
        <f t="shared" si="16"/>
        <v>8909.76</v>
      </c>
      <c r="J195" s="55"/>
      <c r="K195" s="55"/>
      <c r="L195" s="44">
        <f t="shared" si="15"/>
        <v>0</v>
      </c>
    </row>
    <row r="196" spans="1:12"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2"/>
      <c r="E196" s="43">
        <f>[1]Orçamento!H179</f>
        <v>58.84</v>
      </c>
      <c r="F196" s="43">
        <f>[1]Orçamento!F179</f>
        <v>25</v>
      </c>
      <c r="G196" s="42"/>
      <c r="H196" s="42"/>
      <c r="I196" s="55">
        <f t="shared" si="16"/>
        <v>1471</v>
      </c>
      <c r="J196" s="55"/>
      <c r="K196" s="55"/>
      <c r="L196" s="44">
        <f t="shared" si="15"/>
        <v>0</v>
      </c>
    </row>
    <row r="197" spans="1:12"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2"/>
      <c r="E197" s="43">
        <f>[1]Orçamento!H180</f>
        <v>424.97</v>
      </c>
      <c r="F197" s="43">
        <f>[1]Orçamento!F180</f>
        <v>30</v>
      </c>
      <c r="G197" s="42"/>
      <c r="H197" s="42"/>
      <c r="I197" s="55">
        <f t="shared" si="16"/>
        <v>12749.1</v>
      </c>
      <c r="J197" s="55"/>
      <c r="K197" s="55"/>
      <c r="L197" s="44">
        <f t="shared" si="15"/>
        <v>0</v>
      </c>
    </row>
    <row r="198" spans="1:12" x14ac:dyDescent="0.25">
      <c r="A198" s="41" t="str">
        <f>[1]Orçamento!A181</f>
        <v xml:space="preserve"> 17.6 </v>
      </c>
      <c r="B198" s="46" t="str">
        <f>[1]Orçamento!D181</f>
        <v>PROLONGAMENTO / PROLONGADOR PARA CAIXA SIFONADA, PVC, 150 MM X 150 MM (NBR 5688)</v>
      </c>
      <c r="C198" s="41" t="str">
        <f>[1]Orçamento!E181</f>
        <v>UN</v>
      </c>
      <c r="D198" s="42"/>
      <c r="E198" s="43">
        <f>[1]Orçamento!H181</f>
        <v>13.66</v>
      </c>
      <c r="F198" s="43">
        <f>[1]Orçamento!F181</f>
        <v>20</v>
      </c>
      <c r="G198" s="42"/>
      <c r="H198" s="42"/>
      <c r="I198" s="55">
        <f t="shared" si="16"/>
        <v>273.2</v>
      </c>
      <c r="J198" s="55"/>
      <c r="K198" s="55"/>
      <c r="L198" s="44">
        <f t="shared" si="15"/>
        <v>0</v>
      </c>
    </row>
    <row r="199" spans="1:12" ht="25.5" x14ac:dyDescent="0.25">
      <c r="A199" s="41" t="str">
        <f>[1]Orçamento!A182</f>
        <v xml:space="preserve"> 17.7 </v>
      </c>
      <c r="B199" s="46" t="str">
        <f>[1]Orçamento!D182</f>
        <v>CAIXA DE GORDURA PEQUENA (CAPACIDADE: 19 L), CIRCULAR, EM PVC, DIÂMETRO INTERNO= 0,3 M. AF_12/2020</v>
      </c>
      <c r="C199" s="41" t="str">
        <f>[1]Orçamento!E182</f>
        <v>UN</v>
      </c>
      <c r="D199" s="42"/>
      <c r="E199" s="43">
        <f>[1]Orçamento!H182</f>
        <v>401.33</v>
      </c>
      <c r="F199" s="43">
        <f>[1]Orçamento!F182</f>
        <v>20</v>
      </c>
      <c r="G199" s="42"/>
      <c r="H199" s="42"/>
      <c r="I199" s="55">
        <f t="shared" si="16"/>
        <v>8026.5999999999995</v>
      </c>
      <c r="J199" s="55"/>
      <c r="K199" s="55"/>
      <c r="L199" s="44">
        <f t="shared" si="15"/>
        <v>0</v>
      </c>
    </row>
    <row r="200" spans="1:12" x14ac:dyDescent="0.25">
      <c r="A200" s="41" t="str">
        <f>[1]Orçamento!A183</f>
        <v xml:space="preserve"> 17.8 </v>
      </c>
      <c r="B200" s="46" t="str">
        <f>[1]Orçamento!D183</f>
        <v>GRELHA FIXA, EM PVC BRANCA, QUADRADA, 150 X 150 MM, PARA RALOS E CAIXAS</v>
      </c>
      <c r="C200" s="41" t="str">
        <f>[1]Orçamento!E183</f>
        <v>UN</v>
      </c>
      <c r="D200" s="42"/>
      <c r="E200" s="43">
        <f>[1]Orçamento!H183</f>
        <v>10.46</v>
      </c>
      <c r="F200" s="43">
        <f>[1]Orçamento!F183</f>
        <v>17</v>
      </c>
      <c r="G200" s="42"/>
      <c r="H200" s="42"/>
      <c r="I200" s="55">
        <f t="shared" si="16"/>
        <v>177.82000000000002</v>
      </c>
      <c r="J200" s="55"/>
      <c r="K200" s="55"/>
      <c r="L200" s="44">
        <f t="shared" si="15"/>
        <v>0</v>
      </c>
    </row>
    <row r="201" spans="1:12"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2"/>
      <c r="E201" s="43">
        <f>[1]Orçamento!H184</f>
        <v>141.57</v>
      </c>
      <c r="F201" s="43">
        <f>[1]Orçamento!F184</f>
        <v>103</v>
      </c>
      <c r="G201" s="42"/>
      <c r="H201" s="42"/>
      <c r="I201" s="55">
        <f t="shared" si="16"/>
        <v>14581.71</v>
      </c>
      <c r="J201" s="55"/>
      <c r="K201" s="55"/>
      <c r="L201" s="44">
        <f t="shared" si="15"/>
        <v>0</v>
      </c>
    </row>
    <row r="202" spans="1:12" x14ac:dyDescent="0.25">
      <c r="A202" s="39" t="str">
        <f>[1]Orçamento!A185</f>
        <v xml:space="preserve"> 18 </v>
      </c>
      <c r="B202" s="45" t="str">
        <f>[1]Orçamento!D185</f>
        <v>INSTALAÇÕES PLUVIAIS</v>
      </c>
      <c r="C202" s="39"/>
      <c r="D202" s="47"/>
      <c r="E202" s="48"/>
      <c r="F202" s="48"/>
      <c r="G202" s="47"/>
      <c r="H202" s="47"/>
      <c r="I202" s="56"/>
      <c r="J202" s="56"/>
      <c r="K202" s="56"/>
      <c r="L202" s="49"/>
    </row>
    <row r="203" spans="1:12"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2"/>
      <c r="E203" s="43">
        <f>[1]Orçamento!H186</f>
        <v>73.61</v>
      </c>
      <c r="F203" s="43">
        <f>[1]Orçamento!F186</f>
        <v>575</v>
      </c>
      <c r="G203" s="42"/>
      <c r="H203" s="42"/>
      <c r="I203" s="55">
        <f t="shared" si="16"/>
        <v>42325.75</v>
      </c>
      <c r="J203" s="55"/>
      <c r="K203" s="55"/>
      <c r="L203" s="44">
        <f t="shared" si="15"/>
        <v>0</v>
      </c>
    </row>
    <row r="204" spans="1:12"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2"/>
      <c r="E204" s="43">
        <f>[1]Orçamento!H187</f>
        <v>41.61</v>
      </c>
      <c r="F204" s="43">
        <f>[1]Orçamento!F187</f>
        <v>17</v>
      </c>
      <c r="G204" s="42"/>
      <c r="H204" s="42"/>
      <c r="I204" s="55">
        <f t="shared" si="16"/>
        <v>707.37</v>
      </c>
      <c r="J204" s="55"/>
      <c r="K204" s="55"/>
      <c r="L204" s="44">
        <f t="shared" si="15"/>
        <v>0</v>
      </c>
    </row>
    <row r="205" spans="1:12"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2"/>
      <c r="E205" s="43">
        <f>[1]Orçamento!H188</f>
        <v>424.97</v>
      </c>
      <c r="F205" s="43">
        <f>[1]Orçamento!F188</f>
        <v>14</v>
      </c>
      <c r="G205" s="42"/>
      <c r="H205" s="42"/>
      <c r="I205" s="55">
        <f t="shared" si="16"/>
        <v>5949.58</v>
      </c>
      <c r="J205" s="55"/>
      <c r="K205" s="55"/>
      <c r="L205" s="44">
        <f t="shared" si="15"/>
        <v>0</v>
      </c>
    </row>
    <row r="206" spans="1:12"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2"/>
      <c r="E206" s="43">
        <f>[1]Orçamento!H189</f>
        <v>460.68</v>
      </c>
      <c r="F206" s="43">
        <f>[1]Orçamento!F189</f>
        <v>30</v>
      </c>
      <c r="G206" s="42"/>
      <c r="H206" s="42"/>
      <c r="I206" s="55">
        <f t="shared" si="16"/>
        <v>13820.4</v>
      </c>
      <c r="J206" s="55"/>
      <c r="K206" s="55"/>
      <c r="L206" s="44">
        <f t="shared" si="15"/>
        <v>0</v>
      </c>
    </row>
    <row r="207" spans="1:12" x14ac:dyDescent="0.25">
      <c r="A207" s="41" t="str">
        <f>[1]Orçamento!A190</f>
        <v xml:space="preserve"> 18.5 </v>
      </c>
      <c r="B207" s="46" t="str">
        <f>[1]Orçamento!D190</f>
        <v>RALO FOFO SEMIESFERICO, 100 MM, PARA LAJES/ CALHAS</v>
      </c>
      <c r="C207" s="41" t="str">
        <f>[1]Orçamento!E190</f>
        <v>UN</v>
      </c>
      <c r="D207" s="42"/>
      <c r="E207" s="43">
        <f>[1]Orçamento!H190</f>
        <v>28.72</v>
      </c>
      <c r="F207" s="43">
        <f>[1]Orçamento!F190</f>
        <v>35</v>
      </c>
      <c r="G207" s="42"/>
      <c r="H207" s="42"/>
      <c r="I207" s="55">
        <f t="shared" si="16"/>
        <v>1005.1999999999999</v>
      </c>
      <c r="J207" s="55"/>
      <c r="K207" s="55"/>
      <c r="L207" s="44">
        <f t="shared" si="15"/>
        <v>0</v>
      </c>
    </row>
    <row r="208" spans="1:12" x14ac:dyDescent="0.25">
      <c r="A208" s="39" t="str">
        <f>[1]Orçamento!A191</f>
        <v xml:space="preserve"> 19 </v>
      </c>
      <c r="B208" s="45" t="str">
        <f>[1]Orçamento!D191</f>
        <v>INSTALAÇÕES ELÉTRICAS</v>
      </c>
      <c r="C208" s="39"/>
      <c r="D208" s="47"/>
      <c r="E208" s="48"/>
      <c r="F208" s="48"/>
      <c r="G208" s="47"/>
      <c r="H208" s="47"/>
      <c r="I208" s="56"/>
      <c r="J208" s="56"/>
      <c r="K208" s="56"/>
      <c r="L208" s="49"/>
    </row>
    <row r="209" spans="1:12"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2"/>
      <c r="E209" s="43">
        <f>[1]Orçamento!H192</f>
        <v>3.04</v>
      </c>
      <c r="F209" s="43">
        <f>[1]Orçamento!F192</f>
        <v>3386.01</v>
      </c>
      <c r="G209" s="42"/>
      <c r="H209" s="42"/>
      <c r="I209" s="55">
        <f t="shared" si="16"/>
        <v>10293.4704</v>
      </c>
      <c r="J209" s="55"/>
      <c r="K209" s="55"/>
      <c r="L209" s="44">
        <f t="shared" si="15"/>
        <v>0</v>
      </c>
    </row>
    <row r="210" spans="1:12"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2"/>
      <c r="E210" s="43">
        <f>[1]Orçamento!H193</f>
        <v>4.49</v>
      </c>
      <c r="F210" s="43">
        <f>[1]Orçamento!F193</f>
        <v>7458.78</v>
      </c>
      <c r="G210" s="42"/>
      <c r="H210" s="42"/>
      <c r="I210" s="55">
        <f t="shared" si="16"/>
        <v>33489.922200000001</v>
      </c>
      <c r="J210" s="55"/>
      <c r="K210" s="55"/>
      <c r="L210" s="44">
        <f t="shared" si="15"/>
        <v>0</v>
      </c>
    </row>
    <row r="211" spans="1:12"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2"/>
      <c r="E211" s="43">
        <f>[1]Orçamento!H194</f>
        <v>7.01</v>
      </c>
      <c r="F211" s="43">
        <f>[1]Orçamento!F194</f>
        <v>4181.41</v>
      </c>
      <c r="G211" s="42"/>
      <c r="H211" s="42"/>
      <c r="I211" s="55">
        <f t="shared" si="16"/>
        <v>29311.684099999999</v>
      </c>
      <c r="J211" s="55"/>
      <c r="K211" s="55"/>
      <c r="L211" s="44">
        <f t="shared" si="15"/>
        <v>0</v>
      </c>
    </row>
    <row r="212" spans="1:12"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2"/>
      <c r="E212" s="43">
        <f>[1]Orçamento!H195</f>
        <v>9.81</v>
      </c>
      <c r="F212" s="43">
        <f>[1]Orçamento!F195</f>
        <v>1006.03</v>
      </c>
      <c r="G212" s="42"/>
      <c r="H212" s="42"/>
      <c r="I212" s="55">
        <f t="shared" si="16"/>
        <v>9869.1543000000001</v>
      </c>
      <c r="J212" s="55"/>
      <c r="K212" s="55"/>
      <c r="L212" s="44">
        <f t="shared" si="15"/>
        <v>0</v>
      </c>
    </row>
    <row r="213" spans="1:12"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2"/>
      <c r="E213" s="43">
        <f>[1]Orçamento!H196</f>
        <v>19.5</v>
      </c>
      <c r="F213" s="43">
        <f>[1]Orçamento!F196</f>
        <v>1179.54</v>
      </c>
      <c r="G213" s="42"/>
      <c r="H213" s="42"/>
      <c r="I213" s="55">
        <f t="shared" si="16"/>
        <v>23001.03</v>
      </c>
      <c r="J213" s="55"/>
      <c r="K213" s="55"/>
      <c r="L213" s="44">
        <f t="shared" si="15"/>
        <v>0</v>
      </c>
    </row>
    <row r="214" spans="1:12" ht="25.5" x14ac:dyDescent="0.25">
      <c r="A214" s="41" t="str">
        <f>[1]Orçamento!A197</f>
        <v xml:space="preserve"> 19.6 </v>
      </c>
      <c r="B214" s="46" t="str">
        <f>[1]Orçamento!D197</f>
        <v>CURVA 135 GRAUS, PARA ELETRODUTO, EM ACO GALVANIZADO ELETROLITICO, DIAMETRO DE 15 MM (1/2")</v>
      </c>
      <c r="C214" s="41" t="str">
        <f>[1]Orçamento!E197</f>
        <v>UN</v>
      </c>
      <c r="D214" s="42"/>
      <c r="E214" s="43">
        <f>[1]Orçamento!H197</f>
        <v>7.21</v>
      </c>
      <c r="F214" s="43">
        <f>[1]Orçamento!F197</f>
        <v>48</v>
      </c>
      <c r="G214" s="42"/>
      <c r="H214" s="42"/>
      <c r="I214" s="55">
        <f t="shared" si="16"/>
        <v>346.08</v>
      </c>
      <c r="J214" s="55"/>
      <c r="K214" s="55"/>
      <c r="L214" s="44">
        <f t="shared" si="15"/>
        <v>0</v>
      </c>
    </row>
    <row r="215" spans="1:12" x14ac:dyDescent="0.25">
      <c r="A215" s="41" t="str">
        <f>[1]Orçamento!A198</f>
        <v xml:space="preserve"> 19.7 </v>
      </c>
      <c r="B215" s="46" t="str">
        <f>[1]Orçamento!D198</f>
        <v>CURVA 135 GRAUS, DE PVC RIGIDO ROSCAVEL, DE 3/4", PARA ELETRODUTO</v>
      </c>
      <c r="C215" s="41" t="str">
        <f>[1]Orçamento!E198</f>
        <v>UN</v>
      </c>
      <c r="D215" s="42"/>
      <c r="E215" s="43">
        <f>[1]Orçamento!H198</f>
        <v>1.87</v>
      </c>
      <c r="F215" s="43">
        <f>[1]Orçamento!F198</f>
        <v>99</v>
      </c>
      <c r="G215" s="42"/>
      <c r="H215" s="42"/>
      <c r="I215" s="55">
        <f t="shared" si="16"/>
        <v>185.13000000000002</v>
      </c>
      <c r="J215" s="55"/>
      <c r="K215" s="55"/>
      <c r="L215" s="44">
        <f t="shared" si="15"/>
        <v>0</v>
      </c>
    </row>
    <row r="216" spans="1:12" x14ac:dyDescent="0.25">
      <c r="A216" s="41" t="str">
        <f>[1]Orçamento!A199</f>
        <v xml:space="preserve"> 19.8 </v>
      </c>
      <c r="B216" s="46" t="str">
        <f>[1]Orçamento!D199</f>
        <v>CURVA 90 GRAUS, CURTA, DE PVC RIGIDO ROSCAVEL, DE 1/2", PARA ELETRODUTO</v>
      </c>
      <c r="C216" s="41" t="str">
        <f>[1]Orçamento!E199</f>
        <v>UN</v>
      </c>
      <c r="D216" s="42"/>
      <c r="E216" s="43">
        <f>[1]Orçamento!H199</f>
        <v>1.55</v>
      </c>
      <c r="F216" s="43">
        <f>[1]Orçamento!F199</f>
        <v>92</v>
      </c>
      <c r="G216" s="42"/>
      <c r="H216" s="42"/>
      <c r="I216" s="55">
        <f t="shared" si="16"/>
        <v>142.6</v>
      </c>
      <c r="J216" s="55"/>
      <c r="K216" s="55"/>
      <c r="L216" s="44">
        <f t="shared" ref="L216:L279" si="17">K216/I216</f>
        <v>0</v>
      </c>
    </row>
    <row r="217" spans="1:12" x14ac:dyDescent="0.25">
      <c r="A217" s="41" t="str">
        <f>[1]Orçamento!A200</f>
        <v xml:space="preserve"> 19.9 </v>
      </c>
      <c r="B217" s="46" t="str">
        <f>[1]Orçamento!D200</f>
        <v>CURVA 90 GRAUS, CURTA, DE PVC RIGIDO ROSCAVEL, DE 3/4", PARA ELETRODUTO</v>
      </c>
      <c r="C217" s="41" t="str">
        <f>[1]Orçamento!E200</f>
        <v>UN</v>
      </c>
      <c r="D217" s="42"/>
      <c r="E217" s="43">
        <f>[1]Orçamento!H200</f>
        <v>1.91</v>
      </c>
      <c r="F217" s="43">
        <f>[1]Orçamento!F200</f>
        <v>237</v>
      </c>
      <c r="G217" s="42"/>
      <c r="H217" s="42"/>
      <c r="I217" s="55">
        <f t="shared" si="16"/>
        <v>452.66999999999996</v>
      </c>
      <c r="J217" s="55"/>
      <c r="K217" s="55"/>
      <c r="L217" s="44">
        <f t="shared" si="17"/>
        <v>0</v>
      </c>
    </row>
    <row r="218" spans="1:12" x14ac:dyDescent="0.25">
      <c r="A218" s="41" t="str">
        <f>[1]Orçamento!A201</f>
        <v xml:space="preserve"> 19.10 </v>
      </c>
      <c r="B218" s="46" t="str">
        <f>[1]Orçamento!D201</f>
        <v>CURVA 90 GRAUS, CURTA, DE PVC RIGIDO ROSCAVEL, DE 1", PARA ELETRODUTO</v>
      </c>
      <c r="C218" s="41" t="str">
        <f>[1]Orçamento!E201</f>
        <v>UN</v>
      </c>
      <c r="D218" s="42"/>
      <c r="E218" s="43">
        <f>[1]Orçamento!H201</f>
        <v>2.64</v>
      </c>
      <c r="F218" s="43">
        <f>[1]Orçamento!F201</f>
        <v>14</v>
      </c>
      <c r="G218" s="42"/>
      <c r="H218" s="42"/>
      <c r="I218" s="55">
        <f t="shared" si="16"/>
        <v>36.96</v>
      </c>
      <c r="J218" s="55"/>
      <c r="K218" s="55"/>
      <c r="L218" s="44">
        <f t="shared" si="17"/>
        <v>0</v>
      </c>
    </row>
    <row r="219" spans="1:12" x14ac:dyDescent="0.25">
      <c r="A219" s="41" t="str">
        <f>[1]Orçamento!A202</f>
        <v xml:space="preserve"> 19.11 </v>
      </c>
      <c r="B219" s="46" t="str">
        <f>[1]Orçamento!D202</f>
        <v>CURVA 90 GRAUS, LONGA, DE PVC RIGIDO ROSCAVEL, DE 1 1/4", PARA ELETRODUTO</v>
      </c>
      <c r="C219" s="41" t="str">
        <f>[1]Orçamento!E202</f>
        <v>UN</v>
      </c>
      <c r="D219" s="42"/>
      <c r="E219" s="43">
        <f>[1]Orçamento!H202</f>
        <v>3.49</v>
      </c>
      <c r="F219" s="43">
        <f>[1]Orçamento!F202</f>
        <v>19</v>
      </c>
      <c r="G219" s="42"/>
      <c r="H219" s="42"/>
      <c r="I219" s="55">
        <f t="shared" si="16"/>
        <v>66.31</v>
      </c>
      <c r="J219" s="55"/>
      <c r="K219" s="55"/>
      <c r="L219" s="44">
        <f t="shared" si="17"/>
        <v>0</v>
      </c>
    </row>
    <row r="220" spans="1:12" x14ac:dyDescent="0.25">
      <c r="A220" s="41" t="str">
        <f>[1]Orçamento!A203</f>
        <v xml:space="preserve"> 19.12 </v>
      </c>
      <c r="B220" s="46" t="str">
        <f>[1]Orçamento!D203</f>
        <v>CURVA 90 GRAUS, LONGA, DE PVC RIGIDO ROSCAVEL, DE 1 1/2", PARA ELETRODUTO</v>
      </c>
      <c r="C220" s="41" t="str">
        <f>[1]Orçamento!E203</f>
        <v>UN</v>
      </c>
      <c r="D220" s="42"/>
      <c r="E220" s="43">
        <f>[1]Orçamento!H203</f>
        <v>4.21</v>
      </c>
      <c r="F220" s="43">
        <f>[1]Orçamento!F203</f>
        <v>27</v>
      </c>
      <c r="G220" s="42"/>
      <c r="H220" s="42"/>
      <c r="I220" s="55">
        <f t="shared" si="16"/>
        <v>113.67</v>
      </c>
      <c r="J220" s="55"/>
      <c r="K220" s="55"/>
      <c r="L220" s="44">
        <f t="shared" si="17"/>
        <v>0</v>
      </c>
    </row>
    <row r="221" spans="1:12"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2"/>
      <c r="E221" s="43">
        <f>[1]Orçamento!H204</f>
        <v>28.72</v>
      </c>
      <c r="F221" s="43">
        <f>[1]Orçamento!F204</f>
        <v>2</v>
      </c>
      <c r="G221" s="42"/>
      <c r="H221" s="42"/>
      <c r="I221" s="55">
        <f t="shared" si="16"/>
        <v>57.44</v>
      </c>
      <c r="J221" s="55"/>
      <c r="K221" s="55"/>
      <c r="L221" s="44">
        <f t="shared" si="17"/>
        <v>0</v>
      </c>
    </row>
    <row r="222" spans="1:12"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2"/>
      <c r="E222" s="43">
        <f>[1]Orçamento!H205</f>
        <v>23.21</v>
      </c>
      <c r="F222" s="43">
        <f>[1]Orçamento!F205</f>
        <v>33</v>
      </c>
      <c r="G222" s="42"/>
      <c r="H222" s="42"/>
      <c r="I222" s="55">
        <f t="shared" si="16"/>
        <v>765.93000000000006</v>
      </c>
      <c r="J222" s="55"/>
      <c r="K222" s="55"/>
      <c r="L222" s="44">
        <f t="shared" si="17"/>
        <v>0</v>
      </c>
    </row>
    <row r="223" spans="1:12"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2"/>
      <c r="E223" s="43">
        <f>[1]Orçamento!H206</f>
        <v>36.72</v>
      </c>
      <c r="F223" s="43">
        <f>[1]Orçamento!F206</f>
        <v>10</v>
      </c>
      <c r="G223" s="42"/>
      <c r="H223" s="42"/>
      <c r="I223" s="55">
        <f t="shared" si="16"/>
        <v>367.2</v>
      </c>
      <c r="J223" s="55"/>
      <c r="K223" s="55"/>
      <c r="L223" s="44">
        <f t="shared" si="17"/>
        <v>0</v>
      </c>
    </row>
    <row r="224" spans="1:12"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2"/>
      <c r="E224" s="43">
        <f>[1]Orçamento!H207</f>
        <v>41.17</v>
      </c>
      <c r="F224" s="43">
        <f>[1]Orçamento!F207</f>
        <v>11</v>
      </c>
      <c r="G224" s="42"/>
      <c r="H224" s="42"/>
      <c r="I224" s="55">
        <f t="shared" si="16"/>
        <v>452.87</v>
      </c>
      <c r="J224" s="55"/>
      <c r="K224" s="55"/>
      <c r="L224" s="44">
        <f t="shared" si="17"/>
        <v>0</v>
      </c>
    </row>
    <row r="225" spans="1:12"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2"/>
      <c r="E225" s="43">
        <f>[1]Orçamento!H208</f>
        <v>13.08</v>
      </c>
      <c r="F225" s="43">
        <f>[1]Orçamento!F208</f>
        <v>66</v>
      </c>
      <c r="G225" s="42"/>
      <c r="H225" s="42"/>
      <c r="I225" s="55">
        <f t="shared" si="16"/>
        <v>863.28</v>
      </c>
      <c r="J225" s="55"/>
      <c r="K225" s="55"/>
      <c r="L225" s="44">
        <f t="shared" si="17"/>
        <v>0</v>
      </c>
    </row>
    <row r="226" spans="1:12"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2"/>
      <c r="E226" s="43">
        <f>[1]Orçamento!H209</f>
        <v>167.43</v>
      </c>
      <c r="F226" s="43">
        <f>[1]Orçamento!F209</f>
        <v>161</v>
      </c>
      <c r="G226" s="42"/>
      <c r="H226" s="42"/>
      <c r="I226" s="55">
        <f t="shared" si="16"/>
        <v>26956.23</v>
      </c>
      <c r="J226" s="55"/>
      <c r="K226" s="55"/>
      <c r="L226" s="44">
        <f t="shared" si="17"/>
        <v>0</v>
      </c>
    </row>
    <row r="227" spans="1:12"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2"/>
      <c r="E227" s="43">
        <f>[1]Orçamento!H210</f>
        <v>36.130000000000003</v>
      </c>
      <c r="F227" s="43">
        <f>[1]Orçamento!F210</f>
        <v>39</v>
      </c>
      <c r="G227" s="42"/>
      <c r="H227" s="42"/>
      <c r="I227" s="55">
        <f t="shared" si="16"/>
        <v>1409.0700000000002</v>
      </c>
      <c r="J227" s="55"/>
      <c r="K227" s="55"/>
      <c r="L227" s="44">
        <f t="shared" si="17"/>
        <v>0</v>
      </c>
    </row>
    <row r="228" spans="1:12"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2"/>
      <c r="E228" s="43">
        <f>[1]Orçamento!H211</f>
        <v>86.77</v>
      </c>
      <c r="F228" s="43">
        <f>[1]Orçamento!F211</f>
        <v>4</v>
      </c>
      <c r="G228" s="42"/>
      <c r="H228" s="42"/>
      <c r="I228" s="55">
        <f t="shared" si="16"/>
        <v>347.08</v>
      </c>
      <c r="J228" s="55"/>
      <c r="K228" s="55"/>
      <c r="L228" s="44">
        <f t="shared" si="17"/>
        <v>0</v>
      </c>
    </row>
    <row r="229" spans="1:12"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2"/>
      <c r="E229" s="43">
        <f>[1]Orçamento!H212</f>
        <v>418.05</v>
      </c>
      <c r="F229" s="43">
        <f>[1]Orçamento!F212</f>
        <v>6</v>
      </c>
      <c r="G229" s="42"/>
      <c r="H229" s="42"/>
      <c r="I229" s="55">
        <f t="shared" si="16"/>
        <v>2508.3000000000002</v>
      </c>
      <c r="J229" s="55"/>
      <c r="K229" s="55"/>
      <c r="L229" s="44">
        <f t="shared" si="17"/>
        <v>0</v>
      </c>
    </row>
    <row r="230" spans="1:12"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2"/>
      <c r="E230" s="43">
        <f>[1]Orçamento!H213</f>
        <v>577.74</v>
      </c>
      <c r="F230" s="43">
        <f>[1]Orçamento!F213</f>
        <v>2</v>
      </c>
      <c r="G230" s="42"/>
      <c r="H230" s="42"/>
      <c r="I230" s="55">
        <f t="shared" si="16"/>
        <v>1155.48</v>
      </c>
      <c r="J230" s="55"/>
      <c r="K230" s="55"/>
      <c r="L230" s="44">
        <f t="shared" si="17"/>
        <v>0</v>
      </c>
    </row>
    <row r="231" spans="1:12"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2"/>
      <c r="E231" s="43">
        <f>[1]Orçamento!H214</f>
        <v>1005.24</v>
      </c>
      <c r="F231" s="43">
        <f>[1]Orçamento!F214</f>
        <v>5</v>
      </c>
      <c r="G231" s="42"/>
      <c r="H231" s="42"/>
      <c r="I231" s="55">
        <f t="shared" si="16"/>
        <v>5026.2</v>
      </c>
      <c r="J231" s="55"/>
      <c r="K231" s="55"/>
      <c r="L231" s="44">
        <f t="shared" si="17"/>
        <v>0</v>
      </c>
    </row>
    <row r="232" spans="1:12" ht="25.5" x14ac:dyDescent="0.25">
      <c r="A232" s="41" t="str">
        <f>[1]Orçamento!A215</f>
        <v xml:space="preserve"> 19.24 </v>
      </c>
      <c r="B232" s="46" t="str">
        <f>[1]Orçamento!D215</f>
        <v>SENSOR DE PRESENÇA COM FOTOCÉLULA, FIXAÇÃO EM PAREDE - FORNECIMENTO E INSTALAÇÃO. AF_02/2020</v>
      </c>
      <c r="C232" s="41" t="str">
        <f>[1]Orçamento!E215</f>
        <v>UN</v>
      </c>
      <c r="D232" s="42"/>
      <c r="E232" s="43">
        <f>[1]Orçamento!H215</f>
        <v>116.71</v>
      </c>
      <c r="F232" s="43">
        <f>[1]Orçamento!F215</f>
        <v>8</v>
      </c>
      <c r="G232" s="42"/>
      <c r="H232" s="42"/>
      <c r="I232" s="55">
        <f t="shared" si="16"/>
        <v>933.68</v>
      </c>
      <c r="J232" s="55"/>
      <c r="K232" s="55"/>
      <c r="L232" s="44">
        <f t="shared" si="17"/>
        <v>0</v>
      </c>
    </row>
    <row r="233" spans="1:12"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2"/>
      <c r="E233" s="43">
        <f>[1]Orçamento!H216</f>
        <v>45.66</v>
      </c>
      <c r="F233" s="43">
        <f>[1]Orçamento!F216</f>
        <v>35</v>
      </c>
      <c r="G233" s="42"/>
      <c r="H233" s="42"/>
      <c r="I233" s="55">
        <f t="shared" si="16"/>
        <v>1598.1</v>
      </c>
      <c r="J233" s="55"/>
      <c r="K233" s="55"/>
      <c r="L233" s="44">
        <f t="shared" si="17"/>
        <v>0</v>
      </c>
    </row>
    <row r="234" spans="1:12"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2"/>
      <c r="E234" s="43">
        <f>[1]Orçamento!H217</f>
        <v>29.7</v>
      </c>
      <c r="F234" s="43">
        <f>[1]Orçamento!F217</f>
        <v>26</v>
      </c>
      <c r="G234" s="42"/>
      <c r="H234" s="42"/>
      <c r="I234" s="55">
        <f t="shared" si="16"/>
        <v>772.19999999999993</v>
      </c>
      <c r="J234" s="55"/>
      <c r="K234" s="55"/>
      <c r="L234" s="44">
        <f t="shared" si="17"/>
        <v>0</v>
      </c>
    </row>
    <row r="235" spans="1:12"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2"/>
      <c r="E235" s="43">
        <f>[1]Orçamento!H218</f>
        <v>45.66</v>
      </c>
      <c r="F235" s="43">
        <f>[1]Orçamento!F218</f>
        <v>142</v>
      </c>
      <c r="G235" s="42"/>
      <c r="H235" s="42"/>
      <c r="I235" s="55">
        <f t="shared" ref="I235:I298" si="18">F235*E235</f>
        <v>6483.7199999999993</v>
      </c>
      <c r="J235" s="55"/>
      <c r="K235" s="55"/>
      <c r="L235" s="44">
        <f t="shared" si="17"/>
        <v>0</v>
      </c>
    </row>
    <row r="236" spans="1:12"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2"/>
      <c r="E236" s="43">
        <f>[1]Orçamento!H219</f>
        <v>63.64</v>
      </c>
      <c r="F236" s="43">
        <f>[1]Orçamento!F219</f>
        <v>15</v>
      </c>
      <c r="G236" s="42"/>
      <c r="H236" s="42"/>
      <c r="I236" s="55">
        <f t="shared" si="18"/>
        <v>954.6</v>
      </c>
      <c r="J236" s="55"/>
      <c r="K236" s="55"/>
      <c r="L236" s="44">
        <f t="shared" si="17"/>
        <v>0</v>
      </c>
    </row>
    <row r="237" spans="1:12" x14ac:dyDescent="0.25">
      <c r="A237" s="41" t="str">
        <f>[1]Orçamento!A220</f>
        <v xml:space="preserve"> 19.29 </v>
      </c>
      <c r="B237" s="46" t="str">
        <f>[1]Orçamento!D220</f>
        <v>TOMADA DE REDE RJ45 - FORNECIMENTO E INSTALAÇÃO. AF_11/2019</v>
      </c>
      <c r="C237" s="41" t="str">
        <f>[1]Orçamento!E220</f>
        <v>UN</v>
      </c>
      <c r="D237" s="42"/>
      <c r="E237" s="43">
        <f>[1]Orçamento!H220</f>
        <v>42.01</v>
      </c>
      <c r="F237" s="43">
        <f>[1]Orçamento!F220</f>
        <v>2</v>
      </c>
      <c r="G237" s="42"/>
      <c r="H237" s="42"/>
      <c r="I237" s="55">
        <f t="shared" si="18"/>
        <v>84.02</v>
      </c>
      <c r="J237" s="55"/>
      <c r="K237" s="55"/>
      <c r="L237" s="44">
        <f t="shared" si="17"/>
        <v>0</v>
      </c>
    </row>
    <row r="238" spans="1:12"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2"/>
      <c r="E238" s="43">
        <f>[1]Orçamento!H221</f>
        <v>10.79</v>
      </c>
      <c r="F238" s="43">
        <f>[1]Orçamento!F221</f>
        <v>603.05999999999995</v>
      </c>
      <c r="G238" s="42"/>
      <c r="H238" s="42"/>
      <c r="I238" s="55">
        <f t="shared" si="18"/>
        <v>6507.0173999999988</v>
      </c>
      <c r="J238" s="55"/>
      <c r="K238" s="55"/>
      <c r="L238" s="44">
        <f t="shared" si="17"/>
        <v>0</v>
      </c>
    </row>
    <row r="239" spans="1:12"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2"/>
      <c r="E239" s="43">
        <f>[1]Orçamento!H222</f>
        <v>12.7</v>
      </c>
      <c r="F239" s="43">
        <f>[1]Orçamento!F222</f>
        <v>1121.4000000000001</v>
      </c>
      <c r="G239" s="42"/>
      <c r="H239" s="42"/>
      <c r="I239" s="55">
        <f t="shared" si="18"/>
        <v>14241.78</v>
      </c>
      <c r="J239" s="55"/>
      <c r="K239" s="55"/>
      <c r="L239" s="44">
        <f t="shared" si="17"/>
        <v>0</v>
      </c>
    </row>
    <row r="240" spans="1:12"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2"/>
      <c r="E240" s="43">
        <f>[1]Orçamento!H223</f>
        <v>17.71</v>
      </c>
      <c r="F240" s="43">
        <f>[1]Orçamento!F223</f>
        <v>115.68</v>
      </c>
      <c r="G240" s="42"/>
      <c r="H240" s="42"/>
      <c r="I240" s="55">
        <f t="shared" si="18"/>
        <v>2048.6928000000003</v>
      </c>
      <c r="J240" s="55"/>
      <c r="K240" s="55"/>
      <c r="L240" s="44">
        <f t="shared" si="17"/>
        <v>0</v>
      </c>
    </row>
    <row r="241" spans="1:12"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2"/>
      <c r="E241" s="43">
        <f>[1]Orçamento!H224</f>
        <v>19.13</v>
      </c>
      <c r="F241" s="43">
        <f>[1]Orçamento!F224</f>
        <v>93.39</v>
      </c>
      <c r="G241" s="42"/>
      <c r="H241" s="42"/>
      <c r="I241" s="55">
        <f t="shared" si="18"/>
        <v>1786.5507</v>
      </c>
      <c r="J241" s="55"/>
      <c r="K241" s="55"/>
      <c r="L241" s="44">
        <f t="shared" si="17"/>
        <v>0</v>
      </c>
    </row>
    <row r="242" spans="1:12"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2"/>
      <c r="E242" s="43">
        <f>[1]Orçamento!H225</f>
        <v>19.579999999999998</v>
      </c>
      <c r="F242" s="43">
        <f>[1]Orçamento!F225</f>
        <v>247.11</v>
      </c>
      <c r="G242" s="42"/>
      <c r="H242" s="42"/>
      <c r="I242" s="55">
        <f t="shared" si="18"/>
        <v>4838.4138000000003</v>
      </c>
      <c r="J242" s="55"/>
      <c r="K242" s="55"/>
      <c r="L242" s="44">
        <f t="shared" si="17"/>
        <v>0</v>
      </c>
    </row>
    <row r="243" spans="1:12" ht="25.5" x14ac:dyDescent="0.25">
      <c r="A243" s="41" t="str">
        <f>[1]Orçamento!A226</f>
        <v xml:space="preserve"> 19.35 </v>
      </c>
      <c r="B243" s="46" t="str">
        <f>[1]Orçamento!D226</f>
        <v>Fornecimento e instalação de eletrocalha perfurada 100 x   50 x 3000 mm (ref. mopa ou similar)</v>
      </c>
      <c r="C243" s="41" t="str">
        <f>[1]Orçamento!E226</f>
        <v>m</v>
      </c>
      <c r="D243" s="42"/>
      <c r="E243" s="43">
        <f>[1]Orçamento!H226</f>
        <v>41.86</v>
      </c>
      <c r="F243" s="43">
        <f>[1]Orçamento!F226</f>
        <v>40</v>
      </c>
      <c r="G243" s="42"/>
      <c r="H243" s="42"/>
      <c r="I243" s="55">
        <f t="shared" si="18"/>
        <v>1674.4</v>
      </c>
      <c r="J243" s="55"/>
      <c r="K243" s="55"/>
      <c r="L243" s="44">
        <f t="shared" si="17"/>
        <v>0</v>
      </c>
    </row>
    <row r="244" spans="1:12"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2"/>
      <c r="E244" s="43">
        <f>[1]Orçamento!H227</f>
        <v>32.5</v>
      </c>
      <c r="F244" s="43">
        <f>[1]Orçamento!F227</f>
        <v>35</v>
      </c>
      <c r="G244" s="42"/>
      <c r="H244" s="42"/>
      <c r="I244" s="55">
        <f t="shared" si="18"/>
        <v>1137.5</v>
      </c>
      <c r="J244" s="55"/>
      <c r="K244" s="55"/>
      <c r="L244" s="44">
        <f t="shared" si="17"/>
        <v>0</v>
      </c>
    </row>
    <row r="245" spans="1:12" ht="25.5" x14ac:dyDescent="0.25">
      <c r="A245" s="41" t="str">
        <f>[1]Orçamento!A228</f>
        <v xml:space="preserve"> 19.37 </v>
      </c>
      <c r="B245" s="46" t="str">
        <f>[1]Orçamento!D228</f>
        <v>DISJUNTOR MONOPOLAR TIPO DIN, CORRENTE NOMINAL DE 10A - FORNECIMENTO E INSTALAÇÃO. AF_10/2020</v>
      </c>
      <c r="C245" s="41" t="str">
        <f>[1]Orçamento!E228</f>
        <v>UN</v>
      </c>
      <c r="D245" s="42"/>
      <c r="E245" s="43">
        <f>[1]Orçamento!H228</f>
        <v>12.13</v>
      </c>
      <c r="F245" s="43">
        <f>[1]Orçamento!F228</f>
        <v>35</v>
      </c>
      <c r="G245" s="42"/>
      <c r="H245" s="42"/>
      <c r="I245" s="55">
        <f t="shared" si="18"/>
        <v>424.55</v>
      </c>
      <c r="J245" s="55"/>
      <c r="K245" s="55"/>
      <c r="L245" s="44">
        <f t="shared" si="17"/>
        <v>0</v>
      </c>
    </row>
    <row r="246" spans="1:12" ht="25.5" x14ac:dyDescent="0.25">
      <c r="A246" s="41" t="str">
        <f>[1]Orçamento!A229</f>
        <v xml:space="preserve"> 19.38 </v>
      </c>
      <c r="B246" s="46" t="str">
        <f>[1]Orçamento!D229</f>
        <v>DISJUNTOR MONOPOLAR TIPO DIN, CORRENTE NOMINAL DE 16A - FORNECIMENTO E INSTALAÇÃO. AF_10/2020</v>
      </c>
      <c r="C246" s="41" t="str">
        <f>[1]Orçamento!E229</f>
        <v>UN</v>
      </c>
      <c r="D246" s="42"/>
      <c r="E246" s="43">
        <f>[1]Orçamento!H229</f>
        <v>12.67</v>
      </c>
      <c r="F246" s="43">
        <f>[1]Orçamento!F229</f>
        <v>72</v>
      </c>
      <c r="G246" s="42"/>
      <c r="H246" s="42"/>
      <c r="I246" s="55">
        <f t="shared" si="18"/>
        <v>912.24</v>
      </c>
      <c r="J246" s="55"/>
      <c r="K246" s="55"/>
      <c r="L246" s="44">
        <f t="shared" si="17"/>
        <v>0</v>
      </c>
    </row>
    <row r="247" spans="1:12" ht="25.5" x14ac:dyDescent="0.25">
      <c r="A247" s="41" t="str">
        <f>[1]Orçamento!A230</f>
        <v xml:space="preserve"> 19.39 </v>
      </c>
      <c r="B247" s="46" t="str">
        <f>[1]Orçamento!D230</f>
        <v>DISJUNTOR MONOPOLAR TIPO DIN, CORRENTE NOMINAL DE 20A - FORNECIMENTO E INSTALAÇÃO. AF_10/2020</v>
      </c>
      <c r="C247" s="41" t="str">
        <f>[1]Orçamento!E230</f>
        <v>UN</v>
      </c>
      <c r="D247" s="42"/>
      <c r="E247" s="43">
        <f>[1]Orçamento!H230</f>
        <v>13.72</v>
      </c>
      <c r="F247" s="43">
        <f>[1]Orçamento!F230</f>
        <v>59</v>
      </c>
      <c r="G247" s="42"/>
      <c r="H247" s="42"/>
      <c r="I247" s="55">
        <f t="shared" si="18"/>
        <v>809.48</v>
      </c>
      <c r="J247" s="55"/>
      <c r="K247" s="55"/>
      <c r="L247" s="44">
        <f t="shared" si="17"/>
        <v>0</v>
      </c>
    </row>
    <row r="248" spans="1:12" ht="25.5" x14ac:dyDescent="0.25">
      <c r="A248" s="41" t="str">
        <f>[1]Orçamento!A231</f>
        <v xml:space="preserve"> 19.40 </v>
      </c>
      <c r="B248" s="46" t="str">
        <f>[1]Orçamento!D231</f>
        <v>DISJUNTOR MONOPOLAR TIPO DIN, CORRENTE NOMINAL DE 32A - FORNECIMENTO E INSTALAÇÃO. AF_10/2020</v>
      </c>
      <c r="C248" s="41" t="str">
        <f>[1]Orçamento!E231</f>
        <v>UN</v>
      </c>
      <c r="D248" s="42"/>
      <c r="E248" s="43">
        <f>[1]Orçamento!H231</f>
        <v>15.05</v>
      </c>
      <c r="F248" s="43">
        <f>[1]Orçamento!F231</f>
        <v>3</v>
      </c>
      <c r="G248" s="42"/>
      <c r="H248" s="42"/>
      <c r="I248" s="55">
        <f t="shared" si="18"/>
        <v>45.150000000000006</v>
      </c>
      <c r="J248" s="55"/>
      <c r="K248" s="55"/>
      <c r="L248" s="44">
        <f t="shared" si="17"/>
        <v>0</v>
      </c>
    </row>
    <row r="249" spans="1:12" ht="25.5" x14ac:dyDescent="0.25">
      <c r="A249" s="41" t="str">
        <f>[1]Orçamento!A232</f>
        <v xml:space="preserve"> 19.41 </v>
      </c>
      <c r="B249" s="46" t="str">
        <f>[1]Orçamento!D232</f>
        <v>DISJUNTOR TRIPOLAR TIPO DIN, CORRENTE NOMINAL DE 16A - FORNECIMENTO E INSTALAÇÃO. AF_10/2020</v>
      </c>
      <c r="C249" s="41" t="str">
        <f>[1]Orçamento!E232</f>
        <v>UN</v>
      </c>
      <c r="D249" s="42"/>
      <c r="E249" s="43">
        <f>[1]Orçamento!H232</f>
        <v>77.180000000000007</v>
      </c>
      <c r="F249" s="43">
        <f>[1]Orçamento!F232</f>
        <v>2</v>
      </c>
      <c r="G249" s="42"/>
      <c r="H249" s="42"/>
      <c r="I249" s="55">
        <f t="shared" si="18"/>
        <v>154.36000000000001</v>
      </c>
      <c r="J249" s="55"/>
      <c r="K249" s="55"/>
      <c r="L249" s="44">
        <f t="shared" si="17"/>
        <v>0</v>
      </c>
    </row>
    <row r="250" spans="1:12" ht="25.5" x14ac:dyDescent="0.25">
      <c r="A250" s="41" t="str">
        <f>[1]Orçamento!A233</f>
        <v xml:space="preserve"> 19.42 </v>
      </c>
      <c r="B250" s="46" t="str">
        <f>[1]Orçamento!D233</f>
        <v>DISJUNTOR TRIPOLAR TIPO DIN, CORRENTE NOMINAL DE 20A - FORNECIMENTO E INSTALAÇÃO. AF_10/2020</v>
      </c>
      <c r="C250" s="41" t="str">
        <f>[1]Orçamento!E233</f>
        <v>UN</v>
      </c>
      <c r="D250" s="42"/>
      <c r="E250" s="43">
        <f>[1]Orçamento!H233</f>
        <v>80.37</v>
      </c>
      <c r="F250" s="43">
        <f>[1]Orçamento!F233</f>
        <v>9</v>
      </c>
      <c r="G250" s="42"/>
      <c r="H250" s="42"/>
      <c r="I250" s="55">
        <f t="shared" si="18"/>
        <v>723.33</v>
      </c>
      <c r="J250" s="55"/>
      <c r="K250" s="55"/>
      <c r="L250" s="44">
        <f t="shared" si="17"/>
        <v>0</v>
      </c>
    </row>
    <row r="251" spans="1:12" ht="25.5" x14ac:dyDescent="0.25">
      <c r="A251" s="41" t="str">
        <f>[1]Orçamento!A234</f>
        <v xml:space="preserve"> 19.43 </v>
      </c>
      <c r="B251" s="46" t="str">
        <f>[1]Orçamento!D234</f>
        <v>DISJUNTOR TRIPOLAR TIPO DIN, CORRENTE NOMINAL DE 40A - FORNECIMENTO E INSTALAÇÃO. AF_10/2020</v>
      </c>
      <c r="C251" s="41" t="str">
        <f>[1]Orçamento!E234</f>
        <v>UN</v>
      </c>
      <c r="D251" s="42"/>
      <c r="E251" s="43">
        <f>[1]Orçamento!H234</f>
        <v>90.39</v>
      </c>
      <c r="F251" s="43">
        <f>[1]Orçamento!F234</f>
        <v>9</v>
      </c>
      <c r="G251" s="42"/>
      <c r="H251" s="42"/>
      <c r="I251" s="55">
        <f t="shared" si="18"/>
        <v>813.51</v>
      </c>
      <c r="J251" s="55"/>
      <c r="K251" s="55"/>
      <c r="L251" s="44">
        <f t="shared" si="17"/>
        <v>0</v>
      </c>
    </row>
    <row r="252" spans="1:12"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2"/>
      <c r="E252" s="43">
        <f>[1]Orçamento!H235</f>
        <v>160.55000000000001</v>
      </c>
      <c r="F252" s="43">
        <f>[1]Orçamento!F235</f>
        <v>11</v>
      </c>
      <c r="G252" s="42"/>
      <c r="H252" s="42"/>
      <c r="I252" s="55">
        <f t="shared" si="18"/>
        <v>1766.0500000000002</v>
      </c>
      <c r="J252" s="55"/>
      <c r="K252" s="55"/>
      <c r="L252" s="44">
        <f t="shared" si="17"/>
        <v>0</v>
      </c>
    </row>
    <row r="253" spans="1:12"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2"/>
      <c r="E253" s="43">
        <f>[1]Orçamento!H236</f>
        <v>3449.23</v>
      </c>
      <c r="F253" s="43">
        <f>[1]Orçamento!F236</f>
        <v>13</v>
      </c>
      <c r="G253" s="42"/>
      <c r="H253" s="42"/>
      <c r="I253" s="55">
        <f t="shared" si="18"/>
        <v>44839.99</v>
      </c>
      <c r="J253" s="55"/>
      <c r="K253" s="55"/>
      <c r="L253" s="44">
        <f t="shared" si="17"/>
        <v>0</v>
      </c>
    </row>
    <row r="254" spans="1:12"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2"/>
      <c r="E254" s="43">
        <f>[1]Orçamento!H237</f>
        <v>636.86</v>
      </c>
      <c r="F254" s="43">
        <f>[1]Orçamento!F237</f>
        <v>26</v>
      </c>
      <c r="G254" s="42"/>
      <c r="H254" s="42"/>
      <c r="I254" s="55">
        <f t="shared" si="18"/>
        <v>16558.36</v>
      </c>
      <c r="J254" s="55"/>
      <c r="K254" s="55"/>
      <c r="L254" s="44">
        <f t="shared" si="17"/>
        <v>0</v>
      </c>
    </row>
    <row r="255" spans="1:12"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2"/>
      <c r="E255" s="43">
        <f>[1]Orçamento!H238</f>
        <v>189016.09</v>
      </c>
      <c r="F255" s="43">
        <f>[1]Orçamento!F238</f>
        <v>1</v>
      </c>
      <c r="G255" s="42"/>
      <c r="H255" s="42"/>
      <c r="I255" s="55">
        <f t="shared" si="18"/>
        <v>189016.09</v>
      </c>
      <c r="J255" s="55"/>
      <c r="K255" s="55"/>
      <c r="L255" s="44">
        <f t="shared" si="17"/>
        <v>0</v>
      </c>
    </row>
    <row r="256" spans="1:12"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2"/>
      <c r="E256" s="43">
        <f>[1]Orçamento!H239</f>
        <v>135.71</v>
      </c>
      <c r="F256" s="43">
        <f>[1]Orçamento!F239</f>
        <v>13</v>
      </c>
      <c r="G256" s="42"/>
      <c r="H256" s="42"/>
      <c r="I256" s="55">
        <f t="shared" si="18"/>
        <v>1764.23</v>
      </c>
      <c r="J256" s="55"/>
      <c r="K256" s="55"/>
      <c r="L256" s="44">
        <f t="shared" si="17"/>
        <v>0</v>
      </c>
    </row>
    <row r="257" spans="1:12"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2"/>
      <c r="E257" s="43">
        <f>[1]Orçamento!H240</f>
        <v>45.37</v>
      </c>
      <c r="F257" s="43">
        <f>[1]Orçamento!F240</f>
        <v>13</v>
      </c>
      <c r="G257" s="42"/>
      <c r="H257" s="42"/>
      <c r="I257" s="55">
        <f t="shared" si="18"/>
        <v>589.80999999999995</v>
      </c>
      <c r="J257" s="55"/>
      <c r="K257" s="55"/>
      <c r="L257" s="44">
        <f t="shared" si="17"/>
        <v>0</v>
      </c>
    </row>
    <row r="258" spans="1:12"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2"/>
      <c r="E258" s="43">
        <f>[1]Orçamento!H241</f>
        <v>2152.9299999999998</v>
      </c>
      <c r="F258" s="43">
        <f>[1]Orçamento!F241</f>
        <v>1</v>
      </c>
      <c r="G258" s="42"/>
      <c r="H258" s="42"/>
      <c r="I258" s="55">
        <f t="shared" si="18"/>
        <v>2152.9299999999998</v>
      </c>
      <c r="J258" s="55"/>
      <c r="K258" s="55"/>
      <c r="L258" s="44">
        <f t="shared" si="17"/>
        <v>0</v>
      </c>
    </row>
    <row r="259" spans="1:12" x14ac:dyDescent="0.25">
      <c r="A259" s="41" t="str">
        <f>[1]Orçamento!A242</f>
        <v xml:space="preserve"> 19.51 </v>
      </c>
      <c r="B259" s="46" t="str">
        <f>[1]Orçamento!D242</f>
        <v>HASTE DE ATERRAMENTO 5/8  PARA SPDA - FORNECIMENTO E INSTALAÇÃO. AF_12/2017</v>
      </c>
      <c r="C259" s="41" t="str">
        <f>[1]Orçamento!E242</f>
        <v>UN</v>
      </c>
      <c r="D259" s="42"/>
      <c r="E259" s="43">
        <f>[1]Orçamento!H242</f>
        <v>60.71</v>
      </c>
      <c r="F259" s="43">
        <f>[1]Orçamento!F242</f>
        <v>3</v>
      </c>
      <c r="G259" s="42"/>
      <c r="H259" s="42"/>
      <c r="I259" s="55">
        <f t="shared" si="18"/>
        <v>182.13</v>
      </c>
      <c r="J259" s="55"/>
      <c r="K259" s="55"/>
      <c r="L259" s="44">
        <f t="shared" si="17"/>
        <v>0</v>
      </c>
    </row>
    <row r="260" spans="1:12" x14ac:dyDescent="0.25">
      <c r="A260" s="39" t="str">
        <f>[1]Orçamento!A243</f>
        <v xml:space="preserve"> 20 </v>
      </c>
      <c r="B260" s="45" t="str">
        <f>[1]Orçamento!D243</f>
        <v>INSTALAÇÕES DE SPDA</v>
      </c>
      <c r="C260" s="39"/>
      <c r="D260" s="47"/>
      <c r="E260" s="48"/>
      <c r="F260" s="48"/>
      <c r="G260" s="47"/>
      <c r="H260" s="47"/>
      <c r="I260" s="56"/>
      <c r="J260" s="56"/>
      <c r="K260" s="56"/>
      <c r="L260" s="49"/>
    </row>
    <row r="261" spans="1:12"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2"/>
      <c r="E261" s="43">
        <f>[1]Orçamento!H244</f>
        <v>135.71</v>
      </c>
      <c r="F261" s="43">
        <f>[1]Orçamento!F244</f>
        <v>3</v>
      </c>
      <c r="G261" s="42"/>
      <c r="H261" s="42"/>
      <c r="I261" s="55">
        <f t="shared" si="18"/>
        <v>407.13</v>
      </c>
      <c r="J261" s="55"/>
      <c r="K261" s="55"/>
      <c r="L261" s="44">
        <f t="shared" si="17"/>
        <v>0</v>
      </c>
    </row>
    <row r="262" spans="1:12"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2"/>
      <c r="E262" s="43">
        <f>[1]Orçamento!H245</f>
        <v>51.49</v>
      </c>
      <c r="F262" s="43">
        <f>[1]Orçamento!F245</f>
        <v>14</v>
      </c>
      <c r="G262" s="42"/>
      <c r="H262" s="42"/>
      <c r="I262" s="55">
        <f t="shared" si="18"/>
        <v>720.86</v>
      </c>
      <c r="J262" s="55"/>
      <c r="K262" s="55"/>
      <c r="L262" s="44">
        <f t="shared" si="17"/>
        <v>0</v>
      </c>
    </row>
    <row r="263" spans="1:12" ht="25.5" x14ac:dyDescent="0.25">
      <c r="A263" s="41" t="str">
        <f>[1]Orçamento!A246</f>
        <v xml:space="preserve"> 20.3 </v>
      </c>
      <c r="B263" s="46" t="str">
        <f>[1]Orçamento!D246</f>
        <v>CAIXA DE INSPEÇÃO PARA ATERRAMENTO, CIRCULAR, EM POLIETILENO, DIÂMETRO INTERNO = 0,3 M. AF_12/2020</v>
      </c>
      <c r="C263" s="41" t="str">
        <f>[1]Orçamento!E246</f>
        <v>UN</v>
      </c>
      <c r="D263" s="42"/>
      <c r="E263" s="43">
        <f>[1]Orçamento!H246</f>
        <v>53.39</v>
      </c>
      <c r="F263" s="43">
        <f>[1]Orçamento!F246</f>
        <v>14</v>
      </c>
      <c r="G263" s="42"/>
      <c r="H263" s="42"/>
      <c r="I263" s="55">
        <f t="shared" si="18"/>
        <v>747.46</v>
      </c>
      <c r="J263" s="55"/>
      <c r="K263" s="55"/>
      <c r="L263" s="44">
        <f t="shared" si="17"/>
        <v>0</v>
      </c>
    </row>
    <row r="264" spans="1:12" ht="25.5" x14ac:dyDescent="0.25">
      <c r="A264" s="41" t="str">
        <f>[1]Orçamento!A247</f>
        <v xml:space="preserve"> 20.4 </v>
      </c>
      <c r="B264" s="46" t="str">
        <f>[1]Orçamento!D247</f>
        <v>ABRACADEIRA EM ACO PARA AMARRACAO DE ELETRODUTOS, TIPO D, COM 1" E PARAFUSO DE FIXACAO</v>
      </c>
      <c r="C264" s="41" t="str">
        <f>[1]Orçamento!E247</f>
        <v>UN</v>
      </c>
      <c r="D264" s="42"/>
      <c r="E264" s="43">
        <f>[1]Orçamento!H247</f>
        <v>2.66</v>
      </c>
      <c r="F264" s="43">
        <f>[1]Orçamento!F247</f>
        <v>14</v>
      </c>
      <c r="G264" s="42"/>
      <c r="H264" s="42"/>
      <c r="I264" s="55">
        <f t="shared" si="18"/>
        <v>37.24</v>
      </c>
      <c r="J264" s="55"/>
      <c r="K264" s="55"/>
      <c r="L264" s="44">
        <f t="shared" si="17"/>
        <v>0</v>
      </c>
    </row>
    <row r="265" spans="1:12"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2"/>
      <c r="E265" s="43">
        <f>[1]Orçamento!H248</f>
        <v>588.87</v>
      </c>
      <c r="F265" s="43">
        <f>[1]Orçamento!F248</f>
        <v>1</v>
      </c>
      <c r="G265" s="42"/>
      <c r="H265" s="42"/>
      <c r="I265" s="55">
        <f t="shared" si="18"/>
        <v>588.87</v>
      </c>
      <c r="J265" s="55"/>
      <c r="K265" s="55"/>
      <c r="L265" s="44">
        <f t="shared" si="17"/>
        <v>0</v>
      </c>
    </row>
    <row r="266" spans="1:12"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2"/>
      <c r="E266" s="43">
        <f>[1]Orçamento!H249</f>
        <v>21.04</v>
      </c>
      <c r="F266" s="43">
        <f>[1]Orçamento!F249</f>
        <v>14</v>
      </c>
      <c r="G266" s="42"/>
      <c r="H266" s="42"/>
      <c r="I266" s="55">
        <f t="shared" si="18"/>
        <v>294.56</v>
      </c>
      <c r="J266" s="55"/>
      <c r="K266" s="55"/>
      <c r="L266" s="44">
        <f t="shared" si="17"/>
        <v>0</v>
      </c>
    </row>
    <row r="267" spans="1:12" x14ac:dyDescent="0.25">
      <c r="A267" s="41" t="str">
        <f>[1]Orçamento!A250</f>
        <v xml:space="preserve"> 20.7 </v>
      </c>
      <c r="B267" s="46" t="str">
        <f>[1]Orçamento!D250</f>
        <v>Conector em latão tipo minigar para cabos 16 - 50 mm² (SPDA)</v>
      </c>
      <c r="C267" s="41" t="str">
        <f>[1]Orçamento!E250</f>
        <v>un</v>
      </c>
      <c r="D267" s="42"/>
      <c r="E267" s="43">
        <f>[1]Orçamento!H250</f>
        <v>29.51</v>
      </c>
      <c r="F267" s="43">
        <f>[1]Orçamento!F250</f>
        <v>15</v>
      </c>
      <c r="G267" s="42"/>
      <c r="H267" s="42"/>
      <c r="I267" s="55">
        <f t="shared" si="18"/>
        <v>442.65000000000003</v>
      </c>
      <c r="J267" s="55"/>
      <c r="K267" s="55"/>
      <c r="L267" s="44">
        <f t="shared" si="17"/>
        <v>0</v>
      </c>
    </row>
    <row r="268" spans="1:12"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2"/>
      <c r="E268" s="43">
        <f>[1]Orçamento!H251</f>
        <v>19.29</v>
      </c>
      <c r="F268" s="43">
        <f>[1]Orçamento!F251</f>
        <v>96</v>
      </c>
      <c r="G268" s="42"/>
      <c r="H268" s="42"/>
      <c r="I268" s="55">
        <f t="shared" si="18"/>
        <v>1851.84</v>
      </c>
      <c r="J268" s="55"/>
      <c r="K268" s="55"/>
      <c r="L268" s="44">
        <f t="shared" si="17"/>
        <v>0</v>
      </c>
    </row>
    <row r="269" spans="1:12" x14ac:dyDescent="0.25">
      <c r="A269" s="41" t="str">
        <f>[1]Orçamento!A252</f>
        <v xml:space="preserve"> 20.9 </v>
      </c>
      <c r="B269" s="46" t="str">
        <f>[1]Orçamento!D252</f>
        <v>CONECTOR METALICO TIPO PARAFUSO FENDIDO (SPLIT BOLT), PARA CABOS ATE 50 MM2</v>
      </c>
      <c r="C269" s="41" t="str">
        <f>[1]Orçamento!E252</f>
        <v>UN</v>
      </c>
      <c r="D269" s="42"/>
      <c r="E269" s="43">
        <f>[1]Orçamento!H252</f>
        <v>12.5</v>
      </c>
      <c r="F269" s="43">
        <f>[1]Orçamento!F252</f>
        <v>14</v>
      </c>
      <c r="G269" s="42"/>
      <c r="H269" s="42"/>
      <c r="I269" s="55">
        <f t="shared" si="18"/>
        <v>175</v>
      </c>
      <c r="J269" s="55"/>
      <c r="K269" s="55"/>
      <c r="L269" s="44">
        <f t="shared" si="17"/>
        <v>0</v>
      </c>
    </row>
    <row r="270" spans="1:12" x14ac:dyDescent="0.25">
      <c r="A270" s="41" t="str">
        <f>[1]Orçamento!A253</f>
        <v xml:space="preserve"> 20.10 </v>
      </c>
      <c r="B270" s="46" t="str">
        <f>[1]Orçamento!D253</f>
        <v>Conector em latão tipo minigar para cabos 16 - 50 mm² (SPDA)</v>
      </c>
      <c r="C270" s="41" t="str">
        <f>[1]Orçamento!E253</f>
        <v>un</v>
      </c>
      <c r="D270" s="42"/>
      <c r="E270" s="43">
        <f>[1]Orçamento!H253</f>
        <v>29.51</v>
      </c>
      <c r="F270" s="43">
        <f>[1]Orçamento!F253</f>
        <v>40</v>
      </c>
      <c r="G270" s="42"/>
      <c r="H270" s="42"/>
      <c r="I270" s="55">
        <f t="shared" si="18"/>
        <v>1180.4000000000001</v>
      </c>
      <c r="J270" s="55"/>
      <c r="K270" s="55"/>
      <c r="L270" s="44">
        <f t="shared" si="17"/>
        <v>0</v>
      </c>
    </row>
    <row r="271" spans="1:12" ht="25.5" x14ac:dyDescent="0.25">
      <c r="A271" s="41" t="str">
        <f>[1]Orçamento!A254</f>
        <v xml:space="preserve"> 20.11 </v>
      </c>
      <c r="B271" s="46" t="str">
        <f>[1]Orçamento!D254</f>
        <v>MINICAPTOR, EM ACO GALVANIZADO A FOGO, FIXACAO HORIZONTAL DE 1 FUROS, SEM BANDEIRA, H=300 MM X DN=10 MM</v>
      </c>
      <c r="C271" s="41" t="str">
        <f>[1]Orçamento!E254</f>
        <v>UN</v>
      </c>
      <c r="D271" s="42"/>
      <c r="E271" s="43">
        <f>[1]Orçamento!H254</f>
        <v>5.04</v>
      </c>
      <c r="F271" s="43">
        <f>[1]Orçamento!F254</f>
        <v>20</v>
      </c>
      <c r="G271" s="42"/>
      <c r="H271" s="42"/>
      <c r="I271" s="55">
        <f t="shared" si="18"/>
        <v>100.8</v>
      </c>
      <c r="J271" s="55"/>
      <c r="K271" s="55"/>
      <c r="L271" s="44">
        <f t="shared" si="17"/>
        <v>0</v>
      </c>
    </row>
    <row r="272" spans="1:12" x14ac:dyDescent="0.25">
      <c r="A272" s="41" t="str">
        <f>[1]Orçamento!A255</f>
        <v xml:space="preserve"> 20.12 </v>
      </c>
      <c r="B272" s="46" t="str">
        <f>[1]Orçamento!D255</f>
        <v>PARA-RAIOS DE DISTRIBUICAO, TENSAO NOMINAL 15 KV, CORRENTE NOMINAL DE DESCARGA 5 KA</v>
      </c>
      <c r="C272" s="41" t="str">
        <f>[1]Orçamento!E255</f>
        <v>UN</v>
      </c>
      <c r="D272" s="42"/>
      <c r="E272" s="43">
        <f>[1]Orçamento!H255</f>
        <v>134.72</v>
      </c>
      <c r="F272" s="43">
        <f>[1]Orçamento!F255</f>
        <v>1</v>
      </c>
      <c r="G272" s="42"/>
      <c r="H272" s="42"/>
      <c r="I272" s="55">
        <f t="shared" si="18"/>
        <v>134.72</v>
      </c>
      <c r="J272" s="55"/>
      <c r="K272" s="55"/>
      <c r="L272" s="44">
        <f t="shared" si="17"/>
        <v>0</v>
      </c>
    </row>
    <row r="273" spans="1:12" x14ac:dyDescent="0.25">
      <c r="A273" s="41" t="str">
        <f>[1]Orçamento!A256</f>
        <v xml:space="preserve"> 20.13 </v>
      </c>
      <c r="B273" s="46" t="str">
        <f>[1]Orçamento!D256</f>
        <v>PARAFUSO, AUTO ATARRACHANTE, CABECA CHATA, FENDA SIMPLES, 1/4 (6,35 MM) X 25 MM</v>
      </c>
      <c r="C273" s="41" t="str">
        <f>[1]Orçamento!E256</f>
        <v>CENTO</v>
      </c>
      <c r="D273" s="42"/>
      <c r="E273" s="43">
        <f>[1]Orçamento!H256</f>
        <v>57.61</v>
      </c>
      <c r="F273" s="43">
        <f>[1]Orçamento!F256</f>
        <v>55</v>
      </c>
      <c r="G273" s="42"/>
      <c r="H273" s="42"/>
      <c r="I273" s="55">
        <f t="shared" si="18"/>
        <v>3168.55</v>
      </c>
      <c r="J273" s="55"/>
      <c r="K273" s="55"/>
      <c r="L273" s="44">
        <f t="shared" si="17"/>
        <v>0</v>
      </c>
    </row>
    <row r="274" spans="1:12" ht="25.5" x14ac:dyDescent="0.25">
      <c r="A274" s="41" t="str">
        <f>[1]Orçamento!A257</f>
        <v xml:space="preserve"> 20.14 </v>
      </c>
      <c r="B274" s="46" t="str">
        <f>[1]Orçamento!D257</f>
        <v>PARAFUSO ZINCADO ROSCA SOBERBA, CABECA SEXTAVADA, 5/16 " X 50 MM, PARA FIXACAO DE TELHA EM MADEIRA</v>
      </c>
      <c r="C274" s="41" t="str">
        <f>[1]Orçamento!E257</f>
        <v>UN</v>
      </c>
      <c r="D274" s="42"/>
      <c r="E274" s="43">
        <f>[1]Orçamento!H257</f>
        <v>1.17</v>
      </c>
      <c r="F274" s="43">
        <f>[1]Orçamento!F257</f>
        <v>280</v>
      </c>
      <c r="G274" s="42"/>
      <c r="H274" s="42"/>
      <c r="I274" s="55">
        <f t="shared" si="18"/>
        <v>327.59999999999997</v>
      </c>
      <c r="J274" s="55"/>
      <c r="K274" s="55"/>
      <c r="L274" s="44">
        <f t="shared" si="17"/>
        <v>0</v>
      </c>
    </row>
    <row r="275" spans="1:12"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2"/>
      <c r="E275" s="43">
        <f>[1]Orçamento!H258</f>
        <v>2.0099999999999998</v>
      </c>
      <c r="F275" s="43">
        <f>[1]Orçamento!F258</f>
        <v>480</v>
      </c>
      <c r="G275" s="42"/>
      <c r="H275" s="42"/>
      <c r="I275" s="55">
        <f t="shared" si="18"/>
        <v>964.8</v>
      </c>
      <c r="J275" s="55"/>
      <c r="K275" s="55"/>
      <c r="L275" s="44">
        <f t="shared" si="17"/>
        <v>0</v>
      </c>
    </row>
    <row r="276" spans="1:12" x14ac:dyDescent="0.25">
      <c r="A276" s="41" t="str">
        <f>[1]Orçamento!A259</f>
        <v xml:space="preserve"> 20.16 </v>
      </c>
      <c r="B276" s="46" t="str">
        <f>[1]Orçamento!D259</f>
        <v>Suporte guia reforçado 90º em chapa galvanizada c/ 2 roldanas ref:TEL-290 - SPDA</v>
      </c>
      <c r="C276" s="41" t="str">
        <f>[1]Orçamento!E259</f>
        <v>un</v>
      </c>
      <c r="D276" s="42"/>
      <c r="E276" s="43">
        <f>[1]Orçamento!H259</f>
        <v>49.86</v>
      </c>
      <c r="F276" s="43">
        <f>[1]Orçamento!F259</f>
        <v>140</v>
      </c>
      <c r="G276" s="42"/>
      <c r="H276" s="42"/>
      <c r="I276" s="55">
        <f t="shared" si="18"/>
        <v>6980.4</v>
      </c>
      <c r="J276" s="55"/>
      <c r="K276" s="55"/>
      <c r="L276" s="44">
        <f t="shared" si="17"/>
        <v>0</v>
      </c>
    </row>
    <row r="277" spans="1:12" x14ac:dyDescent="0.25">
      <c r="A277" s="41" t="str">
        <f>[1]Orçamento!A260</f>
        <v xml:space="preserve"> 20.17 </v>
      </c>
      <c r="B277" s="46" t="str">
        <f>[1]Orçamento!D260</f>
        <v>Terminal aéreo em aço galvanizado 3/8" x 50cm, com fixação horizontal</v>
      </c>
      <c r="C277" s="41" t="str">
        <f>[1]Orçamento!E260</f>
        <v>un</v>
      </c>
      <c r="D277" s="42"/>
      <c r="E277" s="43">
        <f>[1]Orçamento!H260</f>
        <v>29.55</v>
      </c>
      <c r="F277" s="43">
        <f>[1]Orçamento!F260</f>
        <v>6</v>
      </c>
      <c r="G277" s="42"/>
      <c r="H277" s="42"/>
      <c r="I277" s="55">
        <f t="shared" si="18"/>
        <v>177.3</v>
      </c>
      <c r="J277" s="55"/>
      <c r="K277" s="55"/>
      <c r="L277" s="44">
        <f t="shared" si="17"/>
        <v>0</v>
      </c>
    </row>
    <row r="278" spans="1:12" ht="25.5" x14ac:dyDescent="0.25">
      <c r="A278" s="41" t="str">
        <f>[1]Orçamento!A261</f>
        <v xml:space="preserve"> 20.18 </v>
      </c>
      <c r="B278" s="46" t="str">
        <f>[1]Orçamento!D261</f>
        <v>CORDOALHA DE COBRE NU 35 MM², NÃO ENTERRADA, COM ISOLADOR - FORNECIMENTO E INSTALAÇÃO. AF_12/2017</v>
      </c>
      <c r="C278" s="41" t="str">
        <f>[1]Orçamento!E261</f>
        <v>M</v>
      </c>
      <c r="D278" s="42"/>
      <c r="E278" s="43">
        <f>[1]Orçamento!H261</f>
        <v>67.05</v>
      </c>
      <c r="F278" s="43">
        <f>[1]Orçamento!F261</f>
        <v>698.33</v>
      </c>
      <c r="G278" s="42"/>
      <c r="H278" s="42"/>
      <c r="I278" s="55">
        <f t="shared" si="18"/>
        <v>46823.0265</v>
      </c>
      <c r="J278" s="55"/>
      <c r="K278" s="55"/>
      <c r="L278" s="44">
        <f t="shared" si="17"/>
        <v>0</v>
      </c>
    </row>
    <row r="279" spans="1:12" ht="25.5" x14ac:dyDescent="0.25">
      <c r="A279" s="41" t="str">
        <f>[1]Orçamento!A262</f>
        <v xml:space="preserve"> 20.19 </v>
      </c>
      <c r="B279" s="46" t="str">
        <f>[1]Orçamento!D262</f>
        <v>CORDOALHA DE COBRE NU 50 MM², ENTERRADA, SEM ISOLADOR - FORNECIMENTO E INSTALAÇÃO. AF_12/2017</v>
      </c>
      <c r="C279" s="41" t="str">
        <f>[1]Orçamento!E262</f>
        <v>M</v>
      </c>
      <c r="D279" s="42"/>
      <c r="E279" s="43">
        <f>[1]Orçamento!H262</f>
        <v>70.489999999999995</v>
      </c>
      <c r="F279" s="43">
        <f>[1]Orçamento!F262</f>
        <v>411.2</v>
      </c>
      <c r="G279" s="42"/>
      <c r="H279" s="42"/>
      <c r="I279" s="55">
        <f t="shared" si="18"/>
        <v>28985.487999999998</v>
      </c>
      <c r="J279" s="55"/>
      <c r="K279" s="55"/>
      <c r="L279" s="44">
        <f t="shared" si="17"/>
        <v>0</v>
      </c>
    </row>
    <row r="280" spans="1:12"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2"/>
      <c r="E280" s="43">
        <f>[1]Orçamento!H263</f>
        <v>17.71</v>
      </c>
      <c r="F280" s="43">
        <f>[1]Orçamento!F263</f>
        <v>48.11</v>
      </c>
      <c r="G280" s="42"/>
      <c r="H280" s="42"/>
      <c r="I280" s="55">
        <f t="shared" si="18"/>
        <v>852.02809999999999</v>
      </c>
      <c r="J280" s="55"/>
      <c r="K280" s="55"/>
      <c r="L280" s="44">
        <f t="shared" ref="L280:L343" si="19">K280/I280</f>
        <v>0</v>
      </c>
    </row>
    <row r="281" spans="1:12" x14ac:dyDescent="0.25">
      <c r="A281" s="39" t="str">
        <f>[1]Orçamento!A264</f>
        <v xml:space="preserve"> 21 </v>
      </c>
      <c r="B281" s="45" t="str">
        <f>[1]Orçamento!D264</f>
        <v>SISTEMA DE CABEAMENTO E COMUNICAÇÃO</v>
      </c>
      <c r="C281" s="39"/>
      <c r="D281" s="47"/>
      <c r="E281" s="48"/>
      <c r="F281" s="48"/>
      <c r="G281" s="47"/>
      <c r="H281" s="47"/>
      <c r="I281" s="56"/>
      <c r="J281" s="56"/>
      <c r="K281" s="56"/>
      <c r="L281" s="49"/>
    </row>
    <row r="282" spans="1:12" x14ac:dyDescent="0.25">
      <c r="A282" s="41" t="str">
        <f>[1]Orçamento!A265</f>
        <v xml:space="preserve"> 21.1 </v>
      </c>
      <c r="B282" s="46" t="str">
        <f>[1]Orçamento!D265</f>
        <v>PATCH PANEL 48 PORTAS, CATEGORIA 5E - FORNECIMENTO E INSTALAÇÃO. AF_11/2019</v>
      </c>
      <c r="C282" s="41" t="str">
        <f>[1]Orçamento!E265</f>
        <v>UN</v>
      </c>
      <c r="D282" s="42"/>
      <c r="E282" s="43">
        <f>[1]Orçamento!H265</f>
        <v>3023.44</v>
      </c>
      <c r="F282" s="43">
        <f>[1]Orçamento!F265</f>
        <v>2</v>
      </c>
      <c r="G282" s="42"/>
      <c r="H282" s="42"/>
      <c r="I282" s="55">
        <f t="shared" si="18"/>
        <v>6046.88</v>
      </c>
      <c r="J282" s="55"/>
      <c r="K282" s="55"/>
      <c r="L282" s="44">
        <f t="shared" si="19"/>
        <v>0</v>
      </c>
    </row>
    <row r="283" spans="1:12" x14ac:dyDescent="0.25">
      <c r="A283" s="41" t="str">
        <f>[1]Orçamento!A266</f>
        <v xml:space="preserve"> 21.2 </v>
      </c>
      <c r="B283" s="46" t="str">
        <f>[1]Orçamento!D266</f>
        <v>CABO DE REDE, PAR TRANCADO U/UTP, 4 PARES, CATEGORIA 5E (CAT 5E), ISOLAMENTO PVC (LSZH)</v>
      </c>
      <c r="C283" s="41" t="str">
        <f>[1]Orçamento!E266</f>
        <v>M</v>
      </c>
      <c r="D283" s="42"/>
      <c r="E283" s="43">
        <f>[1]Orçamento!H266</f>
        <v>3.48</v>
      </c>
      <c r="F283" s="43">
        <f>[1]Orçamento!F266</f>
        <v>558</v>
      </c>
      <c r="G283" s="42"/>
      <c r="H283" s="42"/>
      <c r="I283" s="55">
        <f t="shared" si="18"/>
        <v>1941.84</v>
      </c>
      <c r="J283" s="55"/>
      <c r="K283" s="55"/>
      <c r="L283" s="44">
        <f t="shared" si="19"/>
        <v>0</v>
      </c>
    </row>
    <row r="284" spans="1:12" x14ac:dyDescent="0.25">
      <c r="A284" s="41" t="str">
        <f>[1]Orçamento!A267</f>
        <v xml:space="preserve"> 21.3 </v>
      </c>
      <c r="B284" s="46" t="str">
        <f>[1]Orçamento!D267</f>
        <v>TOMADA PARA TELEFONE RJ11 - FORNECIMENTO E INSTALAÇÃO. AF_11/2019</v>
      </c>
      <c r="C284" s="41" t="str">
        <f>[1]Orçamento!E267</f>
        <v>UN</v>
      </c>
      <c r="D284" s="42"/>
      <c r="E284" s="43">
        <f>[1]Orçamento!H267</f>
        <v>27.68</v>
      </c>
      <c r="F284" s="43">
        <f>[1]Orçamento!F267</f>
        <v>10</v>
      </c>
      <c r="G284" s="42"/>
      <c r="H284" s="42"/>
      <c r="I284" s="55">
        <f t="shared" si="18"/>
        <v>276.8</v>
      </c>
      <c r="J284" s="55"/>
      <c r="K284" s="55"/>
      <c r="L284" s="44">
        <f t="shared" si="19"/>
        <v>0</v>
      </c>
    </row>
    <row r="285" spans="1:12" x14ac:dyDescent="0.25">
      <c r="A285" s="41" t="str">
        <f>[1]Orçamento!A268</f>
        <v xml:space="preserve"> 21.4 </v>
      </c>
      <c r="B285" s="46" t="str">
        <f>[1]Orçamento!D268</f>
        <v>TOMADA DE REDE RJ45 - FORNECIMENTO E INSTALAÇÃO. AF_11/2019</v>
      </c>
      <c r="C285" s="41" t="str">
        <f>[1]Orçamento!E268</f>
        <v>UN</v>
      </c>
      <c r="D285" s="42"/>
      <c r="E285" s="43">
        <f>[1]Orçamento!H268</f>
        <v>42.01</v>
      </c>
      <c r="F285" s="43">
        <f>[1]Orçamento!F268</f>
        <v>39</v>
      </c>
      <c r="G285" s="42"/>
      <c r="H285" s="42"/>
      <c r="I285" s="55">
        <f t="shared" si="18"/>
        <v>1638.3899999999999</v>
      </c>
      <c r="J285" s="55"/>
      <c r="K285" s="55"/>
      <c r="L285" s="44">
        <f t="shared" si="19"/>
        <v>0</v>
      </c>
    </row>
    <row r="286" spans="1:12"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2"/>
      <c r="E286" s="43">
        <f>[1]Orçamento!H269</f>
        <v>7.78</v>
      </c>
      <c r="F286" s="43">
        <f>[1]Orçamento!F269</f>
        <v>1980</v>
      </c>
      <c r="G286" s="42"/>
      <c r="H286" s="42"/>
      <c r="I286" s="55">
        <f t="shared" si="18"/>
        <v>15404.4</v>
      </c>
      <c r="J286" s="55"/>
      <c r="K286" s="55"/>
      <c r="L286" s="44">
        <f t="shared" si="19"/>
        <v>0</v>
      </c>
    </row>
    <row r="287" spans="1:12"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2"/>
      <c r="E287" s="43">
        <f>[1]Orçamento!H270</f>
        <v>107.71</v>
      </c>
      <c r="F287" s="43">
        <f>[1]Orçamento!F270</f>
        <v>2</v>
      </c>
      <c r="G287" s="42"/>
      <c r="H287" s="42"/>
      <c r="I287" s="55">
        <f t="shared" si="18"/>
        <v>215.42</v>
      </c>
      <c r="J287" s="55"/>
      <c r="K287" s="55"/>
      <c r="L287" s="44">
        <f t="shared" si="19"/>
        <v>0</v>
      </c>
    </row>
    <row r="288" spans="1:12"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2"/>
      <c r="E288" s="43">
        <f>[1]Orçamento!H271</f>
        <v>198.76</v>
      </c>
      <c r="F288" s="43">
        <f>[1]Orçamento!F271</f>
        <v>1</v>
      </c>
      <c r="G288" s="42"/>
      <c r="H288" s="42"/>
      <c r="I288" s="55">
        <f t="shared" si="18"/>
        <v>198.76</v>
      </c>
      <c r="J288" s="55"/>
      <c r="K288" s="55"/>
      <c r="L288" s="44">
        <f t="shared" si="19"/>
        <v>0</v>
      </c>
    </row>
    <row r="289" spans="1:12"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2"/>
      <c r="E289" s="43">
        <f>[1]Orçamento!H272</f>
        <v>13.06</v>
      </c>
      <c r="F289" s="43">
        <f>[1]Orçamento!F272</f>
        <v>49</v>
      </c>
      <c r="G289" s="42"/>
      <c r="H289" s="42"/>
      <c r="I289" s="55">
        <f t="shared" si="18"/>
        <v>639.94000000000005</v>
      </c>
      <c r="J289" s="55"/>
      <c r="K289" s="55"/>
      <c r="L289" s="44">
        <f t="shared" si="19"/>
        <v>0</v>
      </c>
    </row>
    <row r="290" spans="1:12" x14ac:dyDescent="0.25">
      <c r="A290" s="41" t="str">
        <f>[1]Orçamento!A273</f>
        <v xml:space="preserve"> 21.9 </v>
      </c>
      <c r="B290" s="46" t="str">
        <f>[1]Orçamento!D273</f>
        <v>CONECTOR / TOMADA FEMEA RJ 45, CATEGORIA 5 E (CAT 5E) PARA CABOS</v>
      </c>
      <c r="C290" s="41" t="str">
        <f>[1]Orçamento!E273</f>
        <v>UN</v>
      </c>
      <c r="D290" s="42"/>
      <c r="E290" s="43">
        <f>[1]Orçamento!H273</f>
        <v>9.85</v>
      </c>
      <c r="F290" s="43">
        <f>[1]Orçamento!F273</f>
        <v>98</v>
      </c>
      <c r="G290" s="42"/>
      <c r="H290" s="42"/>
      <c r="I290" s="55">
        <f t="shared" si="18"/>
        <v>965.3</v>
      </c>
      <c r="J290" s="55"/>
      <c r="K290" s="55"/>
      <c r="L290" s="44">
        <f t="shared" si="19"/>
        <v>0</v>
      </c>
    </row>
    <row r="291" spans="1:12" x14ac:dyDescent="0.25">
      <c r="A291" s="41" t="str">
        <f>[1]Orçamento!A274</f>
        <v xml:space="preserve"> 21.10 </v>
      </c>
      <c r="B291" s="46" t="str">
        <f>[1]Orçamento!D274</f>
        <v>Switch 24 portas 10/100 Mbps - fornecimento</v>
      </c>
      <c r="C291" s="41" t="str">
        <f>[1]Orçamento!E274</f>
        <v>un</v>
      </c>
      <c r="D291" s="42"/>
      <c r="E291" s="43">
        <f>[1]Orçamento!H274</f>
        <v>589.03</v>
      </c>
      <c r="F291" s="43">
        <f>[1]Orçamento!F274</f>
        <v>2</v>
      </c>
      <c r="G291" s="42"/>
      <c r="H291" s="42"/>
      <c r="I291" s="55">
        <f t="shared" si="18"/>
        <v>1178.06</v>
      </c>
      <c r="J291" s="55"/>
      <c r="K291" s="55"/>
      <c r="L291" s="44">
        <f t="shared" si="19"/>
        <v>0</v>
      </c>
    </row>
    <row r="292" spans="1:12" x14ac:dyDescent="0.25">
      <c r="A292" s="41" t="str">
        <f>[1]Orçamento!A275</f>
        <v xml:space="preserve"> 21.11 </v>
      </c>
      <c r="B292" s="46" t="str">
        <f>[1]Orçamento!D275</f>
        <v>Fornecimento e montagem de rack fechado tipo armário 19" x 36u x 670mm</v>
      </c>
      <c r="C292" s="41" t="str">
        <f>[1]Orçamento!E275</f>
        <v>un</v>
      </c>
      <c r="D292" s="42"/>
      <c r="E292" s="43">
        <f>[1]Orçamento!H275</f>
        <v>3044.03</v>
      </c>
      <c r="F292" s="43">
        <f>[1]Orçamento!F275</f>
        <v>2</v>
      </c>
      <c r="G292" s="42"/>
      <c r="H292" s="42"/>
      <c r="I292" s="55">
        <f t="shared" si="18"/>
        <v>6088.06</v>
      </c>
      <c r="J292" s="55"/>
      <c r="K292" s="55"/>
      <c r="L292" s="44">
        <f t="shared" si="19"/>
        <v>0</v>
      </c>
    </row>
    <row r="293" spans="1:12"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2"/>
      <c r="E293" s="43">
        <f>[1]Orçamento!H276</f>
        <v>14.82</v>
      </c>
      <c r="F293" s="43">
        <f>[1]Orçamento!F276</f>
        <v>255</v>
      </c>
      <c r="G293" s="42"/>
      <c r="H293" s="42"/>
      <c r="I293" s="55">
        <f t="shared" si="18"/>
        <v>3779.1</v>
      </c>
      <c r="J293" s="55"/>
      <c r="K293" s="55"/>
      <c r="L293" s="44">
        <f t="shared" si="19"/>
        <v>0</v>
      </c>
    </row>
    <row r="294" spans="1:12" x14ac:dyDescent="0.25">
      <c r="A294" s="39" t="str">
        <f>[1]Orçamento!A277</f>
        <v xml:space="preserve"> 22 </v>
      </c>
      <c r="B294" s="45" t="str">
        <f>[1]Orçamento!D277</f>
        <v>SISTEMA DE CLIMATIZAÇÃO</v>
      </c>
      <c r="C294" s="39"/>
      <c r="D294" s="47"/>
      <c r="E294" s="48"/>
      <c r="F294" s="48"/>
      <c r="G294" s="47"/>
      <c r="H294" s="47"/>
      <c r="I294" s="56"/>
      <c r="J294" s="56"/>
      <c r="K294" s="56"/>
      <c r="L294" s="49"/>
    </row>
    <row r="295" spans="1:12"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2"/>
      <c r="E295" s="43">
        <f>[1]Orçamento!H278</f>
        <v>31.86</v>
      </c>
      <c r="F295" s="43">
        <f>[1]Orçamento!F278</f>
        <v>210</v>
      </c>
      <c r="G295" s="42"/>
      <c r="H295" s="42"/>
      <c r="I295" s="55">
        <f t="shared" si="18"/>
        <v>6690.5999999999995</v>
      </c>
      <c r="J295" s="55"/>
      <c r="K295" s="55"/>
      <c r="L295" s="44">
        <f t="shared" si="19"/>
        <v>0</v>
      </c>
    </row>
    <row r="296" spans="1:12"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2"/>
      <c r="E296" s="43">
        <f>[1]Orçamento!H279</f>
        <v>69.790000000000006</v>
      </c>
      <c r="F296" s="43">
        <f>[1]Orçamento!F279</f>
        <v>210</v>
      </c>
      <c r="G296" s="42"/>
      <c r="H296" s="42"/>
      <c r="I296" s="55">
        <f t="shared" si="18"/>
        <v>14655.900000000001</v>
      </c>
      <c r="J296" s="55"/>
      <c r="K296" s="55"/>
      <c r="L296" s="44">
        <f t="shared" si="19"/>
        <v>0</v>
      </c>
    </row>
    <row r="297" spans="1:12"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2"/>
      <c r="E297" s="43">
        <f>[1]Orçamento!H280</f>
        <v>55.81</v>
      </c>
      <c r="F297" s="43">
        <f>[1]Orçamento!F280</f>
        <v>389</v>
      </c>
      <c r="G297" s="42"/>
      <c r="H297" s="42"/>
      <c r="I297" s="55">
        <f t="shared" si="18"/>
        <v>21710.09</v>
      </c>
      <c r="J297" s="55"/>
      <c r="K297" s="55"/>
      <c r="L297" s="44">
        <f t="shared" si="19"/>
        <v>0</v>
      </c>
    </row>
    <row r="298" spans="1:12"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2"/>
      <c r="E298" s="43">
        <f>[1]Orçamento!H281</f>
        <v>84.71</v>
      </c>
      <c r="F298" s="43">
        <f>[1]Orçamento!F281</f>
        <v>389</v>
      </c>
      <c r="G298" s="42"/>
      <c r="H298" s="42"/>
      <c r="I298" s="55">
        <f t="shared" si="18"/>
        <v>32952.189999999995</v>
      </c>
      <c r="J298" s="55"/>
      <c r="K298" s="55"/>
      <c r="L298" s="44">
        <f t="shared" si="19"/>
        <v>0</v>
      </c>
    </row>
    <row r="299" spans="1:12"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2"/>
      <c r="E299" s="43">
        <f>[1]Orçamento!H282</f>
        <v>43.1</v>
      </c>
      <c r="F299" s="43">
        <f>[1]Orçamento!F282</f>
        <v>285.3</v>
      </c>
      <c r="G299" s="42"/>
      <c r="H299" s="42"/>
      <c r="I299" s="55">
        <f t="shared" ref="I299:I353" si="20">F299*E299</f>
        <v>12296.43</v>
      </c>
      <c r="J299" s="55"/>
      <c r="K299" s="55"/>
      <c r="L299" s="44">
        <f t="shared" si="19"/>
        <v>0</v>
      </c>
    </row>
    <row r="300" spans="1:12" x14ac:dyDescent="0.25">
      <c r="A300" s="41" t="str">
        <f>[1]Orçamento!A283</f>
        <v xml:space="preserve"> 22.6 </v>
      </c>
      <c r="B300" s="46" t="str">
        <f>[1]Orçamento!D283</f>
        <v>Cabo de cobre PP Cordplast 3 x 1,5 mm2, 450/750v m</v>
      </c>
      <c r="C300" s="41" t="str">
        <f>[1]Orçamento!E283</f>
        <v>m</v>
      </c>
      <c r="D300" s="42"/>
      <c r="E300" s="43">
        <f>[1]Orçamento!H283</f>
        <v>7.47</v>
      </c>
      <c r="F300" s="43">
        <f>[1]Orçamento!F283</f>
        <v>554</v>
      </c>
      <c r="G300" s="42"/>
      <c r="H300" s="42"/>
      <c r="I300" s="55">
        <f t="shared" si="20"/>
        <v>4138.38</v>
      </c>
      <c r="J300" s="55"/>
      <c r="K300" s="55"/>
      <c r="L300" s="44">
        <f t="shared" si="19"/>
        <v>0</v>
      </c>
    </row>
    <row r="301" spans="1:12" x14ac:dyDescent="0.25">
      <c r="A301" s="39" t="str">
        <f>[1]Orçamento!A284</f>
        <v xml:space="preserve"> 23 </v>
      </c>
      <c r="B301" s="45" t="str">
        <f>[1]Orçamento!D284</f>
        <v>SUBESTAÇÃO</v>
      </c>
      <c r="C301" s="39"/>
      <c r="D301" s="47"/>
      <c r="E301" s="48"/>
      <c r="F301" s="48"/>
      <c r="G301" s="47"/>
      <c r="H301" s="47"/>
      <c r="I301" s="56"/>
      <c r="J301" s="56"/>
      <c r="K301" s="56"/>
      <c r="L301" s="49"/>
    </row>
    <row r="302" spans="1:12" x14ac:dyDescent="0.25">
      <c r="A302" s="41" t="str">
        <f>[1]Orçamento!A285</f>
        <v xml:space="preserve"> 23.1 </v>
      </c>
      <c r="B302" s="46" t="str">
        <f>[1]Orçamento!D285</f>
        <v>Fornecimento de cruzeta de concreto tipo "t"  1900mm</v>
      </c>
      <c r="C302" s="41" t="str">
        <f>[1]Orçamento!E285</f>
        <v>un</v>
      </c>
      <c r="D302" s="42"/>
      <c r="E302" s="43">
        <f>[1]Orçamento!H285</f>
        <v>321.7</v>
      </c>
      <c r="F302" s="43">
        <f>[1]Orçamento!F285</f>
        <v>2</v>
      </c>
      <c r="G302" s="42"/>
      <c r="H302" s="42"/>
      <c r="I302" s="55">
        <f t="shared" si="20"/>
        <v>643.4</v>
      </c>
      <c r="J302" s="55"/>
      <c r="K302" s="55"/>
      <c r="L302" s="44">
        <f t="shared" si="19"/>
        <v>0</v>
      </c>
    </row>
    <row r="303" spans="1:12"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2"/>
      <c r="E303" s="43">
        <f>[1]Orçamento!H286</f>
        <v>63957.68</v>
      </c>
      <c r="F303" s="43">
        <f>[1]Orçamento!F286</f>
        <v>1</v>
      </c>
      <c r="G303" s="42"/>
      <c r="H303" s="42"/>
      <c r="I303" s="55">
        <f t="shared" si="20"/>
        <v>63957.68</v>
      </c>
      <c r="J303" s="55"/>
      <c r="K303" s="55"/>
      <c r="L303" s="44">
        <f t="shared" si="19"/>
        <v>0</v>
      </c>
    </row>
    <row r="304" spans="1:12" x14ac:dyDescent="0.25">
      <c r="A304" s="41" t="str">
        <f>[1]Orçamento!A287</f>
        <v xml:space="preserve"> 23.3 </v>
      </c>
      <c r="B304" s="46" t="str">
        <f>[1]Orçamento!D287</f>
        <v>ISOLADOR, TIPO DISCO, PARA TENSÃO 15 KV - FORNECIMENTO E INSTALAÇÃO. AF_07/2020</v>
      </c>
      <c r="C304" s="41" t="str">
        <f>[1]Orçamento!E287</f>
        <v>UN</v>
      </c>
      <c r="D304" s="42"/>
      <c r="E304" s="43">
        <f>[1]Orçamento!H287</f>
        <v>89.06</v>
      </c>
      <c r="F304" s="43">
        <f>[1]Orçamento!F287</f>
        <v>3</v>
      </c>
      <c r="G304" s="42"/>
      <c r="H304" s="42"/>
      <c r="I304" s="55">
        <f t="shared" si="20"/>
        <v>267.18</v>
      </c>
      <c r="J304" s="55"/>
      <c r="K304" s="55"/>
      <c r="L304" s="44">
        <f t="shared" si="19"/>
        <v>0</v>
      </c>
    </row>
    <row r="305" spans="1:12" x14ac:dyDescent="0.25">
      <c r="A305" s="41" t="str">
        <f>[1]Orçamento!A288</f>
        <v xml:space="preserve"> 23.4 </v>
      </c>
      <c r="B305" s="46" t="str">
        <f>[1]Orçamento!D288</f>
        <v>ISOLADOR, TIPO PINO, PARA TENSÃO 15 KV - FORNECIMENTO E INSTALAÇÃO. AF_07/2020</v>
      </c>
      <c r="C305" s="41" t="str">
        <f>[1]Orçamento!E288</f>
        <v>UN</v>
      </c>
      <c r="D305" s="42"/>
      <c r="E305" s="43">
        <f>[1]Orçamento!H288</f>
        <v>28.38</v>
      </c>
      <c r="F305" s="43">
        <f>[1]Orçamento!F288</f>
        <v>3</v>
      </c>
      <c r="G305" s="42"/>
      <c r="H305" s="42"/>
      <c r="I305" s="55">
        <f t="shared" si="20"/>
        <v>85.14</v>
      </c>
      <c r="J305" s="55"/>
      <c r="K305" s="55"/>
      <c r="L305" s="44">
        <f t="shared" si="19"/>
        <v>0</v>
      </c>
    </row>
    <row r="306" spans="1:12" x14ac:dyDescent="0.25">
      <c r="A306" s="41" t="str">
        <f>[1]Orçamento!A289</f>
        <v xml:space="preserve"> 23.5 </v>
      </c>
      <c r="B306" s="46" t="str">
        <f>[1]Orçamento!D289</f>
        <v>Fornecimento de alça preformada de alumínio p/ ca 2 awg</v>
      </c>
      <c r="C306" s="41" t="str">
        <f>[1]Orçamento!E289</f>
        <v>un</v>
      </c>
      <c r="D306" s="42"/>
      <c r="E306" s="43">
        <f>[1]Orçamento!H289</f>
        <v>18.52</v>
      </c>
      <c r="F306" s="43">
        <f>[1]Orçamento!F289</f>
        <v>3</v>
      </c>
      <c r="G306" s="42"/>
      <c r="H306" s="42"/>
      <c r="I306" s="55">
        <f t="shared" si="20"/>
        <v>55.56</v>
      </c>
      <c r="J306" s="55"/>
      <c r="K306" s="55"/>
      <c r="L306" s="44">
        <f t="shared" si="19"/>
        <v>0</v>
      </c>
    </row>
    <row r="307" spans="1:12" x14ac:dyDescent="0.25">
      <c r="A307" s="41" t="str">
        <f>[1]Orçamento!A290</f>
        <v xml:space="preserve"> 23.6 </v>
      </c>
      <c r="B307" s="46" t="str">
        <f>[1]Orçamento!D290</f>
        <v>Conector cunha 4 x 4 AWG CAA, fornecimento</v>
      </c>
      <c r="C307" s="41" t="str">
        <f>[1]Orçamento!E290</f>
        <v>un</v>
      </c>
      <c r="D307" s="42"/>
      <c r="E307" s="43">
        <f>[1]Orçamento!H290</f>
        <v>40.19</v>
      </c>
      <c r="F307" s="43">
        <f>[1]Orçamento!F290</f>
        <v>6</v>
      </c>
      <c r="G307" s="42"/>
      <c r="H307" s="42"/>
      <c r="I307" s="55">
        <f t="shared" si="20"/>
        <v>241.14</v>
      </c>
      <c r="J307" s="55"/>
      <c r="K307" s="55"/>
      <c r="L307" s="44">
        <f t="shared" si="19"/>
        <v>0</v>
      </c>
    </row>
    <row r="308" spans="1:12" x14ac:dyDescent="0.25">
      <c r="A308" s="41" t="str">
        <f>[1]Orçamento!A291</f>
        <v xml:space="preserve"> 23.7 </v>
      </c>
      <c r="B308" s="46" t="str">
        <f>[1]Orçamento!D291</f>
        <v>PARA-RAIOS DE DISTRIBUICAO, TENSAO NOMINAL 15 KV, CORRENTE NOMINAL DE DESCARGA 5 KA</v>
      </c>
      <c r="C308" s="41" t="str">
        <f>[1]Orçamento!E291</f>
        <v>UN</v>
      </c>
      <c r="D308" s="42"/>
      <c r="E308" s="43">
        <f>[1]Orçamento!H291</f>
        <v>134.72</v>
      </c>
      <c r="F308" s="43">
        <f>[1]Orçamento!F291</f>
        <v>3</v>
      </c>
      <c r="G308" s="42"/>
      <c r="H308" s="42"/>
      <c r="I308" s="55">
        <f t="shared" si="20"/>
        <v>404.15999999999997</v>
      </c>
      <c r="J308" s="55"/>
      <c r="K308" s="55"/>
      <c r="L308" s="44">
        <f t="shared" si="19"/>
        <v>0</v>
      </c>
    </row>
    <row r="309" spans="1:12" ht="25.5" x14ac:dyDescent="0.25">
      <c r="A309" s="41" t="str">
        <f>[1]Orçamento!A292</f>
        <v xml:space="preserve"> 23.8 </v>
      </c>
      <c r="B309" s="46" t="str">
        <f>[1]Orçamento!D292</f>
        <v>CORDOALHA DE COBRE NU 50 MM², ENTERRADA, SEM ISOLADOR - FORNECIMENTO E INSTALAÇÃO. AF_12/2017</v>
      </c>
      <c r="C309" s="41" t="str">
        <f>[1]Orçamento!E292</f>
        <v>M</v>
      </c>
      <c r="D309" s="42"/>
      <c r="E309" s="43">
        <f>[1]Orçamento!H292</f>
        <v>70.489999999999995</v>
      </c>
      <c r="F309" s="43">
        <f>[1]Orçamento!F292</f>
        <v>30</v>
      </c>
      <c r="G309" s="42"/>
      <c r="H309" s="42"/>
      <c r="I309" s="55">
        <f t="shared" si="20"/>
        <v>2114.6999999999998</v>
      </c>
      <c r="J309" s="55"/>
      <c r="K309" s="55"/>
      <c r="L309" s="44">
        <f t="shared" si="19"/>
        <v>0</v>
      </c>
    </row>
    <row r="310" spans="1:12" x14ac:dyDescent="0.25">
      <c r="A310" s="41" t="str">
        <f>[1]Orçamento!A293</f>
        <v xml:space="preserve"> 23.9 </v>
      </c>
      <c r="B310" s="46" t="str">
        <f>[1]Orçamento!D293</f>
        <v>CABO DE ALUMINIO NU COM ALMA DE ACO, BITOLA 2/0 AWG</v>
      </c>
      <c r="C310" s="41" t="str">
        <f>[1]Orçamento!E293</f>
        <v>KG</v>
      </c>
      <c r="D310" s="42"/>
      <c r="E310" s="43">
        <f>[1]Orçamento!H293</f>
        <v>58.01</v>
      </c>
      <c r="F310" s="43">
        <f>[1]Orçamento!F293</f>
        <v>75</v>
      </c>
      <c r="G310" s="42"/>
      <c r="H310" s="42"/>
      <c r="I310" s="55">
        <f t="shared" si="20"/>
        <v>4350.75</v>
      </c>
      <c r="J310" s="55"/>
      <c r="K310" s="55"/>
      <c r="L310" s="44">
        <f t="shared" si="19"/>
        <v>0</v>
      </c>
    </row>
    <row r="311" spans="1:12"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2"/>
      <c r="E311" s="43">
        <f>[1]Orçamento!H294</f>
        <v>86.95</v>
      </c>
      <c r="F311" s="43">
        <f>[1]Orçamento!F294</f>
        <v>240</v>
      </c>
      <c r="G311" s="42"/>
      <c r="H311" s="42"/>
      <c r="I311" s="55">
        <f t="shared" si="20"/>
        <v>20868</v>
      </c>
      <c r="J311" s="55"/>
      <c r="K311" s="55"/>
      <c r="L311" s="44">
        <f t="shared" si="19"/>
        <v>0</v>
      </c>
    </row>
    <row r="312" spans="1:12"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2"/>
      <c r="E312" s="43">
        <f>[1]Orçamento!H295</f>
        <v>44.03</v>
      </c>
      <c r="F312" s="43">
        <f>[1]Orçamento!F295</f>
        <v>120</v>
      </c>
      <c r="G312" s="42"/>
      <c r="H312" s="42"/>
      <c r="I312" s="55">
        <f t="shared" si="20"/>
        <v>5283.6</v>
      </c>
      <c r="J312" s="55"/>
      <c r="K312" s="55"/>
      <c r="L312" s="44">
        <f t="shared" si="19"/>
        <v>0</v>
      </c>
    </row>
    <row r="313" spans="1:12"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2"/>
      <c r="E313" s="43">
        <f>[1]Orçamento!H296</f>
        <v>45.17</v>
      </c>
      <c r="F313" s="43">
        <f>[1]Orçamento!F296</f>
        <v>3</v>
      </c>
      <c r="G313" s="42"/>
      <c r="H313" s="42"/>
      <c r="I313" s="55">
        <f t="shared" si="20"/>
        <v>135.51</v>
      </c>
      <c r="J313" s="55"/>
      <c r="K313" s="55"/>
      <c r="L313" s="44">
        <f t="shared" si="19"/>
        <v>0</v>
      </c>
    </row>
    <row r="314" spans="1:12" x14ac:dyDescent="0.25">
      <c r="A314" s="41" t="str">
        <f>[1]Orçamento!A297</f>
        <v xml:space="preserve"> 23.13 </v>
      </c>
      <c r="B314" s="46" t="str">
        <f>[1]Orçamento!D297</f>
        <v>ELETRODUTO FLEXIVEL, EM ACO, TIPO CONDUITE, DIAMETRO DE 3"</v>
      </c>
      <c r="C314" s="41" t="str">
        <f>[1]Orçamento!E297</f>
        <v>M</v>
      </c>
      <c r="D314" s="42"/>
      <c r="E314" s="43">
        <f>[1]Orçamento!H297</f>
        <v>82.85</v>
      </c>
      <c r="F314" s="43">
        <f>[1]Orçamento!F297</f>
        <v>28</v>
      </c>
      <c r="G314" s="42"/>
      <c r="H314" s="42"/>
      <c r="I314" s="55">
        <f t="shared" si="20"/>
        <v>2319.7999999999997</v>
      </c>
      <c r="J314" s="55"/>
      <c r="K314" s="55"/>
      <c r="L314" s="44">
        <f t="shared" si="19"/>
        <v>0</v>
      </c>
    </row>
    <row r="315" spans="1:12" x14ac:dyDescent="0.25">
      <c r="A315" s="41" t="str">
        <f>[1]Orçamento!A298</f>
        <v xml:space="preserve"> 23.14 </v>
      </c>
      <c r="B315" s="46" t="str">
        <f>[1]Orçamento!D298</f>
        <v>FITA ACO INOX PARA CINTAR POSTE, L = 19 MM, E = 0,5 MM (ROLO DE 30M)</v>
      </c>
      <c r="C315" s="41" t="str">
        <f>[1]Orçamento!E298</f>
        <v>UN</v>
      </c>
      <c r="D315" s="42"/>
      <c r="E315" s="43">
        <f>[1]Orçamento!H298</f>
        <v>96.83</v>
      </c>
      <c r="F315" s="43">
        <f>[1]Orçamento!F298</f>
        <v>0.5</v>
      </c>
      <c r="G315" s="42"/>
      <c r="H315" s="42"/>
      <c r="I315" s="55">
        <f t="shared" si="20"/>
        <v>48.414999999999999</v>
      </c>
      <c r="J315" s="55"/>
      <c r="K315" s="55"/>
      <c r="L315" s="44">
        <f t="shared" si="19"/>
        <v>0</v>
      </c>
    </row>
    <row r="316" spans="1:12" x14ac:dyDescent="0.25">
      <c r="A316" s="41" t="str">
        <f>[1]Orçamento!A299</f>
        <v xml:space="preserve"> 23.15 </v>
      </c>
      <c r="B316" s="46" t="str">
        <f>[1]Orçamento!D299</f>
        <v>HASTE DE ATERRAMENTO 5/8  PARA SPDA - FORNECIMENTO E INSTALAÇÃO. AF_12/2017</v>
      </c>
      <c r="C316" s="41" t="str">
        <f>[1]Orçamento!E299</f>
        <v>UN</v>
      </c>
      <c r="D316" s="42"/>
      <c r="E316" s="43">
        <f>[1]Orçamento!H299</f>
        <v>60.71</v>
      </c>
      <c r="F316" s="43">
        <f>[1]Orçamento!F299</f>
        <v>3</v>
      </c>
      <c r="G316" s="42"/>
      <c r="H316" s="42"/>
      <c r="I316" s="55">
        <f t="shared" si="20"/>
        <v>182.13</v>
      </c>
      <c r="J316" s="55"/>
      <c r="K316" s="55"/>
      <c r="L316" s="44">
        <f t="shared" si="19"/>
        <v>0</v>
      </c>
    </row>
    <row r="317" spans="1:12" x14ac:dyDescent="0.25">
      <c r="A317" s="41" t="str">
        <f>[1]Orçamento!A300</f>
        <v xml:space="preserve"> 23.16 </v>
      </c>
      <c r="B317" s="46" t="str">
        <f>[1]Orçamento!D300</f>
        <v>GRAMPO U DE 5/8 " N8 EM FERRO GALVANIZADO</v>
      </c>
      <c r="C317" s="41" t="str">
        <f>[1]Orçamento!E300</f>
        <v>UN</v>
      </c>
      <c r="D317" s="42"/>
      <c r="E317" s="43">
        <f>[1]Orçamento!H300</f>
        <v>15.95</v>
      </c>
      <c r="F317" s="43">
        <f>[1]Orçamento!F300</f>
        <v>3</v>
      </c>
      <c r="G317" s="42"/>
      <c r="H317" s="42"/>
      <c r="I317" s="55">
        <f t="shared" si="20"/>
        <v>47.849999999999994</v>
      </c>
      <c r="J317" s="55"/>
      <c r="K317" s="55"/>
      <c r="L317" s="44">
        <f t="shared" si="19"/>
        <v>0</v>
      </c>
    </row>
    <row r="318" spans="1:12" ht="25.5" x14ac:dyDescent="0.25">
      <c r="A318" s="41" t="str">
        <f>[1]Orçamento!A301</f>
        <v xml:space="preserve"> 23.17 </v>
      </c>
      <c r="B318" s="46" t="str">
        <f>[1]Orçamento!D301</f>
        <v>CAIXA DE INSPEÇÃO PARA ATERRAMENTO, CIRCULAR, EM POLIETILENO, DIÂMETRO INTERNO = 0,3 M. AF_12/2020</v>
      </c>
      <c r="C318" s="41" t="str">
        <f>[1]Orçamento!E301</f>
        <v>UN</v>
      </c>
      <c r="D318" s="42"/>
      <c r="E318" s="43">
        <f>[1]Orçamento!H301</f>
        <v>53.39</v>
      </c>
      <c r="F318" s="43">
        <f>[1]Orçamento!F301</f>
        <v>3</v>
      </c>
      <c r="G318" s="42"/>
      <c r="H318" s="42"/>
      <c r="I318" s="55">
        <f t="shared" si="20"/>
        <v>160.17000000000002</v>
      </c>
      <c r="J318" s="55"/>
      <c r="K318" s="55"/>
      <c r="L318" s="44">
        <f t="shared" si="19"/>
        <v>0</v>
      </c>
    </row>
    <row r="319" spans="1:12" x14ac:dyDescent="0.25">
      <c r="A319" s="41" t="str">
        <f>[1]Orçamento!A302</f>
        <v xml:space="preserve"> 23.18 </v>
      </c>
      <c r="B319" s="46" t="str">
        <f>[1]Orçamento!D302</f>
        <v>Estrado (tapete) de borracha isolante 15 kv - dimensões 1.000 x 1.000 x 25 mm</v>
      </c>
      <c r="C319" s="41" t="str">
        <f>[1]Orçamento!E302</f>
        <v>pç</v>
      </c>
      <c r="D319" s="42"/>
      <c r="E319" s="43">
        <f>[1]Orçamento!H302</f>
        <v>732.66</v>
      </c>
      <c r="F319" s="43">
        <f>[1]Orçamento!F302</f>
        <v>1</v>
      </c>
      <c r="G319" s="42"/>
      <c r="H319" s="42"/>
      <c r="I319" s="55">
        <f t="shared" si="20"/>
        <v>732.66</v>
      </c>
      <c r="J319" s="55"/>
      <c r="K319" s="55"/>
      <c r="L319" s="44">
        <f t="shared" si="19"/>
        <v>0</v>
      </c>
    </row>
    <row r="320" spans="1:12" ht="25.5" x14ac:dyDescent="0.25">
      <c r="A320" s="41" t="str">
        <f>[1]Orçamento!A303</f>
        <v xml:space="preserve"> 23.19 </v>
      </c>
      <c r="B320" s="46" t="str">
        <f>[1]Orçamento!D303</f>
        <v>DISJUNTOR TERMOMAGNÉTICO TRIPOLAR , CORRENTE NOMINAL DE 250A - FORNECIMENTO E INSTALAÇÃO. AF_10/2020</v>
      </c>
      <c r="C320" s="41" t="str">
        <f>[1]Orçamento!E303</f>
        <v>UN</v>
      </c>
      <c r="D320" s="42"/>
      <c r="E320" s="43">
        <f>[1]Orçamento!H303</f>
        <v>1082.3599999999999</v>
      </c>
      <c r="F320" s="43">
        <f>[1]Orçamento!F303</f>
        <v>1</v>
      </c>
      <c r="G320" s="42"/>
      <c r="H320" s="42"/>
      <c r="I320" s="55">
        <f t="shared" si="20"/>
        <v>1082.3599999999999</v>
      </c>
      <c r="J320" s="55"/>
      <c r="K320" s="55"/>
      <c r="L320" s="44">
        <f t="shared" si="19"/>
        <v>0</v>
      </c>
    </row>
    <row r="321" spans="1:12" x14ac:dyDescent="0.25">
      <c r="A321" s="39" t="str">
        <f>[1]Orçamento!A304</f>
        <v xml:space="preserve"> 24 </v>
      </c>
      <c r="B321" s="45" t="str">
        <f>[1]Orçamento!D304</f>
        <v>INSTALAÇÕES DE COMBATE A INCÊNDIO</v>
      </c>
      <c r="C321" s="39"/>
      <c r="D321" s="47"/>
      <c r="E321" s="48"/>
      <c r="F321" s="48"/>
      <c r="G321" s="47"/>
      <c r="H321" s="47"/>
      <c r="I321" s="56"/>
      <c r="J321" s="56"/>
      <c r="K321" s="56"/>
      <c r="L321" s="49"/>
    </row>
    <row r="322" spans="1:12"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2"/>
      <c r="E322" s="43">
        <f>[1]Orçamento!H305</f>
        <v>22.92</v>
      </c>
      <c r="F322" s="43">
        <f>[1]Orçamento!F305</f>
        <v>155</v>
      </c>
      <c r="G322" s="42"/>
      <c r="H322" s="42"/>
      <c r="I322" s="55">
        <f t="shared" si="20"/>
        <v>3552.6000000000004</v>
      </c>
      <c r="J322" s="55"/>
      <c r="K322" s="55"/>
      <c r="L322" s="44">
        <f t="shared" si="19"/>
        <v>0</v>
      </c>
    </row>
    <row r="323" spans="1:12"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2"/>
      <c r="E323" s="43">
        <f>[1]Orçamento!H306</f>
        <v>174.9</v>
      </c>
      <c r="F323" s="43">
        <f>[1]Orçamento!F306</f>
        <v>35</v>
      </c>
      <c r="G323" s="42"/>
      <c r="H323" s="42"/>
      <c r="I323" s="55">
        <f t="shared" si="20"/>
        <v>6121.5</v>
      </c>
      <c r="J323" s="55"/>
      <c r="K323" s="55"/>
      <c r="L323" s="44">
        <f t="shared" si="19"/>
        <v>0</v>
      </c>
    </row>
    <row r="324" spans="1:12"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2"/>
      <c r="E324" s="43">
        <f>[1]Orçamento!H307</f>
        <v>27.69</v>
      </c>
      <c r="F324" s="43">
        <f>[1]Orçamento!F307</f>
        <v>28</v>
      </c>
      <c r="G324" s="42"/>
      <c r="H324" s="42"/>
      <c r="I324" s="55">
        <f t="shared" si="20"/>
        <v>775.32</v>
      </c>
      <c r="J324" s="55"/>
      <c r="K324" s="55"/>
      <c r="L324" s="44">
        <f t="shared" si="19"/>
        <v>0</v>
      </c>
    </row>
    <row r="325" spans="1:12"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2"/>
      <c r="E325" s="43">
        <f>[1]Orçamento!H308</f>
        <v>1057.06</v>
      </c>
      <c r="F325" s="43">
        <f>[1]Orçamento!F308</f>
        <v>16</v>
      </c>
      <c r="G325" s="42"/>
      <c r="H325" s="42"/>
      <c r="I325" s="55">
        <f t="shared" si="20"/>
        <v>16912.96</v>
      </c>
      <c r="J325" s="55"/>
      <c r="K325" s="55"/>
      <c r="L325" s="44">
        <f t="shared" si="19"/>
        <v>0</v>
      </c>
    </row>
    <row r="326" spans="1:12"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2"/>
      <c r="E326" s="43">
        <f>[1]Orçamento!H309</f>
        <v>322.89</v>
      </c>
      <c r="F326" s="43">
        <f>[1]Orçamento!F309</f>
        <v>10</v>
      </c>
      <c r="G326" s="42"/>
      <c r="H326" s="42"/>
      <c r="I326" s="55">
        <f t="shared" si="20"/>
        <v>3228.8999999999996</v>
      </c>
      <c r="J326" s="55"/>
      <c r="K326" s="55"/>
      <c r="L326" s="44">
        <f t="shared" si="19"/>
        <v>0</v>
      </c>
    </row>
    <row r="327" spans="1:12" ht="25.5" x14ac:dyDescent="0.25">
      <c r="A327" s="41" t="str">
        <f>[1]Orçamento!A310</f>
        <v xml:space="preserve"> 24.6 </v>
      </c>
      <c r="B327" s="46" t="str">
        <f>[1]Orçamento!D310</f>
        <v>Motobomba marca schneider ou similar, modelo SH55 BPI-21, 2 1/2", motor a combustão - gasolina , 5,5cv</v>
      </c>
      <c r="C327" s="41" t="str">
        <f>[1]Orçamento!E310</f>
        <v>Un</v>
      </c>
      <c r="D327" s="42"/>
      <c r="E327" s="43">
        <f>[1]Orçamento!H310</f>
        <v>11081.89</v>
      </c>
      <c r="F327" s="43">
        <f>[1]Orçamento!F310</f>
        <v>1</v>
      </c>
      <c r="G327" s="42"/>
      <c r="H327" s="42"/>
      <c r="I327" s="55">
        <f t="shared" si="20"/>
        <v>11081.89</v>
      </c>
      <c r="J327" s="55"/>
      <c r="K327" s="55"/>
      <c r="L327" s="44">
        <f t="shared" si="19"/>
        <v>0</v>
      </c>
    </row>
    <row r="328" spans="1:12"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2"/>
      <c r="E328" s="43">
        <f>[1]Orçamento!H311</f>
        <v>1888.95</v>
      </c>
      <c r="F328" s="43">
        <f>[1]Orçamento!F311</f>
        <v>7</v>
      </c>
      <c r="G328" s="42"/>
      <c r="H328" s="42"/>
      <c r="I328" s="55">
        <f t="shared" si="20"/>
        <v>13222.65</v>
      </c>
      <c r="J328" s="55"/>
      <c r="K328" s="55"/>
      <c r="L328" s="44">
        <f t="shared" si="19"/>
        <v>0</v>
      </c>
    </row>
    <row r="329" spans="1:12"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2"/>
      <c r="E329" s="43">
        <f>[1]Orçamento!H312</f>
        <v>183.87</v>
      </c>
      <c r="F329" s="43">
        <f>[1]Orçamento!F312</f>
        <v>189.33</v>
      </c>
      <c r="G329" s="42"/>
      <c r="H329" s="42"/>
      <c r="I329" s="55">
        <f t="shared" si="20"/>
        <v>34812.107100000001</v>
      </c>
      <c r="J329" s="55"/>
      <c r="K329" s="55"/>
      <c r="L329" s="44">
        <f t="shared" si="19"/>
        <v>0</v>
      </c>
    </row>
    <row r="330" spans="1:12" x14ac:dyDescent="0.25">
      <c r="A330" s="41" t="str">
        <f>[1]Orçamento!A313</f>
        <v xml:space="preserve"> 24.9 </v>
      </c>
      <c r="B330" s="46" t="str">
        <f>[1]Orçamento!D313</f>
        <v>REGISTRO DE GAVETA BRUTO, LATÃO, ROSCÁVEL, 3" - FORNECIMENTO E INSTALAÇÃO. AF_08/2021</v>
      </c>
      <c r="C330" s="41" t="str">
        <f>[1]Orçamento!E313</f>
        <v>UN</v>
      </c>
      <c r="D330" s="42"/>
      <c r="E330" s="43">
        <f>[1]Orçamento!H313</f>
        <v>416.59</v>
      </c>
      <c r="F330" s="43">
        <f>[1]Orçamento!F313</f>
        <v>5</v>
      </c>
      <c r="G330" s="42"/>
      <c r="H330" s="42"/>
      <c r="I330" s="55">
        <f t="shared" si="20"/>
        <v>2082.9499999999998</v>
      </c>
      <c r="J330" s="55"/>
      <c r="K330" s="55"/>
      <c r="L330" s="44">
        <f t="shared" si="19"/>
        <v>0</v>
      </c>
    </row>
    <row r="331" spans="1:12"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2"/>
      <c r="E331" s="43">
        <f>[1]Orçamento!H314</f>
        <v>270.33999999999997</v>
      </c>
      <c r="F331" s="43">
        <f>[1]Orçamento!F314</f>
        <v>6</v>
      </c>
      <c r="G331" s="42"/>
      <c r="H331" s="42"/>
      <c r="I331" s="55">
        <f t="shared" si="20"/>
        <v>1622.04</v>
      </c>
      <c r="J331" s="55"/>
      <c r="K331" s="55"/>
      <c r="L331" s="44">
        <f t="shared" si="19"/>
        <v>0</v>
      </c>
    </row>
    <row r="332" spans="1:12"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2"/>
      <c r="E332" s="43">
        <f>[1]Orçamento!H315</f>
        <v>245.78</v>
      </c>
      <c r="F332" s="43">
        <f>[1]Orçamento!F315</f>
        <v>5</v>
      </c>
      <c r="G332" s="42"/>
      <c r="H332" s="42"/>
      <c r="I332" s="55">
        <f t="shared" si="20"/>
        <v>1228.9000000000001</v>
      </c>
      <c r="J332" s="55"/>
      <c r="K332" s="55"/>
      <c r="L332" s="44">
        <f t="shared" si="19"/>
        <v>0</v>
      </c>
    </row>
    <row r="333" spans="1:12" ht="25.5" x14ac:dyDescent="0.25">
      <c r="A333" s="41" t="str">
        <f>[1]Orçamento!A316</f>
        <v xml:space="preserve"> 24.12 </v>
      </c>
      <c r="B333" s="46" t="str">
        <f>[1]Orçamento!D316</f>
        <v>VÁLVULA DE RETENÇÃO HORIZONTAL, DE BRONZE, ROSCÁVEL, 2 1/2" - FORNECIMENTO E INSTALAÇÃO. AF_08/2021</v>
      </c>
      <c r="C333" s="41" t="str">
        <f>[1]Orçamento!E316</f>
        <v>UN</v>
      </c>
      <c r="D333" s="42"/>
      <c r="E333" s="43">
        <f>[1]Orçamento!H316</f>
        <v>601.97</v>
      </c>
      <c r="F333" s="43">
        <f>[1]Orçamento!F316</f>
        <v>4</v>
      </c>
      <c r="G333" s="42"/>
      <c r="H333" s="42"/>
      <c r="I333" s="55">
        <f t="shared" si="20"/>
        <v>2407.88</v>
      </c>
      <c r="J333" s="55"/>
      <c r="K333" s="55"/>
      <c r="L333" s="44">
        <f t="shared" si="19"/>
        <v>0</v>
      </c>
    </row>
    <row r="334" spans="1:12" ht="25.5" x14ac:dyDescent="0.25">
      <c r="A334" s="41" t="str">
        <f>[1]Orçamento!A317</f>
        <v xml:space="preserve"> 24.13 </v>
      </c>
      <c r="B334" s="46" t="str">
        <f>[1]Orçamento!D317</f>
        <v>MANÔMETRO 0 A 200 PSI (0 A 14 KGF/CM2), D = 50MM - FORNECIMENTO E INSTALAÇÃO. AF_10/2020</v>
      </c>
      <c r="C334" s="41" t="str">
        <f>[1]Orçamento!E317</f>
        <v>UN</v>
      </c>
      <c r="D334" s="42"/>
      <c r="E334" s="43">
        <f>[1]Orçamento!H317</f>
        <v>157.72999999999999</v>
      </c>
      <c r="F334" s="43">
        <f>[1]Orçamento!F317</f>
        <v>1</v>
      </c>
      <c r="G334" s="42"/>
      <c r="H334" s="42"/>
      <c r="I334" s="55">
        <f t="shared" si="20"/>
        <v>157.72999999999999</v>
      </c>
      <c r="J334" s="55"/>
      <c r="K334" s="55"/>
      <c r="L334" s="44">
        <f t="shared" si="19"/>
        <v>0</v>
      </c>
    </row>
    <row r="335" spans="1:12" ht="25.5" x14ac:dyDescent="0.25">
      <c r="A335" s="41" t="str">
        <f>[1]Orçamento!A318</f>
        <v xml:space="preserve"> 24.14 </v>
      </c>
      <c r="B335" s="46" t="str">
        <f>[1]Orçamento!D318</f>
        <v>MANÔMETRO 0 A 200 PSI (0 A 14 KGF/CM2), D = 50MM - FORNECIMENTO E INSTALAÇÃO. AF_10/2020</v>
      </c>
      <c r="C335" s="41" t="str">
        <f>[1]Orçamento!E318</f>
        <v>UN</v>
      </c>
      <c r="D335" s="42"/>
      <c r="E335" s="43">
        <f>[1]Orçamento!H318</f>
        <v>157.72999999999999</v>
      </c>
      <c r="F335" s="43">
        <f>[1]Orçamento!F318</f>
        <v>1</v>
      </c>
      <c r="G335" s="42"/>
      <c r="H335" s="42"/>
      <c r="I335" s="55">
        <f t="shared" si="20"/>
        <v>157.72999999999999</v>
      </c>
      <c r="J335" s="55"/>
      <c r="K335" s="55"/>
      <c r="L335" s="44">
        <f t="shared" si="19"/>
        <v>0</v>
      </c>
    </row>
    <row r="336" spans="1:12"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2"/>
      <c r="E336" s="43">
        <f>[1]Orçamento!H319</f>
        <v>421.1</v>
      </c>
      <c r="F336" s="43">
        <f>[1]Orçamento!F319</f>
        <v>1</v>
      </c>
      <c r="G336" s="42"/>
      <c r="H336" s="42"/>
      <c r="I336" s="55">
        <f t="shared" si="20"/>
        <v>421.1</v>
      </c>
      <c r="J336" s="55"/>
      <c r="K336" s="55"/>
      <c r="L336" s="44">
        <f t="shared" si="19"/>
        <v>0</v>
      </c>
    </row>
    <row r="337" spans="1:12"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2"/>
      <c r="E337" s="43">
        <f>[1]Orçamento!H320</f>
        <v>653.03</v>
      </c>
      <c r="F337" s="43">
        <f>[1]Orçamento!F320</f>
        <v>1</v>
      </c>
      <c r="G337" s="42"/>
      <c r="H337" s="42"/>
      <c r="I337" s="55">
        <f t="shared" si="20"/>
        <v>653.03</v>
      </c>
      <c r="J337" s="55"/>
      <c r="K337" s="55"/>
      <c r="L337" s="44">
        <f t="shared" si="19"/>
        <v>0</v>
      </c>
    </row>
    <row r="338" spans="1:12" x14ac:dyDescent="0.25">
      <c r="A338" s="41" t="str">
        <f>[1]Orçamento!A321</f>
        <v xml:space="preserve"> 24.17 </v>
      </c>
      <c r="B338" s="46" t="str">
        <f>[1]Orçamento!D321</f>
        <v>Acionador manual (botoeira) "aperte aqui", p/instal. incendio - endereçável</v>
      </c>
      <c r="C338" s="41" t="str">
        <f>[1]Orçamento!E321</f>
        <v>un</v>
      </c>
      <c r="D338" s="42"/>
      <c r="E338" s="43">
        <f>[1]Orçamento!H321</f>
        <v>173.5</v>
      </c>
      <c r="F338" s="43">
        <f>[1]Orçamento!F321</f>
        <v>7</v>
      </c>
      <c r="G338" s="42"/>
      <c r="H338" s="42"/>
      <c r="I338" s="55">
        <f t="shared" si="20"/>
        <v>1214.5</v>
      </c>
      <c r="J338" s="55"/>
      <c r="K338" s="55"/>
      <c r="L338" s="44">
        <f t="shared" si="19"/>
        <v>0</v>
      </c>
    </row>
    <row r="339" spans="1:12"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2"/>
      <c r="E339" s="43">
        <f>[1]Orçamento!H322</f>
        <v>468.71</v>
      </c>
      <c r="F339" s="43">
        <f>[1]Orçamento!F322</f>
        <v>1</v>
      </c>
      <c r="G339" s="42"/>
      <c r="H339" s="42"/>
      <c r="I339" s="55">
        <f t="shared" si="20"/>
        <v>468.71</v>
      </c>
      <c r="J339" s="55"/>
      <c r="K339" s="55"/>
      <c r="L339" s="44">
        <f t="shared" si="19"/>
        <v>0</v>
      </c>
    </row>
    <row r="340" spans="1:12" x14ac:dyDescent="0.25">
      <c r="A340" s="41" t="str">
        <f>[1]Orçamento!A323</f>
        <v xml:space="preserve"> 24.19 </v>
      </c>
      <c r="B340" s="46" t="str">
        <f>[1]Orçamento!D323</f>
        <v>Sirene aúdiovisual endereçavel, 120db, para alarme de incêndio</v>
      </c>
      <c r="C340" s="41" t="str">
        <f>[1]Orçamento!E323</f>
        <v>un</v>
      </c>
      <c r="D340" s="42"/>
      <c r="E340" s="43">
        <f>[1]Orçamento!H323</f>
        <v>225.94</v>
      </c>
      <c r="F340" s="43">
        <f>[1]Orçamento!F323</f>
        <v>7</v>
      </c>
      <c r="G340" s="42"/>
      <c r="H340" s="42"/>
      <c r="I340" s="55">
        <f t="shared" si="20"/>
        <v>1581.58</v>
      </c>
      <c r="J340" s="55"/>
      <c r="K340" s="55"/>
      <c r="L340" s="44">
        <f t="shared" si="19"/>
        <v>0</v>
      </c>
    </row>
    <row r="341" spans="1:12" x14ac:dyDescent="0.25">
      <c r="A341" s="39" t="str">
        <f>[1]Orçamento!A324</f>
        <v xml:space="preserve"> 25 </v>
      </c>
      <c r="B341" s="45" t="str">
        <f>[1]Orçamento!D324</f>
        <v>SERVIÇOS COMPLEMENTARES</v>
      </c>
      <c r="C341" s="39"/>
      <c r="D341" s="47"/>
      <c r="E341" s="48"/>
      <c r="F341" s="48"/>
      <c r="G341" s="47"/>
      <c r="H341" s="47"/>
      <c r="I341" s="56"/>
      <c r="J341" s="56"/>
      <c r="K341" s="56"/>
      <c r="L341" s="49"/>
    </row>
    <row r="342" spans="1:12"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2"/>
      <c r="E342" s="43">
        <f>[1]Orçamento!H325</f>
        <v>130267.14</v>
      </c>
      <c r="F342" s="43">
        <f>[1]Orçamento!F325</f>
        <v>1</v>
      </c>
      <c r="G342" s="42"/>
      <c r="H342" s="42"/>
      <c r="I342" s="55">
        <f t="shared" si="20"/>
        <v>130267.14</v>
      </c>
      <c r="J342" s="55"/>
      <c r="K342" s="55"/>
      <c r="L342" s="44">
        <f t="shared" si="19"/>
        <v>0</v>
      </c>
    </row>
    <row r="343" spans="1:12" x14ac:dyDescent="0.25">
      <c r="A343" s="41" t="str">
        <f>[1]Orçamento!A326</f>
        <v xml:space="preserve"> 25.2 </v>
      </c>
      <c r="B343" s="46" t="str">
        <f>[1]Orçamento!D326</f>
        <v>Banco de madeira de lei sem encosto, tipo sueco, medindo 45x45x300cm</v>
      </c>
      <c r="C343" s="41" t="str">
        <f>[1]Orçamento!E326</f>
        <v>un</v>
      </c>
      <c r="D343" s="42"/>
      <c r="E343" s="43">
        <f>[1]Orçamento!H326</f>
        <v>887.35</v>
      </c>
      <c r="F343" s="43">
        <f>[1]Orçamento!F326</f>
        <v>10</v>
      </c>
      <c r="G343" s="42"/>
      <c r="H343" s="42"/>
      <c r="I343" s="55">
        <f t="shared" si="20"/>
        <v>8873.5</v>
      </c>
      <c r="J343" s="55"/>
      <c r="K343" s="55"/>
      <c r="L343" s="44">
        <f t="shared" si="19"/>
        <v>0</v>
      </c>
    </row>
    <row r="344" spans="1:12" ht="25.5" x14ac:dyDescent="0.25">
      <c r="A344" s="41" t="str">
        <f>[1]Orçamento!A327</f>
        <v xml:space="preserve"> 25.3 </v>
      </c>
      <c r="B344" s="46" t="str">
        <f>[1]Orçamento!D327</f>
        <v>PLANTIO DE ÁRVORE ORNAMENTAL COM ALTURA DE MUDA MAIOR QUE 2,00 M E MENOR OU IGUAL A 4,00 M. AF_05/2018</v>
      </c>
      <c r="C344" s="41" t="str">
        <f>[1]Orçamento!E327</f>
        <v>UN</v>
      </c>
      <c r="D344" s="42"/>
      <c r="E344" s="43">
        <f>[1]Orçamento!H327</f>
        <v>271.86</v>
      </c>
      <c r="F344" s="43">
        <f>[1]Orçamento!F327</f>
        <v>6</v>
      </c>
      <c r="G344" s="42"/>
      <c r="H344" s="42"/>
      <c r="I344" s="55">
        <f t="shared" si="20"/>
        <v>1631.16</v>
      </c>
      <c r="J344" s="55"/>
      <c r="K344" s="55"/>
      <c r="L344" s="44">
        <f t="shared" ref="L344:L371" si="21">K344/I344</f>
        <v>0</v>
      </c>
    </row>
    <row r="345" spans="1:12" x14ac:dyDescent="0.25">
      <c r="A345" s="41" t="str">
        <f>[1]Orçamento!A328</f>
        <v xml:space="preserve"> 25.4 </v>
      </c>
      <c r="B345" s="46" t="str">
        <f>[1]Orçamento!D328</f>
        <v>PLANTIO DE PALMEIRA COM ALTURA DE MUDA MENOR OU IGUAL A 2,00 M. AF_05/2018</v>
      </c>
      <c r="C345" s="41" t="str">
        <f>[1]Orçamento!E328</f>
        <v>UN</v>
      </c>
      <c r="D345" s="42"/>
      <c r="E345" s="43">
        <f>[1]Orçamento!H328</f>
        <v>487.51</v>
      </c>
      <c r="F345" s="43">
        <f>[1]Orçamento!F328</f>
        <v>6</v>
      </c>
      <c r="G345" s="42"/>
      <c r="H345" s="42"/>
      <c r="I345" s="55">
        <f t="shared" si="20"/>
        <v>2925.06</v>
      </c>
      <c r="J345" s="55"/>
      <c r="K345" s="55"/>
      <c r="L345" s="44">
        <f t="shared" si="21"/>
        <v>0</v>
      </c>
    </row>
    <row r="346" spans="1:12" x14ac:dyDescent="0.25">
      <c r="A346" s="41" t="str">
        <f>[1]Orçamento!A329</f>
        <v xml:space="preserve"> 25.5 </v>
      </c>
      <c r="B346" s="46" t="str">
        <f>[1]Orçamento!D329</f>
        <v>PLANTIO DE ARBUSTO OU  CERCA VIVA. AF_05/2018</v>
      </c>
      <c r="C346" s="41" t="str">
        <f>[1]Orçamento!E329</f>
        <v>UN</v>
      </c>
      <c r="D346" s="42"/>
      <c r="E346" s="43">
        <f>[1]Orçamento!H329</f>
        <v>103.29</v>
      </c>
      <c r="F346" s="43">
        <f>[1]Orçamento!F329</f>
        <v>20</v>
      </c>
      <c r="G346" s="42"/>
      <c r="H346" s="42"/>
      <c r="I346" s="55">
        <f t="shared" si="20"/>
        <v>2065.8000000000002</v>
      </c>
      <c r="J346" s="55"/>
      <c r="K346" s="55"/>
      <c r="L346" s="44">
        <f t="shared" si="21"/>
        <v>0</v>
      </c>
    </row>
    <row r="347" spans="1:12" x14ac:dyDescent="0.25">
      <c r="A347" s="41" t="str">
        <f>[1]Orçamento!A330</f>
        <v xml:space="preserve"> 25.6 </v>
      </c>
      <c r="B347" s="46" t="str">
        <f>[1]Orçamento!D330</f>
        <v>PLANTIO DE GRAMA ESMERALDA OU SÃO CARLOS OU CURITIBANA, EM PLACAS. AF_05/2022</v>
      </c>
      <c r="C347" s="41" t="str">
        <f>[1]Orçamento!E330</f>
        <v>m²</v>
      </c>
      <c r="D347" s="42"/>
      <c r="E347" s="43">
        <f>[1]Orçamento!H330</f>
        <v>21.51</v>
      </c>
      <c r="F347" s="43">
        <f>[1]Orçamento!F330</f>
        <v>107.57</v>
      </c>
      <c r="G347" s="42"/>
      <c r="H347" s="42"/>
      <c r="I347" s="55">
        <f t="shared" si="20"/>
        <v>2313.8307</v>
      </c>
      <c r="J347" s="55"/>
      <c r="K347" s="55"/>
      <c r="L347" s="44">
        <f t="shared" si="21"/>
        <v>0</v>
      </c>
    </row>
    <row r="348" spans="1:12" x14ac:dyDescent="0.25">
      <c r="A348" s="41" t="str">
        <f>[1]Orçamento!A331</f>
        <v xml:space="preserve"> 25.7 </v>
      </c>
      <c r="B348" s="46" t="str">
        <f>[1]Orçamento!D331</f>
        <v>PLANTIO DE FORRAÇÃO. AF_05/2018</v>
      </c>
      <c r="C348" s="41" t="str">
        <f>[1]Orçamento!E331</f>
        <v>m²</v>
      </c>
      <c r="D348" s="42"/>
      <c r="E348" s="43">
        <f>[1]Orçamento!H331</f>
        <v>146.44999999999999</v>
      </c>
      <c r="F348" s="43">
        <f>[1]Orçamento!F331</f>
        <v>11.84</v>
      </c>
      <c r="G348" s="42"/>
      <c r="H348" s="42"/>
      <c r="I348" s="55">
        <f t="shared" si="20"/>
        <v>1733.9679999999998</v>
      </c>
      <c r="J348" s="55"/>
      <c r="K348" s="55"/>
      <c r="L348" s="44">
        <f t="shared" si="21"/>
        <v>0</v>
      </c>
    </row>
    <row r="349" spans="1:12"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2"/>
      <c r="E349" s="43">
        <f>[1]Orçamento!H332</f>
        <v>833.94</v>
      </c>
      <c r="F349" s="43">
        <f>[1]Orçamento!F332</f>
        <v>53.3</v>
      </c>
      <c r="G349" s="42"/>
      <c r="H349" s="42"/>
      <c r="I349" s="55">
        <f t="shared" si="20"/>
        <v>44449.002</v>
      </c>
      <c r="J349" s="55"/>
      <c r="K349" s="55"/>
      <c r="L349" s="44">
        <f t="shared" si="21"/>
        <v>0</v>
      </c>
    </row>
    <row r="350" spans="1:12"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2"/>
      <c r="E350" s="43">
        <f>[1]Orçamento!H333</f>
        <v>1530.37</v>
      </c>
      <c r="F350" s="43">
        <f>[1]Orçamento!F333</f>
        <v>26.81</v>
      </c>
      <c r="G350" s="42"/>
      <c r="H350" s="42"/>
      <c r="I350" s="55">
        <f t="shared" si="20"/>
        <v>41029.219699999994</v>
      </c>
      <c r="J350" s="55"/>
      <c r="K350" s="55"/>
      <c r="L350" s="44">
        <f t="shared" si="21"/>
        <v>0</v>
      </c>
    </row>
    <row r="351" spans="1:12" x14ac:dyDescent="0.25">
      <c r="A351" s="41" t="str">
        <f>[1]Orçamento!A334</f>
        <v xml:space="preserve"> 25.10 </v>
      </c>
      <c r="B351" s="46" t="str">
        <f>[1]Orçamento!D334</f>
        <v>Limpeza geral</v>
      </c>
      <c r="C351" s="41" t="str">
        <f>[1]Orçamento!E334</f>
        <v>m²</v>
      </c>
      <c r="D351" s="42"/>
      <c r="E351" s="43">
        <f>[1]Orçamento!H334</f>
        <v>2.5099999999999998</v>
      </c>
      <c r="F351" s="43">
        <f>[1]Orçamento!F334</f>
        <v>3700</v>
      </c>
      <c r="G351" s="42"/>
      <c r="H351" s="42"/>
      <c r="I351" s="55">
        <f t="shared" si="20"/>
        <v>9287</v>
      </c>
      <c r="J351" s="55"/>
      <c r="K351" s="55"/>
      <c r="L351" s="44">
        <f t="shared" si="21"/>
        <v>0</v>
      </c>
    </row>
    <row r="352" spans="1:12" x14ac:dyDescent="0.25">
      <c r="A352" s="41" t="str">
        <f>[1]Orçamento!A335</f>
        <v xml:space="preserve"> 25.11 </v>
      </c>
      <c r="B352" s="46" t="str">
        <f>[1]Orçamento!D335</f>
        <v>Escada marinheiro em barra chata de ferro 2" x 5/16"</v>
      </c>
      <c r="C352" s="41" t="str">
        <f>[1]Orçamento!E335</f>
        <v>m</v>
      </c>
      <c r="D352" s="42"/>
      <c r="E352" s="43">
        <f>[1]Orçamento!H335</f>
        <v>435.32</v>
      </c>
      <c r="F352" s="43">
        <f>[1]Orçamento!F335</f>
        <v>38</v>
      </c>
      <c r="G352" s="42"/>
      <c r="H352" s="42"/>
      <c r="I352" s="55">
        <f t="shared" si="20"/>
        <v>16542.16</v>
      </c>
      <c r="J352" s="55"/>
      <c r="K352" s="55"/>
      <c r="L352" s="44">
        <f t="shared" si="21"/>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2"/>
      <c r="E353" s="43">
        <f>[1]Orçamento!H336</f>
        <v>723.04</v>
      </c>
      <c r="F353" s="43">
        <f>[1]Orçamento!F336</f>
        <v>54.2</v>
      </c>
      <c r="G353" s="42"/>
      <c r="H353" s="42"/>
      <c r="I353" s="55">
        <f t="shared" si="20"/>
        <v>39188.768000000004</v>
      </c>
      <c r="J353" s="55"/>
      <c r="K353" s="55"/>
      <c r="L353" s="44">
        <f t="shared" si="21"/>
        <v>0</v>
      </c>
    </row>
    <row r="354" spans="1:12" x14ac:dyDescent="0.25">
      <c r="A354" s="39">
        <v>26</v>
      </c>
      <c r="B354" s="45" t="s">
        <v>1047</v>
      </c>
      <c r="C354" s="39"/>
      <c r="D354" s="47"/>
      <c r="E354" s="48"/>
      <c r="F354" s="48"/>
      <c r="G354" s="47"/>
      <c r="H354" s="47"/>
      <c r="I354" s="56"/>
      <c r="J354" s="56"/>
      <c r="K354" s="56"/>
      <c r="L354" s="49"/>
    </row>
    <row r="355" spans="1:12" ht="25.5" x14ac:dyDescent="0.25">
      <c r="A355" s="41" t="s">
        <v>1086</v>
      </c>
      <c r="B355" s="111" t="s">
        <v>1073</v>
      </c>
      <c r="C355" s="112" t="s">
        <v>1053</v>
      </c>
      <c r="D355" s="42"/>
      <c r="E355" s="43">
        <v>506.60999999999996</v>
      </c>
      <c r="F355" s="43">
        <v>58.121700000000004</v>
      </c>
      <c r="G355" s="43">
        <f>[1]MEM!H796</f>
        <v>14.911700000000003</v>
      </c>
      <c r="H355" s="43">
        <f>43.21+G355</f>
        <v>58.121700000000004</v>
      </c>
      <c r="I355" s="55">
        <f>F355*E355</f>
        <v>29445.034436999998</v>
      </c>
      <c r="J355" s="55">
        <f>E355*G355</f>
        <v>7554.4163370000006</v>
      </c>
      <c r="K355" s="55">
        <f>E355*H355</f>
        <v>29445.034436999998</v>
      </c>
      <c r="L355" s="44">
        <f t="shared" si="21"/>
        <v>1</v>
      </c>
    </row>
    <row r="356" spans="1:12" ht="38.25" x14ac:dyDescent="0.25">
      <c r="A356" s="41" t="s">
        <v>1087</v>
      </c>
      <c r="B356" s="111" t="s">
        <v>1074</v>
      </c>
      <c r="C356" s="112" t="s">
        <v>1053</v>
      </c>
      <c r="D356" s="42"/>
      <c r="E356" s="43">
        <v>7.33</v>
      </c>
      <c r="F356" s="43">
        <v>58.73</v>
      </c>
      <c r="G356" s="43"/>
      <c r="H356" s="43">
        <v>58.73</v>
      </c>
      <c r="I356" s="55">
        <f t="shared" ref="I356:I371" si="22">F356*E356</f>
        <v>430.49089999999995</v>
      </c>
      <c r="J356" s="55">
        <f t="shared" ref="J356:J371" si="23">E356*G356</f>
        <v>0</v>
      </c>
      <c r="K356" s="55">
        <f t="shared" ref="K356:K371" si="24">E356*H356</f>
        <v>430.49089999999995</v>
      </c>
      <c r="L356" s="44">
        <f t="shared" si="21"/>
        <v>1</v>
      </c>
    </row>
    <row r="357" spans="1:12" x14ac:dyDescent="0.25">
      <c r="A357" s="41" t="s">
        <v>1088</v>
      </c>
      <c r="B357" s="113" t="s">
        <v>106</v>
      </c>
      <c r="C357" s="114" t="s">
        <v>1053</v>
      </c>
      <c r="D357" s="42"/>
      <c r="E357" s="43">
        <v>27.73</v>
      </c>
      <c r="F357" s="43">
        <v>20.239999999999998</v>
      </c>
      <c r="G357" s="43">
        <f>[1]MEM!H811</f>
        <v>7.2099999999999991</v>
      </c>
      <c r="H357" s="43">
        <f>13.03+G357</f>
        <v>20.239999999999998</v>
      </c>
      <c r="I357" s="55">
        <f t="shared" si="22"/>
        <v>561.25519999999995</v>
      </c>
      <c r="J357" s="55">
        <f t="shared" si="23"/>
        <v>199.93329999999997</v>
      </c>
      <c r="K357" s="55">
        <f t="shared" si="24"/>
        <v>561.25519999999995</v>
      </c>
      <c r="L357" s="44">
        <f t="shared" si="21"/>
        <v>1</v>
      </c>
    </row>
    <row r="358" spans="1:12" ht="25.5" x14ac:dyDescent="0.25">
      <c r="A358" s="41" t="s">
        <v>1089</v>
      </c>
      <c r="B358" s="111" t="s">
        <v>1075</v>
      </c>
      <c r="C358" s="112" t="s">
        <v>1054</v>
      </c>
      <c r="D358" s="42"/>
      <c r="E358" s="43">
        <v>5.1899999999999995</v>
      </c>
      <c r="F358" s="43">
        <v>84.24</v>
      </c>
      <c r="G358" s="43"/>
      <c r="H358" s="43">
        <v>84.24</v>
      </c>
      <c r="I358" s="55">
        <f t="shared" si="22"/>
        <v>437.20559999999995</v>
      </c>
      <c r="J358" s="55">
        <f t="shared" si="23"/>
        <v>0</v>
      </c>
      <c r="K358" s="55">
        <f t="shared" si="24"/>
        <v>437.20559999999995</v>
      </c>
      <c r="L358" s="44">
        <f t="shared" si="21"/>
        <v>1</v>
      </c>
    </row>
    <row r="359" spans="1:12" ht="25.5" x14ac:dyDescent="0.25">
      <c r="A359" s="41" t="s">
        <v>1090</v>
      </c>
      <c r="B359" s="111" t="s">
        <v>1076</v>
      </c>
      <c r="C359" s="112" t="s">
        <v>1054</v>
      </c>
      <c r="D359" s="42"/>
      <c r="E359" s="43">
        <v>30.78</v>
      </c>
      <c r="F359" s="43">
        <v>37.44</v>
      </c>
      <c r="G359" s="43"/>
      <c r="H359" s="43">
        <v>37.44</v>
      </c>
      <c r="I359" s="55">
        <f t="shared" si="22"/>
        <v>1152.4032</v>
      </c>
      <c r="J359" s="55">
        <f t="shared" si="23"/>
        <v>0</v>
      </c>
      <c r="K359" s="55">
        <f t="shared" si="24"/>
        <v>1152.4032</v>
      </c>
      <c r="L359" s="44">
        <f t="shared" si="21"/>
        <v>1</v>
      </c>
    </row>
    <row r="360" spans="1:12" ht="25.5" x14ac:dyDescent="0.25">
      <c r="A360" s="41" t="s">
        <v>1091</v>
      </c>
      <c r="B360" s="111" t="s">
        <v>1103</v>
      </c>
      <c r="C360" s="112" t="s">
        <v>1054</v>
      </c>
      <c r="D360" s="42"/>
      <c r="E360" s="43">
        <v>120.51</v>
      </c>
      <c r="F360" s="43">
        <v>62.13</v>
      </c>
      <c r="G360" s="43">
        <f>[1]MEM!H821</f>
        <v>21.300000000000004</v>
      </c>
      <c r="H360" s="43">
        <f>47.93+G360</f>
        <v>69.23</v>
      </c>
      <c r="I360" s="55">
        <f t="shared" si="22"/>
        <v>7487.2863000000007</v>
      </c>
      <c r="J360" s="55">
        <f t="shared" si="23"/>
        <v>2566.8630000000007</v>
      </c>
      <c r="K360" s="55">
        <f t="shared" si="24"/>
        <v>8342.9073000000008</v>
      </c>
      <c r="L360" s="44">
        <f t="shared" si="21"/>
        <v>1.1142765169805247</v>
      </c>
    </row>
    <row r="361" spans="1:12" ht="26.25" x14ac:dyDescent="0.25">
      <c r="A361" s="41" t="s">
        <v>1092</v>
      </c>
      <c r="B361" s="115" t="s">
        <v>202</v>
      </c>
      <c r="C361" s="114" t="s">
        <v>1054</v>
      </c>
      <c r="D361" s="42"/>
      <c r="E361" s="43">
        <v>78.73</v>
      </c>
      <c r="F361" s="43">
        <v>361.56</v>
      </c>
      <c r="G361" s="43">
        <f>[1]MEM!H827</f>
        <v>384.81</v>
      </c>
      <c r="H361" s="43">
        <f>G361</f>
        <v>384.81</v>
      </c>
      <c r="I361" s="55">
        <f t="shared" si="22"/>
        <v>28465.6188</v>
      </c>
      <c r="J361" s="55">
        <f t="shared" si="23"/>
        <v>30296.0913</v>
      </c>
      <c r="K361" s="55">
        <f t="shared" si="24"/>
        <v>30296.0913</v>
      </c>
      <c r="L361" s="44">
        <f t="shared" si="21"/>
        <v>1.0643046797212081</v>
      </c>
    </row>
    <row r="362" spans="1:12" ht="25.5" x14ac:dyDescent="0.25">
      <c r="A362" s="41" t="s">
        <v>1093</v>
      </c>
      <c r="B362" s="111" t="s">
        <v>1077</v>
      </c>
      <c r="C362" s="112" t="s">
        <v>1054</v>
      </c>
      <c r="D362" s="42"/>
      <c r="E362" s="43">
        <v>187.49</v>
      </c>
      <c r="F362" s="43">
        <v>62.4</v>
      </c>
      <c r="G362" s="43"/>
      <c r="H362" s="43">
        <v>62.4</v>
      </c>
      <c r="I362" s="55">
        <f t="shared" si="22"/>
        <v>11699.376</v>
      </c>
      <c r="J362" s="55">
        <f t="shared" si="23"/>
        <v>0</v>
      </c>
      <c r="K362" s="55">
        <f t="shared" si="24"/>
        <v>11699.376</v>
      </c>
      <c r="L362" s="44">
        <f t="shared" si="21"/>
        <v>1</v>
      </c>
    </row>
    <row r="363" spans="1:12" ht="25.5" x14ac:dyDescent="0.25">
      <c r="A363" s="41" t="s">
        <v>1094</v>
      </c>
      <c r="B363" s="111" t="s">
        <v>1078</v>
      </c>
      <c r="C363" s="112" t="s">
        <v>1054</v>
      </c>
      <c r="D363" s="42"/>
      <c r="E363" s="43">
        <v>86.800000000000011</v>
      </c>
      <c r="F363" s="43">
        <v>52.5</v>
      </c>
      <c r="G363" s="43">
        <f>[1]MEM!H837</f>
        <v>52.5</v>
      </c>
      <c r="H363" s="43">
        <f>G363</f>
        <v>52.5</v>
      </c>
      <c r="I363" s="55">
        <f t="shared" si="22"/>
        <v>4557.0000000000009</v>
      </c>
      <c r="J363" s="55">
        <f t="shared" si="23"/>
        <v>4557.0000000000009</v>
      </c>
      <c r="K363" s="55">
        <f t="shared" si="24"/>
        <v>4557.0000000000009</v>
      </c>
      <c r="L363" s="44">
        <f t="shared" si="21"/>
        <v>1</v>
      </c>
    </row>
    <row r="364" spans="1:12" ht="38.25" x14ac:dyDescent="0.25">
      <c r="A364" s="41" t="s">
        <v>1095</v>
      </c>
      <c r="B364" s="111" t="s">
        <v>1079</v>
      </c>
      <c r="C364" s="112" t="s">
        <v>1054</v>
      </c>
      <c r="D364" s="42"/>
      <c r="E364" s="43">
        <v>60.559999999999995</v>
      </c>
      <c r="F364" s="43">
        <v>151.36000000000001</v>
      </c>
      <c r="G364" s="43">
        <f>[1]MEM!H845</f>
        <v>103.52000000000001</v>
      </c>
      <c r="H364" s="43">
        <f>33.04+G364</f>
        <v>136.56</v>
      </c>
      <c r="I364" s="55">
        <f t="shared" si="22"/>
        <v>9166.3616000000002</v>
      </c>
      <c r="J364" s="55">
        <f t="shared" si="23"/>
        <v>6269.1711999999998</v>
      </c>
      <c r="K364" s="55">
        <f t="shared" si="24"/>
        <v>8270.0735999999997</v>
      </c>
      <c r="L364" s="44">
        <f t="shared" si="21"/>
        <v>0.90221987315010566</v>
      </c>
    </row>
    <row r="365" spans="1:12" ht="25.5" x14ac:dyDescent="0.25">
      <c r="A365" s="41" t="s">
        <v>1096</v>
      </c>
      <c r="B365" s="111" t="s">
        <v>1080</v>
      </c>
      <c r="C365" s="112" t="s">
        <v>1054</v>
      </c>
      <c r="D365" s="42"/>
      <c r="E365" s="43">
        <v>90.710000000000008</v>
      </c>
      <c r="F365" s="43">
        <v>60.81</v>
      </c>
      <c r="G365" s="43"/>
      <c r="H365" s="43">
        <f t="shared" ref="H365:H371" si="25">G365</f>
        <v>0</v>
      </c>
      <c r="I365" s="55">
        <f t="shared" si="22"/>
        <v>5516.0751000000009</v>
      </c>
      <c r="J365" s="55">
        <f t="shared" si="23"/>
        <v>0</v>
      </c>
      <c r="K365" s="55">
        <f t="shared" si="24"/>
        <v>0</v>
      </c>
      <c r="L365" s="44">
        <f t="shared" si="21"/>
        <v>0</v>
      </c>
    </row>
    <row r="366" spans="1:12" ht="25.5" x14ac:dyDescent="0.25">
      <c r="A366" s="41" t="s">
        <v>1097</v>
      </c>
      <c r="B366" s="111" t="s">
        <v>1081</v>
      </c>
      <c r="C366" s="112" t="s">
        <v>128</v>
      </c>
      <c r="D366" s="42"/>
      <c r="E366" s="43">
        <v>16.34</v>
      </c>
      <c r="F366" s="43">
        <v>442.42</v>
      </c>
      <c r="G366" s="43">
        <f>[1]MEM!H870</f>
        <v>182.48999999999998</v>
      </c>
      <c r="H366" s="43">
        <f>169.65+G366</f>
        <v>352.14</v>
      </c>
      <c r="I366" s="55">
        <f t="shared" si="22"/>
        <v>7229.1428000000005</v>
      </c>
      <c r="J366" s="55">
        <f t="shared" si="23"/>
        <v>2981.8865999999998</v>
      </c>
      <c r="K366" s="55">
        <f t="shared" si="24"/>
        <v>5753.9675999999999</v>
      </c>
      <c r="L366" s="44">
        <f t="shared" si="21"/>
        <v>0.7959405090185796</v>
      </c>
    </row>
    <row r="367" spans="1:12" ht="25.5" x14ac:dyDescent="0.25">
      <c r="A367" s="41" t="s">
        <v>1098</v>
      </c>
      <c r="B367" s="111" t="s">
        <v>1082</v>
      </c>
      <c r="C367" s="112" t="s">
        <v>128</v>
      </c>
      <c r="D367" s="42"/>
      <c r="E367" s="43">
        <v>15.680000000000001</v>
      </c>
      <c r="F367" s="43">
        <v>611.6</v>
      </c>
      <c r="G367" s="43"/>
      <c r="H367" s="43">
        <v>611.6</v>
      </c>
      <c r="I367" s="55">
        <f t="shared" si="22"/>
        <v>9589.8880000000008</v>
      </c>
      <c r="J367" s="55">
        <f t="shared" si="23"/>
        <v>0</v>
      </c>
      <c r="K367" s="55">
        <f t="shared" si="24"/>
        <v>9589.8880000000008</v>
      </c>
      <c r="L367" s="44">
        <f t="shared" si="21"/>
        <v>1</v>
      </c>
    </row>
    <row r="368" spans="1:12" ht="25.5" x14ac:dyDescent="0.25">
      <c r="A368" s="41" t="s">
        <v>1099</v>
      </c>
      <c r="B368" s="111" t="s">
        <v>1083</v>
      </c>
      <c r="C368" s="112" t="s">
        <v>128</v>
      </c>
      <c r="D368" s="42"/>
      <c r="E368" s="43">
        <v>14.28</v>
      </c>
      <c r="F368" s="43">
        <v>813.95</v>
      </c>
      <c r="G368" s="43">
        <f>[1]MEM!H881</f>
        <v>211.0200000000001</v>
      </c>
      <c r="H368" s="43">
        <f>602.93+G368</f>
        <v>813.95</v>
      </c>
      <c r="I368" s="55">
        <f t="shared" si="22"/>
        <v>11623.206</v>
      </c>
      <c r="J368" s="55">
        <f t="shared" si="23"/>
        <v>3013.3656000000015</v>
      </c>
      <c r="K368" s="55">
        <f t="shared" si="24"/>
        <v>11623.206</v>
      </c>
      <c r="L368" s="44">
        <f t="shared" si="21"/>
        <v>1</v>
      </c>
    </row>
    <row r="369" spans="1:12" ht="25.5" x14ac:dyDescent="0.25">
      <c r="A369" s="41" t="s">
        <v>1100</v>
      </c>
      <c r="B369" s="116" t="s">
        <v>1084</v>
      </c>
      <c r="C369" s="112" t="s">
        <v>1053</v>
      </c>
      <c r="D369" s="42"/>
      <c r="E369" s="43">
        <v>502.33000000000004</v>
      </c>
      <c r="F369" s="43">
        <v>24.86</v>
      </c>
      <c r="G369" s="43">
        <f>[1]MEM!H889</f>
        <v>5.6899999999999995</v>
      </c>
      <c r="H369" s="43">
        <f>13.92+G369</f>
        <v>19.61</v>
      </c>
      <c r="I369" s="55">
        <f t="shared" si="22"/>
        <v>12487.9238</v>
      </c>
      <c r="J369" s="55">
        <f t="shared" si="23"/>
        <v>2858.2577000000001</v>
      </c>
      <c r="K369" s="55">
        <f t="shared" si="24"/>
        <v>9850.6913000000004</v>
      </c>
      <c r="L369" s="44">
        <f t="shared" si="21"/>
        <v>0.78881737731295254</v>
      </c>
    </row>
    <row r="370" spans="1:12" ht="25.5" x14ac:dyDescent="0.25">
      <c r="A370" s="41" t="s">
        <v>1101</v>
      </c>
      <c r="B370" s="116" t="s">
        <v>1085</v>
      </c>
      <c r="C370" s="112" t="s">
        <v>1053</v>
      </c>
      <c r="D370" s="42"/>
      <c r="E370" s="43">
        <v>244.23</v>
      </c>
      <c r="F370" s="43">
        <v>24.86</v>
      </c>
      <c r="G370" s="43">
        <f>[1]MEM!H900</f>
        <v>5.6899999999999995</v>
      </c>
      <c r="H370" s="43">
        <f>13.92+G370</f>
        <v>19.61</v>
      </c>
      <c r="I370" s="55">
        <f t="shared" si="22"/>
        <v>6071.5577999999996</v>
      </c>
      <c r="J370" s="55">
        <f t="shared" si="23"/>
        <v>1389.6686999999997</v>
      </c>
      <c r="K370" s="55">
        <f t="shared" si="24"/>
        <v>4789.3503000000001</v>
      </c>
      <c r="L370" s="44">
        <f t="shared" si="21"/>
        <v>0.78881737731295265</v>
      </c>
    </row>
    <row r="371" spans="1:12" x14ac:dyDescent="0.25">
      <c r="A371" s="41" t="s">
        <v>1102</v>
      </c>
      <c r="B371" s="117" t="s">
        <v>1104</v>
      </c>
      <c r="C371" s="112" t="s">
        <v>1054</v>
      </c>
      <c r="D371" s="42"/>
      <c r="E371" s="43">
        <v>341.69409999999999</v>
      </c>
      <c r="F371" s="43">
        <v>258.83999999999997</v>
      </c>
      <c r="G371" s="42"/>
      <c r="H371" s="43">
        <f t="shared" si="25"/>
        <v>0</v>
      </c>
      <c r="I371" s="55">
        <f t="shared" si="22"/>
        <v>88444.100843999986</v>
      </c>
      <c r="J371" s="55">
        <f t="shared" si="23"/>
        <v>0</v>
      </c>
      <c r="K371" s="55">
        <f t="shared" si="24"/>
        <v>0</v>
      </c>
      <c r="L371" s="44">
        <f t="shared" si="21"/>
        <v>0</v>
      </c>
    </row>
    <row r="372" spans="1:12" x14ac:dyDescent="0.25">
      <c r="A372" s="41"/>
      <c r="B372" s="46"/>
      <c r="C372" s="41"/>
      <c r="D372" s="42"/>
      <c r="E372" s="43"/>
      <c r="F372" s="43"/>
      <c r="G372" s="42"/>
      <c r="H372" s="42"/>
      <c r="I372" s="55"/>
      <c r="J372" s="55"/>
      <c r="K372" s="55"/>
      <c r="L372" s="44"/>
    </row>
    <row r="373" spans="1:12" x14ac:dyDescent="0.25">
      <c r="A373" s="50"/>
      <c r="B373" s="51"/>
      <c r="C373" s="50"/>
      <c r="D373" s="50"/>
      <c r="E373" s="52"/>
      <c r="F373" s="52"/>
      <c r="G373" s="50"/>
      <c r="H373" s="50"/>
      <c r="I373" s="57">
        <f>SUM(I19:I371)</f>
        <v>10383143.213076012</v>
      </c>
      <c r="J373" s="57">
        <f>SUM(J19:J371)</f>
        <v>183782.79759343335</v>
      </c>
      <c r="K373" s="57">
        <f>SUM(K19:K371)</f>
        <v>458403.83151743328</v>
      </c>
      <c r="L373" s="128">
        <f>K373/G13</f>
        <v>4.4148849930158177E-2</v>
      </c>
    </row>
    <row r="374" spans="1:12" x14ac:dyDescent="0.25">
      <c r="B374" s="53"/>
      <c r="F374" s="54"/>
    </row>
    <row r="375" spans="1:12" x14ac:dyDescent="0.25">
      <c r="B375" s="53"/>
      <c r="F375" s="54"/>
    </row>
    <row r="376" spans="1:12" ht="25.5" customHeight="1" x14ac:dyDescent="0.25">
      <c r="B376" s="204"/>
      <c r="C376" s="204"/>
      <c r="D376" s="204"/>
      <c r="E376" s="204"/>
      <c r="F376" s="204"/>
      <c r="G376" s="204"/>
      <c r="H376" s="204"/>
      <c r="I376" s="204"/>
      <c r="J376" s="204"/>
      <c r="K376" s="204"/>
      <c r="L376" s="204"/>
    </row>
    <row r="377" spans="1:12" x14ac:dyDescent="0.25">
      <c r="B377" s="53"/>
    </row>
    <row r="378" spans="1:12" x14ac:dyDescent="0.25">
      <c r="B378" s="53"/>
    </row>
    <row r="379" spans="1:12" x14ac:dyDescent="0.25">
      <c r="B379" s="53"/>
    </row>
    <row r="380" spans="1:12" x14ac:dyDescent="0.25">
      <c r="B380" s="53"/>
    </row>
    <row r="381" spans="1:12" x14ac:dyDescent="0.25">
      <c r="B381" s="53"/>
      <c r="J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32">
    <mergeCell ref="B376:L376"/>
    <mergeCell ref="A15:L15"/>
    <mergeCell ref="A16:A17"/>
    <mergeCell ref="B16:B17"/>
    <mergeCell ref="C16:C17"/>
    <mergeCell ref="D16:D17"/>
    <mergeCell ref="F16:H16"/>
    <mergeCell ref="I16:K16"/>
    <mergeCell ref="L16:L17"/>
    <mergeCell ref="A12:B12"/>
    <mergeCell ref="C12:F12"/>
    <mergeCell ref="G12:H12"/>
    <mergeCell ref="I12:J12"/>
    <mergeCell ref="K12:L12"/>
    <mergeCell ref="A13:B14"/>
    <mergeCell ref="C13:F14"/>
    <mergeCell ref="G13:H14"/>
    <mergeCell ref="I13:J14"/>
    <mergeCell ref="K13:L14"/>
    <mergeCell ref="L10:L11"/>
    <mergeCell ref="C1:L5"/>
    <mergeCell ref="A6:F6"/>
    <mergeCell ref="G6:J6"/>
    <mergeCell ref="A7:F8"/>
    <mergeCell ref="G7:J8"/>
    <mergeCell ref="K7:K8"/>
    <mergeCell ref="L7:L8"/>
    <mergeCell ref="A9:F9"/>
    <mergeCell ref="G9:J9"/>
    <mergeCell ref="A10:F11"/>
    <mergeCell ref="G10:J11"/>
    <mergeCell ref="K10:K11"/>
  </mergeCells>
  <printOptions horizontalCentered="1"/>
  <pageMargins left="0.31496062992125984" right="0.31496062992125984" top="0.78740157480314965" bottom="0.78740157480314965" header="0.31496062992125984" footer="0.31496062992125984"/>
  <pageSetup paperSize="9" scale="59" fitToHeight="0"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CDDB7-68D0-4B80-BB85-CE9F0BD3156C}">
  <dimension ref="A1:K913"/>
  <sheetViews>
    <sheetView topLeftCell="A248" zoomScaleNormal="100" workbookViewId="0">
      <selection activeCell="D252" sqref="D252"/>
    </sheetView>
  </sheetViews>
  <sheetFormatPr defaultRowHeight="15" x14ac:dyDescent="0.25"/>
  <cols>
    <col min="2" max="2" width="35" customWidth="1"/>
    <col min="3" max="3" width="10.7109375" customWidth="1"/>
    <col min="4" max="4" width="13.5703125" customWidth="1"/>
    <col min="5" max="5" width="12.42578125" customWidth="1"/>
    <col min="6" max="6" width="11.28515625" customWidth="1"/>
    <col min="7" max="7" width="10.85546875" customWidth="1"/>
    <col min="8" max="8" width="11.7109375" customWidth="1"/>
    <col min="10" max="10" width="13" customWidth="1"/>
    <col min="11" max="11" width="15.5703125" customWidth="1"/>
  </cols>
  <sheetData>
    <row r="1" spans="1:11" ht="26.25" x14ac:dyDescent="0.25">
      <c r="A1" s="262" t="s">
        <v>1035</v>
      </c>
      <c r="B1" s="262"/>
      <c r="C1" s="262"/>
      <c r="D1" s="262"/>
      <c r="E1" s="262"/>
      <c r="F1" s="262"/>
      <c r="G1" s="262"/>
      <c r="H1" s="262"/>
      <c r="I1" s="262"/>
    </row>
    <row r="2" spans="1:11" x14ac:dyDescent="0.25">
      <c r="A2" s="263" t="s">
        <v>1036</v>
      </c>
      <c r="B2" s="263" t="s">
        <v>1037</v>
      </c>
      <c r="C2" s="264" t="s">
        <v>1038</v>
      </c>
      <c r="D2" s="264"/>
      <c r="E2" s="264"/>
      <c r="F2" s="264"/>
      <c r="G2" s="264" t="s">
        <v>1039</v>
      </c>
      <c r="H2" s="264"/>
      <c r="I2" s="265" t="s">
        <v>1040</v>
      </c>
    </row>
    <row r="3" spans="1:11" x14ac:dyDescent="0.25">
      <c r="A3" s="263"/>
      <c r="B3" s="263"/>
      <c r="C3" s="80" t="s">
        <v>1041</v>
      </c>
      <c r="D3" s="80" t="s">
        <v>1042</v>
      </c>
      <c r="E3" s="80" t="s">
        <v>1043</v>
      </c>
      <c r="F3" s="80" t="s">
        <v>1044</v>
      </c>
      <c r="G3" s="80" t="s">
        <v>1045</v>
      </c>
      <c r="H3" s="80" t="s">
        <v>1046</v>
      </c>
      <c r="I3" s="265"/>
    </row>
    <row r="5" spans="1:11" x14ac:dyDescent="0.25">
      <c r="A5" s="85" t="s">
        <v>1117</v>
      </c>
      <c r="B5" s="267" t="str">
        <f>'[1]BM_02.'!B18</f>
        <v>SERVIÇOS PRELIMINARES</v>
      </c>
      <c r="C5" s="268"/>
      <c r="D5" s="268"/>
      <c r="E5" s="268"/>
      <c r="F5" s="268"/>
      <c r="G5" s="268"/>
      <c r="H5" s="268"/>
      <c r="I5" s="269"/>
    </row>
    <row r="6" spans="1:11" x14ac:dyDescent="0.25">
      <c r="A6" s="130"/>
      <c r="B6" s="131"/>
      <c r="C6" s="132"/>
      <c r="D6" s="132"/>
      <c r="E6" s="132"/>
      <c r="F6" s="132"/>
      <c r="G6" s="132"/>
      <c r="H6" s="132"/>
      <c r="I6" s="133"/>
    </row>
    <row r="7" spans="1:11" ht="23.25" customHeight="1" x14ac:dyDescent="0.25">
      <c r="A7" s="86" t="s">
        <v>1118</v>
      </c>
      <c r="B7" s="266" t="str">
        <f>'[1]BM_02.'!B22</f>
        <v>LOCACAO CONVENCIONAL DE OBRA, UTILIZANDO GABARITO DE TÁBUAS CORRIDAS PONTALETADAS A CADA 2,00M -  2 UTILIZAÇÕES. AF_10/2018</v>
      </c>
      <c r="C7" s="266"/>
      <c r="D7" s="266"/>
      <c r="E7" s="266"/>
      <c r="F7" s="266"/>
      <c r="G7" s="266"/>
      <c r="H7" s="87">
        <f>SUM(H8:H10)</f>
        <v>188.76</v>
      </c>
      <c r="I7" s="134" t="s">
        <v>86</v>
      </c>
    </row>
    <row r="8" spans="1:11" x14ac:dyDescent="0.25">
      <c r="B8" s="135" t="s">
        <v>1119</v>
      </c>
      <c r="C8" s="74">
        <v>1</v>
      </c>
      <c r="D8" s="74">
        <f>25.5+28.04+3.05+22.45</f>
        <v>79.039999999999992</v>
      </c>
      <c r="E8" s="74"/>
      <c r="F8" s="74"/>
      <c r="G8" s="74">
        <f>D8*C8</f>
        <v>79.039999999999992</v>
      </c>
      <c r="H8" s="74">
        <f>G8*C8</f>
        <v>79.039999999999992</v>
      </c>
    </row>
    <row r="9" spans="1:11" x14ac:dyDescent="0.25">
      <c r="B9" s="135" t="s">
        <v>1119</v>
      </c>
      <c r="C9" s="74">
        <v>1</v>
      </c>
      <c r="D9" s="74">
        <f>14.5+15.32+5+3.45+10.45</f>
        <v>48.72</v>
      </c>
      <c r="E9" s="74"/>
      <c r="F9" s="74"/>
      <c r="G9" s="74">
        <f>D9*C9</f>
        <v>48.72</v>
      </c>
      <c r="H9" s="74">
        <f>G9*C9</f>
        <v>48.72</v>
      </c>
    </row>
    <row r="10" spans="1:11" x14ac:dyDescent="0.25">
      <c r="B10" s="135" t="s">
        <v>1119</v>
      </c>
      <c r="C10" s="74">
        <v>1</v>
      </c>
      <c r="D10" s="74">
        <f>10+5+5+6+5+30</f>
        <v>61</v>
      </c>
      <c r="E10" s="74"/>
      <c r="F10" s="74"/>
      <c r="G10" s="74">
        <f>D10*C10</f>
        <v>61</v>
      </c>
      <c r="H10" s="74">
        <f>G10*C10</f>
        <v>61</v>
      </c>
    </row>
    <row r="11" spans="1:11" x14ac:dyDescent="0.25">
      <c r="B11" s="74"/>
      <c r="C11" s="74"/>
      <c r="D11" s="74"/>
      <c r="E11" s="74"/>
      <c r="F11" s="74"/>
      <c r="G11" s="74"/>
      <c r="H11" s="74"/>
    </row>
    <row r="12" spans="1:11" x14ac:dyDescent="0.25">
      <c r="A12" s="85" t="str">
        <f>'[1]BM_02.'!A28</f>
        <v xml:space="preserve"> 3 </v>
      </c>
      <c r="B12" s="267" t="str">
        <f>'[1]BM_02.'!B28</f>
        <v>MOVIMENTO DE TERRA</v>
      </c>
      <c r="C12" s="268"/>
      <c r="D12" s="268"/>
      <c r="E12" s="268"/>
      <c r="F12" s="268"/>
      <c r="G12" s="268"/>
      <c r="H12" s="268"/>
      <c r="I12" s="269"/>
    </row>
    <row r="14" spans="1:11" ht="26.25" customHeight="1" x14ac:dyDescent="0.25">
      <c r="A14" s="86" t="s">
        <v>1110</v>
      </c>
      <c r="B14" s="266" t="str">
        <f>'[1]BM_02.'!B34</f>
        <v>ESCAVAÇÃO VERTICAL A CÉU ABERTO, EM OBRAS DE EDIFICAÇÃO, INCLUINDO CARGA, DESCARGA E TRANSPORTE, EM SOLO DE 1ª CATEGORIA COM ESCAVADEIRA HIDRÁULICA (CAÇAMBA: 0,8 M³ / 111 HP), FROTA DE 4 CAMINHÕES BASCULANTES D
E 14 M³, DMT DE 2 KM E VELOCIDADE MÉDIA 19KM/H. AF_05/2020</v>
      </c>
      <c r="C14" s="266"/>
      <c r="D14" s="266"/>
      <c r="E14" s="266"/>
      <c r="F14" s="266"/>
      <c r="G14" s="266"/>
      <c r="H14" s="87">
        <f>SUM(H17:H78)</f>
        <v>133.91999999999999</v>
      </c>
      <c r="I14" s="134" t="s">
        <v>1053</v>
      </c>
    </row>
    <row r="15" spans="1:11" x14ac:dyDescent="0.25">
      <c r="B15" s="136"/>
      <c r="C15" s="136"/>
      <c r="D15" s="136"/>
      <c r="E15" s="136"/>
      <c r="F15" s="136"/>
      <c r="G15" s="136"/>
      <c r="H15" s="136"/>
    </row>
    <row r="16" spans="1:11" x14ac:dyDescent="0.25">
      <c r="B16" s="135" t="s">
        <v>1120</v>
      </c>
      <c r="C16" s="74"/>
      <c r="D16" s="74"/>
      <c r="E16" s="74"/>
      <c r="F16" s="74"/>
      <c r="G16" s="136"/>
      <c r="H16" s="136"/>
      <c r="J16" t="s">
        <v>1121</v>
      </c>
      <c r="K16" t="s">
        <v>1122</v>
      </c>
    </row>
    <row r="17" spans="2:11" x14ac:dyDescent="0.25">
      <c r="B17" s="74" t="s">
        <v>1123</v>
      </c>
      <c r="C17" s="74">
        <v>1</v>
      </c>
      <c r="D17" s="74">
        <f>2+0.3</f>
        <v>2.2999999999999998</v>
      </c>
      <c r="E17" s="74">
        <f>1.15+0.3</f>
        <v>1.45</v>
      </c>
      <c r="F17" s="74">
        <f>J17-K17</f>
        <v>0.60000000000000009</v>
      </c>
      <c r="G17" s="74">
        <f t="shared" ref="G17:G78" si="0">ROUND(D17*E17*F17,2)</f>
        <v>2</v>
      </c>
      <c r="H17" s="74">
        <f t="shared" ref="H17:H78" si="1">G17*C17</f>
        <v>2</v>
      </c>
      <c r="J17" s="74">
        <v>1.1000000000000001</v>
      </c>
      <c r="K17" s="136">
        <v>0.5</v>
      </c>
    </row>
    <row r="18" spans="2:11" x14ac:dyDescent="0.25">
      <c r="B18" s="74" t="s">
        <v>1124</v>
      </c>
      <c r="C18" s="74">
        <v>1</v>
      </c>
      <c r="D18" s="74">
        <f>1.3+0.3</f>
        <v>1.6</v>
      </c>
      <c r="E18" s="74">
        <f>2.1+0.3</f>
        <v>2.4</v>
      </c>
      <c r="F18" s="74">
        <f t="shared" ref="F18:F37" si="2">J18-K18</f>
        <v>0.30000000000000004</v>
      </c>
      <c r="G18" s="74">
        <f t="shared" si="0"/>
        <v>1.1499999999999999</v>
      </c>
      <c r="H18" s="74">
        <f t="shared" si="1"/>
        <v>1.1499999999999999</v>
      </c>
      <c r="J18" s="74">
        <v>0.8</v>
      </c>
      <c r="K18" s="136">
        <v>0.5</v>
      </c>
    </row>
    <row r="19" spans="2:11" x14ac:dyDescent="0.25">
      <c r="B19" s="74" t="s">
        <v>1125</v>
      </c>
      <c r="C19" s="74">
        <v>1</v>
      </c>
      <c r="D19" s="74">
        <f t="shared" ref="D19:D28" si="3">0.9+0.3</f>
        <v>1.2</v>
      </c>
      <c r="E19" s="74">
        <f t="shared" ref="E19:E28" si="4">0.75+0.3</f>
        <v>1.05</v>
      </c>
      <c r="F19" s="74">
        <f t="shared" si="2"/>
        <v>1</v>
      </c>
      <c r="G19" s="74">
        <f t="shared" si="0"/>
        <v>1.26</v>
      </c>
      <c r="H19" s="74">
        <f t="shared" si="1"/>
        <v>1.26</v>
      </c>
      <c r="J19" s="74">
        <v>1.5</v>
      </c>
      <c r="K19" s="136">
        <v>0.5</v>
      </c>
    </row>
    <row r="20" spans="2:11" x14ac:dyDescent="0.25">
      <c r="B20" s="74" t="s">
        <v>1126</v>
      </c>
      <c r="C20" s="74">
        <v>1</v>
      </c>
      <c r="D20" s="74">
        <f t="shared" si="3"/>
        <v>1.2</v>
      </c>
      <c r="E20" s="74">
        <f t="shared" si="4"/>
        <v>1.05</v>
      </c>
      <c r="F20" s="74">
        <f t="shared" si="2"/>
        <v>1.2</v>
      </c>
      <c r="G20" s="74">
        <f t="shared" si="0"/>
        <v>1.51</v>
      </c>
      <c r="H20" s="74">
        <f t="shared" si="1"/>
        <v>1.51</v>
      </c>
      <c r="J20" s="74">
        <v>1.7</v>
      </c>
      <c r="K20" s="136">
        <v>0.5</v>
      </c>
    </row>
    <row r="21" spans="2:11" x14ac:dyDescent="0.25">
      <c r="B21" s="74" t="s">
        <v>1127</v>
      </c>
      <c r="C21" s="74">
        <v>1</v>
      </c>
      <c r="D21" s="74">
        <f t="shared" si="3"/>
        <v>1.2</v>
      </c>
      <c r="E21" s="74">
        <f t="shared" si="4"/>
        <v>1.05</v>
      </c>
      <c r="F21" s="74">
        <f t="shared" si="2"/>
        <v>0.35</v>
      </c>
      <c r="G21" s="74">
        <f t="shared" si="0"/>
        <v>0.44</v>
      </c>
      <c r="H21" s="74">
        <f t="shared" si="1"/>
        <v>0.44</v>
      </c>
      <c r="J21" s="74">
        <v>0.85</v>
      </c>
      <c r="K21" s="136">
        <v>0.5</v>
      </c>
    </row>
    <row r="22" spans="2:11" x14ac:dyDescent="0.25">
      <c r="B22" s="74" t="s">
        <v>1128</v>
      </c>
      <c r="C22" s="74">
        <v>1</v>
      </c>
      <c r="D22" s="74">
        <f t="shared" si="3"/>
        <v>1.2</v>
      </c>
      <c r="E22" s="74">
        <f t="shared" si="4"/>
        <v>1.05</v>
      </c>
      <c r="F22" s="74">
        <f t="shared" si="2"/>
        <v>0.85000000000000009</v>
      </c>
      <c r="G22" s="74">
        <f t="shared" si="0"/>
        <v>1.07</v>
      </c>
      <c r="H22" s="74">
        <f t="shared" si="1"/>
        <v>1.07</v>
      </c>
      <c r="J22" s="74">
        <v>1.35</v>
      </c>
      <c r="K22" s="136">
        <v>0.5</v>
      </c>
    </row>
    <row r="23" spans="2:11" x14ac:dyDescent="0.25">
      <c r="B23" s="74" t="s">
        <v>1129</v>
      </c>
      <c r="C23" s="74">
        <v>1</v>
      </c>
      <c r="D23" s="74">
        <f t="shared" si="3"/>
        <v>1.2</v>
      </c>
      <c r="E23" s="74">
        <f t="shared" si="4"/>
        <v>1.05</v>
      </c>
      <c r="F23" s="74">
        <f t="shared" si="2"/>
        <v>0.19999999999999996</v>
      </c>
      <c r="G23" s="74">
        <f t="shared" si="0"/>
        <v>0.25</v>
      </c>
      <c r="H23" s="74">
        <f t="shared" si="1"/>
        <v>0.25</v>
      </c>
      <c r="J23" s="74">
        <v>0.7</v>
      </c>
      <c r="K23" s="136">
        <v>0.5</v>
      </c>
    </row>
    <row r="24" spans="2:11" x14ac:dyDescent="0.25">
      <c r="B24" s="74" t="s">
        <v>1130</v>
      </c>
      <c r="C24" s="74">
        <v>1</v>
      </c>
      <c r="D24" s="74">
        <f t="shared" si="3"/>
        <v>1.2</v>
      </c>
      <c r="E24" s="74">
        <f t="shared" si="4"/>
        <v>1.05</v>
      </c>
      <c r="F24" s="74">
        <f t="shared" si="2"/>
        <v>0.8</v>
      </c>
      <c r="G24" s="74">
        <f t="shared" si="0"/>
        <v>1.01</v>
      </c>
      <c r="H24" s="74">
        <f t="shared" si="1"/>
        <v>1.01</v>
      </c>
      <c r="J24" s="74">
        <v>1.3</v>
      </c>
      <c r="K24" s="136">
        <v>0.5</v>
      </c>
    </row>
    <row r="25" spans="2:11" x14ac:dyDescent="0.25">
      <c r="B25" s="74" t="s">
        <v>1131</v>
      </c>
      <c r="C25" s="74">
        <v>1</v>
      </c>
      <c r="D25" s="74">
        <f t="shared" si="3"/>
        <v>1.2</v>
      </c>
      <c r="E25" s="74">
        <f t="shared" si="4"/>
        <v>1.05</v>
      </c>
      <c r="F25" s="74">
        <f t="shared" si="2"/>
        <v>1</v>
      </c>
      <c r="G25" s="74">
        <f t="shared" si="0"/>
        <v>1.26</v>
      </c>
      <c r="H25" s="74">
        <f t="shared" si="1"/>
        <v>1.26</v>
      </c>
      <c r="J25" s="74">
        <v>1.5</v>
      </c>
      <c r="K25" s="136">
        <v>0.5</v>
      </c>
    </row>
    <row r="26" spans="2:11" x14ac:dyDescent="0.25">
      <c r="B26" s="74" t="s">
        <v>1132</v>
      </c>
      <c r="C26" s="74">
        <v>1</v>
      </c>
      <c r="D26" s="74">
        <f t="shared" si="3"/>
        <v>1.2</v>
      </c>
      <c r="E26" s="74">
        <f t="shared" si="4"/>
        <v>1.05</v>
      </c>
      <c r="F26" s="74">
        <f t="shared" si="2"/>
        <v>0.95</v>
      </c>
      <c r="G26" s="74">
        <f t="shared" si="0"/>
        <v>1.2</v>
      </c>
      <c r="H26" s="74">
        <f t="shared" si="1"/>
        <v>1.2</v>
      </c>
      <c r="J26" s="74">
        <v>1.45</v>
      </c>
      <c r="K26" s="136">
        <v>0.5</v>
      </c>
    </row>
    <row r="27" spans="2:11" x14ac:dyDescent="0.25">
      <c r="B27" s="74" t="s">
        <v>1133</v>
      </c>
      <c r="C27" s="74">
        <v>1</v>
      </c>
      <c r="D27" s="74">
        <f t="shared" si="3"/>
        <v>1.2</v>
      </c>
      <c r="E27" s="74">
        <f t="shared" si="4"/>
        <v>1.05</v>
      </c>
      <c r="F27" s="74">
        <f t="shared" si="2"/>
        <v>0.8</v>
      </c>
      <c r="G27" s="74">
        <f t="shared" si="0"/>
        <v>1.01</v>
      </c>
      <c r="H27" s="74">
        <f t="shared" si="1"/>
        <v>1.01</v>
      </c>
      <c r="J27" s="74">
        <v>1.3</v>
      </c>
      <c r="K27" s="136">
        <v>0.5</v>
      </c>
    </row>
    <row r="28" spans="2:11" x14ac:dyDescent="0.25">
      <c r="B28" s="74" t="s">
        <v>1134</v>
      </c>
      <c r="C28" s="74">
        <v>1</v>
      </c>
      <c r="D28" s="74">
        <f t="shared" si="3"/>
        <v>1.2</v>
      </c>
      <c r="E28" s="74">
        <f t="shared" si="4"/>
        <v>1.05</v>
      </c>
      <c r="F28" s="74">
        <f t="shared" si="2"/>
        <v>1.3</v>
      </c>
      <c r="G28" s="74">
        <f t="shared" si="0"/>
        <v>1.64</v>
      </c>
      <c r="H28" s="74">
        <f t="shared" si="1"/>
        <v>1.64</v>
      </c>
      <c r="J28" s="74">
        <v>1.8</v>
      </c>
      <c r="K28" s="136">
        <v>0.5</v>
      </c>
    </row>
    <row r="29" spans="2:11" x14ac:dyDescent="0.25">
      <c r="B29" s="74" t="s">
        <v>1135</v>
      </c>
      <c r="C29" s="74">
        <v>1</v>
      </c>
      <c r="D29" s="74">
        <f>0.75+0.3</f>
        <v>1.05</v>
      </c>
      <c r="E29" s="74">
        <f>0.9+0.3</f>
        <v>1.2</v>
      </c>
      <c r="F29" s="74">
        <f t="shared" si="2"/>
        <v>0.7</v>
      </c>
      <c r="G29" s="74">
        <f t="shared" si="0"/>
        <v>0.88</v>
      </c>
      <c r="H29" s="74">
        <f t="shared" si="1"/>
        <v>0.88</v>
      </c>
      <c r="J29" s="74">
        <v>1.2</v>
      </c>
      <c r="K29" s="136">
        <v>0.5</v>
      </c>
    </row>
    <row r="30" spans="2:11" x14ac:dyDescent="0.25">
      <c r="B30" s="74" t="s">
        <v>1136</v>
      </c>
      <c r="C30" s="74">
        <v>3</v>
      </c>
      <c r="D30" s="74">
        <f>1.2+0.3</f>
        <v>1.5</v>
      </c>
      <c r="E30" s="74">
        <f>0.85+0.3</f>
        <v>1.1499999999999999</v>
      </c>
      <c r="F30" s="74">
        <f t="shared" si="2"/>
        <v>0.7</v>
      </c>
      <c r="G30" s="74">
        <f t="shared" si="0"/>
        <v>1.21</v>
      </c>
      <c r="H30" s="74">
        <f t="shared" si="1"/>
        <v>3.63</v>
      </c>
      <c r="J30" s="74">
        <v>1.2</v>
      </c>
      <c r="K30" s="136">
        <v>0.5</v>
      </c>
    </row>
    <row r="31" spans="2:11" x14ac:dyDescent="0.25">
      <c r="B31" s="74" t="s">
        <v>1137</v>
      </c>
      <c r="C31" s="74">
        <v>4</v>
      </c>
      <c r="D31" s="74">
        <f>0.85+0.3</f>
        <v>1.1499999999999999</v>
      </c>
      <c r="E31" s="74">
        <f>1.2+0.3</f>
        <v>1.5</v>
      </c>
      <c r="F31" s="74">
        <f t="shared" si="2"/>
        <v>0.5</v>
      </c>
      <c r="G31" s="74">
        <f t="shared" si="0"/>
        <v>0.86</v>
      </c>
      <c r="H31" s="74">
        <f t="shared" si="1"/>
        <v>3.44</v>
      </c>
      <c r="J31" s="74">
        <v>1</v>
      </c>
      <c r="K31" s="136">
        <v>0.5</v>
      </c>
    </row>
    <row r="32" spans="2:11" x14ac:dyDescent="0.25">
      <c r="B32" s="74" t="s">
        <v>1138</v>
      </c>
      <c r="C32" s="74">
        <v>1</v>
      </c>
      <c r="D32" s="74">
        <f t="shared" ref="D32:D37" si="5">0.75+0.3</f>
        <v>1.05</v>
      </c>
      <c r="E32" s="74">
        <f t="shared" ref="E32:E37" si="6">0.9+0.3</f>
        <v>1.2</v>
      </c>
      <c r="F32" s="74">
        <f t="shared" si="2"/>
        <v>0.5</v>
      </c>
      <c r="G32" s="74">
        <f t="shared" si="0"/>
        <v>0.63</v>
      </c>
      <c r="H32" s="74">
        <f t="shared" si="1"/>
        <v>0.63</v>
      </c>
      <c r="J32" s="74">
        <v>1</v>
      </c>
      <c r="K32" s="136">
        <v>0.5</v>
      </c>
    </row>
    <row r="33" spans="2:11" x14ac:dyDescent="0.25">
      <c r="B33" s="74" t="s">
        <v>1139</v>
      </c>
      <c r="C33" s="74">
        <v>1</v>
      </c>
      <c r="D33" s="74">
        <f t="shared" si="5"/>
        <v>1.05</v>
      </c>
      <c r="E33" s="74">
        <f t="shared" si="6"/>
        <v>1.2</v>
      </c>
      <c r="F33" s="74">
        <f t="shared" si="2"/>
        <v>1.1000000000000001</v>
      </c>
      <c r="G33" s="74">
        <f t="shared" si="0"/>
        <v>1.39</v>
      </c>
      <c r="H33" s="74">
        <f t="shared" si="1"/>
        <v>1.39</v>
      </c>
      <c r="J33" s="74">
        <v>1.6</v>
      </c>
      <c r="K33" s="136">
        <v>0.5</v>
      </c>
    </row>
    <row r="34" spans="2:11" x14ac:dyDescent="0.25">
      <c r="B34" s="74" t="s">
        <v>1140</v>
      </c>
      <c r="C34" s="74">
        <v>1</v>
      </c>
      <c r="D34" s="74">
        <f t="shared" si="5"/>
        <v>1.05</v>
      </c>
      <c r="E34" s="74">
        <f t="shared" si="6"/>
        <v>1.2</v>
      </c>
      <c r="F34" s="74">
        <f t="shared" si="2"/>
        <v>1.4</v>
      </c>
      <c r="G34" s="74">
        <f t="shared" si="0"/>
        <v>1.76</v>
      </c>
      <c r="H34" s="74">
        <f t="shared" si="1"/>
        <v>1.76</v>
      </c>
      <c r="J34" s="74">
        <v>1.9</v>
      </c>
      <c r="K34" s="136">
        <v>0.5</v>
      </c>
    </row>
    <row r="35" spans="2:11" x14ac:dyDescent="0.25">
      <c r="B35" s="74" t="s">
        <v>1141</v>
      </c>
      <c r="C35" s="74">
        <v>1</v>
      </c>
      <c r="D35" s="74">
        <f t="shared" si="5"/>
        <v>1.05</v>
      </c>
      <c r="E35" s="74">
        <f t="shared" si="6"/>
        <v>1.2</v>
      </c>
      <c r="F35" s="74">
        <f t="shared" si="2"/>
        <v>1</v>
      </c>
      <c r="G35" s="74">
        <f t="shared" si="0"/>
        <v>1.26</v>
      </c>
      <c r="H35" s="74">
        <f t="shared" si="1"/>
        <v>1.26</v>
      </c>
      <c r="J35" s="74">
        <v>1.5</v>
      </c>
      <c r="K35" s="136">
        <v>0.5</v>
      </c>
    </row>
    <row r="36" spans="2:11" x14ac:dyDescent="0.25">
      <c r="B36" s="74" t="s">
        <v>1142</v>
      </c>
      <c r="C36" s="74">
        <v>1</v>
      </c>
      <c r="D36" s="74">
        <f t="shared" si="5"/>
        <v>1.05</v>
      </c>
      <c r="E36" s="74">
        <f t="shared" si="6"/>
        <v>1.2</v>
      </c>
      <c r="F36" s="74">
        <f t="shared" si="2"/>
        <v>0.8</v>
      </c>
      <c r="G36" s="74">
        <f t="shared" si="0"/>
        <v>1.01</v>
      </c>
      <c r="H36" s="74">
        <f t="shared" si="1"/>
        <v>1.01</v>
      </c>
      <c r="J36" s="74">
        <v>1.3</v>
      </c>
      <c r="K36" s="136">
        <v>0.5</v>
      </c>
    </row>
    <row r="37" spans="2:11" x14ac:dyDescent="0.25">
      <c r="B37" s="74" t="s">
        <v>1143</v>
      </c>
      <c r="C37" s="74">
        <v>1</v>
      </c>
      <c r="D37" s="74">
        <f t="shared" si="5"/>
        <v>1.05</v>
      </c>
      <c r="E37" s="74">
        <f t="shared" si="6"/>
        <v>1.2</v>
      </c>
      <c r="F37" s="74">
        <f t="shared" si="2"/>
        <v>0.75</v>
      </c>
      <c r="G37" s="74">
        <f t="shared" si="0"/>
        <v>0.95</v>
      </c>
      <c r="H37" s="74">
        <f t="shared" si="1"/>
        <v>0.95</v>
      </c>
      <c r="J37" s="74">
        <v>1.25</v>
      </c>
      <c r="K37" s="136">
        <v>0.5</v>
      </c>
    </row>
    <row r="38" spans="2:11" x14ac:dyDescent="0.25">
      <c r="B38" s="74"/>
      <c r="C38" s="74"/>
      <c r="D38" s="74"/>
      <c r="E38" s="74"/>
      <c r="F38" s="74"/>
      <c r="G38" s="74"/>
      <c r="H38" s="74"/>
      <c r="J38" s="74"/>
      <c r="K38" s="136"/>
    </row>
    <row r="39" spans="2:11" x14ac:dyDescent="0.25">
      <c r="B39" s="135" t="s">
        <v>1144</v>
      </c>
      <c r="C39" s="74"/>
      <c r="D39" s="74"/>
      <c r="E39" s="74"/>
      <c r="F39" s="74"/>
      <c r="G39" s="74"/>
      <c r="H39" s="74"/>
      <c r="J39" s="74"/>
      <c r="K39" s="136"/>
    </row>
    <row r="40" spans="2:11" x14ac:dyDescent="0.25">
      <c r="B40" s="74" t="s">
        <v>1138</v>
      </c>
      <c r="C40" s="74">
        <v>1</v>
      </c>
      <c r="D40" s="74">
        <f>1.15+0.3</f>
        <v>1.45</v>
      </c>
      <c r="E40" s="74">
        <f>1.1+0.3</f>
        <v>1.4000000000000001</v>
      </c>
      <c r="F40" s="74">
        <f t="shared" ref="F40:F78" si="7">J40-K40</f>
        <v>1.3</v>
      </c>
      <c r="G40" s="74">
        <f t="shared" si="0"/>
        <v>2.64</v>
      </c>
      <c r="H40" s="74">
        <f t="shared" si="1"/>
        <v>2.64</v>
      </c>
      <c r="J40" s="74">
        <v>1.8</v>
      </c>
      <c r="K40" s="136">
        <v>0.5</v>
      </c>
    </row>
    <row r="41" spans="2:11" x14ac:dyDescent="0.25">
      <c r="B41" s="74" t="s">
        <v>1125</v>
      </c>
      <c r="C41" s="74">
        <v>1</v>
      </c>
      <c r="D41" s="74">
        <f>0.95+0.3</f>
        <v>1.25</v>
      </c>
      <c r="E41" s="74">
        <f>1.1+0.3</f>
        <v>1.4000000000000001</v>
      </c>
      <c r="F41" s="74">
        <f t="shared" si="7"/>
        <v>1</v>
      </c>
      <c r="G41" s="74">
        <f t="shared" si="0"/>
        <v>1.75</v>
      </c>
      <c r="H41" s="74">
        <f t="shared" si="1"/>
        <v>1.75</v>
      </c>
      <c r="J41" s="74">
        <v>1.5</v>
      </c>
      <c r="K41" s="136">
        <v>0.5</v>
      </c>
    </row>
    <row r="42" spans="2:11" x14ac:dyDescent="0.25">
      <c r="B42" s="74" t="s">
        <v>1126</v>
      </c>
      <c r="C42" s="74">
        <v>1</v>
      </c>
      <c r="D42" s="74">
        <f>1.15+0.3</f>
        <v>1.45</v>
      </c>
      <c r="E42" s="74">
        <f>1.1+0.3</f>
        <v>1.4000000000000001</v>
      </c>
      <c r="F42" s="74">
        <f t="shared" si="7"/>
        <v>1.4</v>
      </c>
      <c r="G42" s="74">
        <f t="shared" si="0"/>
        <v>2.84</v>
      </c>
      <c r="H42" s="74">
        <f t="shared" si="1"/>
        <v>2.84</v>
      </c>
      <c r="J42" s="74">
        <v>1.9</v>
      </c>
      <c r="K42" s="136">
        <v>0.5</v>
      </c>
    </row>
    <row r="43" spans="2:11" x14ac:dyDescent="0.25">
      <c r="B43" s="74" t="s">
        <v>1127</v>
      </c>
      <c r="C43" s="74">
        <v>1</v>
      </c>
      <c r="D43" s="74">
        <f>1.05+0.3</f>
        <v>1.35</v>
      </c>
      <c r="E43" s="74">
        <f>1.5+0.3</f>
        <v>1.8</v>
      </c>
      <c r="F43" s="74">
        <f t="shared" si="7"/>
        <v>0.89999999999999991</v>
      </c>
      <c r="G43" s="74">
        <f t="shared" si="0"/>
        <v>2.19</v>
      </c>
      <c r="H43" s="74">
        <f t="shared" si="1"/>
        <v>2.19</v>
      </c>
      <c r="J43" s="74">
        <v>1.4</v>
      </c>
      <c r="K43" s="136">
        <v>0.5</v>
      </c>
    </row>
    <row r="44" spans="2:11" x14ac:dyDescent="0.25">
      <c r="B44" s="74" t="s">
        <v>1145</v>
      </c>
      <c r="C44" s="74">
        <v>2</v>
      </c>
      <c r="D44" s="74">
        <f>0.95+0.3</f>
        <v>1.25</v>
      </c>
      <c r="E44" s="74">
        <f>1.1+0.3</f>
        <v>1.4000000000000001</v>
      </c>
      <c r="F44" s="74">
        <f t="shared" si="7"/>
        <v>0.89999999999999991</v>
      </c>
      <c r="G44" s="74">
        <f t="shared" si="0"/>
        <v>1.58</v>
      </c>
      <c r="H44" s="74">
        <f t="shared" si="1"/>
        <v>3.16</v>
      </c>
      <c r="J44" s="74">
        <v>1.4</v>
      </c>
      <c r="K44" s="136">
        <v>0.5</v>
      </c>
    </row>
    <row r="45" spans="2:11" x14ac:dyDescent="0.25">
      <c r="B45" s="74" t="s">
        <v>1131</v>
      </c>
      <c r="C45" s="74">
        <v>1</v>
      </c>
      <c r="D45" s="74">
        <f>2.2+0.3</f>
        <v>2.5</v>
      </c>
      <c r="E45" s="74">
        <f>1.55+0.3</f>
        <v>1.85</v>
      </c>
      <c r="F45" s="74">
        <f t="shared" si="7"/>
        <v>1.5</v>
      </c>
      <c r="G45" s="74">
        <f t="shared" si="0"/>
        <v>6.94</v>
      </c>
      <c r="H45" s="74">
        <f t="shared" si="1"/>
        <v>6.94</v>
      </c>
      <c r="J45" s="74">
        <v>2</v>
      </c>
      <c r="K45" s="136">
        <v>0.5</v>
      </c>
    </row>
    <row r="46" spans="2:11" x14ac:dyDescent="0.25">
      <c r="B46" s="74" t="s">
        <v>1132</v>
      </c>
      <c r="C46" s="74">
        <v>1</v>
      </c>
      <c r="D46" s="74">
        <f>1.5+0.3</f>
        <v>1.8</v>
      </c>
      <c r="E46" s="74">
        <f>1.05+0.3</f>
        <v>1.35</v>
      </c>
      <c r="F46" s="74">
        <f t="shared" si="7"/>
        <v>0.85000000000000009</v>
      </c>
      <c r="G46" s="74">
        <f t="shared" si="0"/>
        <v>2.0699999999999998</v>
      </c>
      <c r="H46" s="74">
        <f t="shared" si="1"/>
        <v>2.0699999999999998</v>
      </c>
      <c r="J46" s="74">
        <v>1.35</v>
      </c>
      <c r="K46" s="136">
        <v>0.5</v>
      </c>
    </row>
    <row r="47" spans="2:11" x14ac:dyDescent="0.25">
      <c r="B47" s="74" t="s">
        <v>1133</v>
      </c>
      <c r="C47" s="74">
        <v>1</v>
      </c>
      <c r="D47" s="74">
        <f>0.95+0.3</f>
        <v>1.25</v>
      </c>
      <c r="E47" s="74">
        <f>1.2+0.3</f>
        <v>1.5</v>
      </c>
      <c r="F47" s="74">
        <f t="shared" si="7"/>
        <v>0.89999999999999991</v>
      </c>
      <c r="G47" s="74">
        <f t="shared" si="0"/>
        <v>1.69</v>
      </c>
      <c r="H47" s="74">
        <f t="shared" si="1"/>
        <v>1.69</v>
      </c>
      <c r="J47" s="74">
        <v>1.4</v>
      </c>
      <c r="K47" s="136">
        <v>0.5</v>
      </c>
    </row>
    <row r="48" spans="2:11" x14ac:dyDescent="0.25">
      <c r="B48" s="74" t="s">
        <v>1139</v>
      </c>
      <c r="C48" s="74">
        <v>1</v>
      </c>
      <c r="D48" s="74">
        <f>1.3+0.3</f>
        <v>1.6</v>
      </c>
      <c r="E48" s="74">
        <f>1.3+0.3</f>
        <v>1.6</v>
      </c>
      <c r="F48" s="74">
        <f t="shared" si="7"/>
        <v>0.95</v>
      </c>
      <c r="G48" s="74">
        <f t="shared" si="0"/>
        <v>2.4300000000000002</v>
      </c>
      <c r="H48" s="74">
        <f t="shared" si="1"/>
        <v>2.4300000000000002</v>
      </c>
      <c r="J48" s="74">
        <v>1.45</v>
      </c>
      <c r="K48" s="136">
        <v>0.5</v>
      </c>
    </row>
    <row r="49" spans="2:11" x14ac:dyDescent="0.25">
      <c r="B49" s="74" t="s">
        <v>1140</v>
      </c>
      <c r="C49" s="74">
        <v>1</v>
      </c>
      <c r="D49" s="74">
        <f>2+0.3</f>
        <v>2.2999999999999998</v>
      </c>
      <c r="E49" s="74">
        <f>2+0.3</f>
        <v>2.2999999999999998</v>
      </c>
      <c r="F49" s="74">
        <f t="shared" si="7"/>
        <v>1.1499999999999999</v>
      </c>
      <c r="G49" s="74">
        <f t="shared" si="0"/>
        <v>6.08</v>
      </c>
      <c r="H49" s="74">
        <f t="shared" si="1"/>
        <v>6.08</v>
      </c>
      <c r="J49" s="74">
        <v>1.65</v>
      </c>
      <c r="K49" s="136">
        <v>0.5</v>
      </c>
    </row>
    <row r="50" spans="2:11" x14ac:dyDescent="0.25">
      <c r="B50" s="74" t="s">
        <v>1146</v>
      </c>
      <c r="C50" s="74">
        <v>1</v>
      </c>
      <c r="D50" s="74">
        <f>2.4+0.3</f>
        <v>2.6999999999999997</v>
      </c>
      <c r="E50" s="74">
        <f>2.4+0.3</f>
        <v>2.6999999999999997</v>
      </c>
      <c r="F50" s="74">
        <f t="shared" si="7"/>
        <v>1.05</v>
      </c>
      <c r="G50" s="74">
        <f t="shared" si="0"/>
        <v>7.65</v>
      </c>
      <c r="H50" s="74">
        <f t="shared" si="1"/>
        <v>7.65</v>
      </c>
      <c r="J50" s="74">
        <v>1.55</v>
      </c>
      <c r="K50" s="136">
        <v>0.5</v>
      </c>
    </row>
    <row r="51" spans="2:11" x14ac:dyDescent="0.25">
      <c r="B51" s="74" t="s">
        <v>1141</v>
      </c>
      <c r="C51" s="74">
        <v>1</v>
      </c>
      <c r="D51" s="74">
        <f>1.6+0.3</f>
        <v>1.9000000000000001</v>
      </c>
      <c r="E51" s="74">
        <f>1.6+0.3</f>
        <v>1.9000000000000001</v>
      </c>
      <c r="F51" s="74">
        <f t="shared" si="7"/>
        <v>0.75</v>
      </c>
      <c r="G51" s="74">
        <f t="shared" si="0"/>
        <v>2.71</v>
      </c>
      <c r="H51" s="74">
        <f t="shared" si="1"/>
        <v>2.71</v>
      </c>
      <c r="J51" s="74">
        <v>1.25</v>
      </c>
      <c r="K51" s="136">
        <v>0.5</v>
      </c>
    </row>
    <row r="52" spans="2:11" x14ac:dyDescent="0.25">
      <c r="B52" s="74" t="s">
        <v>1142</v>
      </c>
      <c r="C52" s="74">
        <v>1</v>
      </c>
      <c r="D52" s="74">
        <f>1.85+0.3</f>
        <v>2.15</v>
      </c>
      <c r="E52" s="74">
        <f>1.3+0.3</f>
        <v>1.6</v>
      </c>
      <c r="F52" s="74">
        <f t="shared" si="7"/>
        <v>0.8</v>
      </c>
      <c r="G52" s="74">
        <f t="shared" si="0"/>
        <v>2.75</v>
      </c>
      <c r="H52" s="74">
        <f t="shared" si="1"/>
        <v>2.75</v>
      </c>
      <c r="J52" s="74">
        <v>1.3</v>
      </c>
      <c r="K52" s="136">
        <v>0.5</v>
      </c>
    </row>
    <row r="53" spans="2:11" x14ac:dyDescent="0.25">
      <c r="B53" s="74" t="s">
        <v>1147</v>
      </c>
      <c r="C53" s="74">
        <v>1</v>
      </c>
      <c r="D53" s="74">
        <f>1.25+0.3</f>
        <v>1.55</v>
      </c>
      <c r="E53" s="74">
        <f>1.8+0.3</f>
        <v>2.1</v>
      </c>
      <c r="F53" s="74">
        <f t="shared" si="7"/>
        <v>1.2</v>
      </c>
      <c r="G53" s="74">
        <f t="shared" si="0"/>
        <v>3.91</v>
      </c>
      <c r="H53" s="74">
        <f t="shared" si="1"/>
        <v>3.91</v>
      </c>
      <c r="J53" s="74">
        <v>1.7</v>
      </c>
      <c r="K53" s="136">
        <v>0.5</v>
      </c>
    </row>
    <row r="54" spans="2:11" x14ac:dyDescent="0.25">
      <c r="B54" s="74" t="s">
        <v>1148</v>
      </c>
      <c r="C54" s="74">
        <v>1</v>
      </c>
      <c r="D54" s="74">
        <f>1.3+0.3</f>
        <v>1.6</v>
      </c>
      <c r="E54" s="74">
        <f>0.9+0.3</f>
        <v>1.2</v>
      </c>
      <c r="F54" s="74">
        <f t="shared" si="7"/>
        <v>1.1499999999999999</v>
      </c>
      <c r="G54" s="74">
        <f t="shared" si="0"/>
        <v>2.21</v>
      </c>
      <c r="H54" s="74">
        <f t="shared" si="1"/>
        <v>2.21</v>
      </c>
      <c r="J54" s="74">
        <v>1.65</v>
      </c>
      <c r="K54" s="136">
        <v>0.5</v>
      </c>
    </row>
    <row r="55" spans="2:11" x14ac:dyDescent="0.25">
      <c r="B55" s="74" t="s">
        <v>1143</v>
      </c>
      <c r="C55" s="74">
        <v>1</v>
      </c>
      <c r="D55" s="74">
        <f>1.05+0.3</f>
        <v>1.35</v>
      </c>
      <c r="E55" s="74">
        <f>1.5+0.3</f>
        <v>1.8</v>
      </c>
      <c r="F55" s="74">
        <f t="shared" si="7"/>
        <v>0.85000000000000009</v>
      </c>
      <c r="G55" s="74">
        <f t="shared" si="0"/>
        <v>2.0699999999999998</v>
      </c>
      <c r="H55" s="74">
        <f t="shared" si="1"/>
        <v>2.0699999999999998</v>
      </c>
      <c r="J55" s="74">
        <v>1.35</v>
      </c>
      <c r="K55" s="136">
        <v>0.5</v>
      </c>
    </row>
    <row r="56" spans="2:11" x14ac:dyDescent="0.25">
      <c r="B56" s="74" t="s">
        <v>1149</v>
      </c>
      <c r="C56" s="74">
        <v>1</v>
      </c>
      <c r="D56" s="74">
        <f>1.25+0.3</f>
        <v>1.55</v>
      </c>
      <c r="E56" s="74">
        <f>1.4+0.3</f>
        <v>1.7</v>
      </c>
      <c r="F56" s="74">
        <f t="shared" si="7"/>
        <v>0.85000000000000009</v>
      </c>
      <c r="G56" s="74">
        <f t="shared" si="0"/>
        <v>2.2400000000000002</v>
      </c>
      <c r="H56" s="74">
        <f t="shared" si="1"/>
        <v>2.2400000000000002</v>
      </c>
      <c r="J56" s="74">
        <v>1.35</v>
      </c>
      <c r="K56" s="136">
        <v>0.5</v>
      </c>
    </row>
    <row r="57" spans="2:11" x14ac:dyDescent="0.25">
      <c r="B57" s="74" t="s">
        <v>1150</v>
      </c>
      <c r="C57" s="74">
        <v>1</v>
      </c>
      <c r="D57" s="74">
        <f>1.25+0.3</f>
        <v>1.55</v>
      </c>
      <c r="E57" s="74">
        <f>1.4+0.3</f>
        <v>1.7</v>
      </c>
      <c r="F57" s="74">
        <f t="shared" si="7"/>
        <v>0.85000000000000009</v>
      </c>
      <c r="G57" s="74">
        <f t="shared" si="0"/>
        <v>2.2400000000000002</v>
      </c>
      <c r="H57" s="74">
        <f t="shared" si="1"/>
        <v>2.2400000000000002</v>
      </c>
      <c r="J57" s="74">
        <v>1.35</v>
      </c>
      <c r="K57" s="136">
        <v>0.5</v>
      </c>
    </row>
    <row r="58" spans="2:11" x14ac:dyDescent="0.25">
      <c r="B58" s="74" t="s">
        <v>1151</v>
      </c>
      <c r="C58" s="74">
        <v>1</v>
      </c>
      <c r="D58" s="74">
        <f>1.8+0.3</f>
        <v>2.1</v>
      </c>
      <c r="E58" s="74">
        <f>1.2+0.3</f>
        <v>1.5</v>
      </c>
      <c r="F58" s="74">
        <f t="shared" si="7"/>
        <v>0.7</v>
      </c>
      <c r="G58" s="74">
        <f t="shared" si="0"/>
        <v>2.21</v>
      </c>
      <c r="H58" s="74">
        <f t="shared" si="1"/>
        <v>2.21</v>
      </c>
      <c r="J58" s="74">
        <v>1.2</v>
      </c>
      <c r="K58" s="136">
        <v>0.5</v>
      </c>
    </row>
    <row r="59" spans="2:11" x14ac:dyDescent="0.25">
      <c r="B59" s="74" t="s">
        <v>1152</v>
      </c>
      <c r="C59" s="74">
        <v>1</v>
      </c>
      <c r="D59" s="74">
        <f>2.5+0.3</f>
        <v>2.8</v>
      </c>
      <c r="E59" s="74">
        <f>1.7+0.3</f>
        <v>2</v>
      </c>
      <c r="F59" s="74">
        <f t="shared" si="7"/>
        <v>0.7</v>
      </c>
      <c r="G59" s="74">
        <f t="shared" si="0"/>
        <v>3.92</v>
      </c>
      <c r="H59" s="74">
        <f t="shared" si="1"/>
        <v>3.92</v>
      </c>
      <c r="J59" s="74">
        <v>1.2</v>
      </c>
      <c r="K59" s="136">
        <v>0.5</v>
      </c>
    </row>
    <row r="60" spans="2:11" x14ac:dyDescent="0.25">
      <c r="B60" s="74" t="s">
        <v>1153</v>
      </c>
      <c r="C60" s="74">
        <v>1</v>
      </c>
      <c r="D60" s="74">
        <f>1.3+0.3</f>
        <v>1.6</v>
      </c>
      <c r="E60" s="74">
        <f>1.9+0.3</f>
        <v>2.1999999999999997</v>
      </c>
      <c r="F60" s="74">
        <f t="shared" si="7"/>
        <v>0.89999999999999991</v>
      </c>
      <c r="G60" s="74">
        <f t="shared" si="0"/>
        <v>3.17</v>
      </c>
      <c r="H60" s="74">
        <f t="shared" si="1"/>
        <v>3.17</v>
      </c>
      <c r="J60" s="74">
        <v>1.4</v>
      </c>
      <c r="K60" s="136">
        <v>0.5</v>
      </c>
    </row>
    <row r="61" spans="2:11" x14ac:dyDescent="0.25">
      <c r="B61" s="74" t="s">
        <v>1154</v>
      </c>
      <c r="C61" s="74">
        <v>1</v>
      </c>
      <c r="D61" s="74">
        <f>2.3+0.3</f>
        <v>2.5999999999999996</v>
      </c>
      <c r="E61" s="74">
        <f>1.6+0.3</f>
        <v>1.9000000000000001</v>
      </c>
      <c r="F61" s="74">
        <f t="shared" si="7"/>
        <v>0.5</v>
      </c>
      <c r="G61" s="74">
        <f t="shared" si="0"/>
        <v>2.4700000000000002</v>
      </c>
      <c r="H61" s="74">
        <f t="shared" si="1"/>
        <v>2.4700000000000002</v>
      </c>
      <c r="J61" s="74">
        <v>1</v>
      </c>
      <c r="K61" s="136">
        <v>0.5</v>
      </c>
    </row>
    <row r="62" spans="2:11" x14ac:dyDescent="0.25">
      <c r="B62" s="74" t="s">
        <v>1155</v>
      </c>
      <c r="C62" s="74">
        <v>1</v>
      </c>
      <c r="D62" s="74">
        <f>2.3+0.3</f>
        <v>2.5999999999999996</v>
      </c>
      <c r="E62" s="74">
        <f>1.6+0.3</f>
        <v>1.9000000000000001</v>
      </c>
      <c r="F62" s="74">
        <f t="shared" si="7"/>
        <v>0.64999999999999991</v>
      </c>
      <c r="G62" s="74">
        <f t="shared" si="0"/>
        <v>3.21</v>
      </c>
      <c r="H62" s="74">
        <f t="shared" si="1"/>
        <v>3.21</v>
      </c>
      <c r="J62" s="74">
        <v>1.1499999999999999</v>
      </c>
      <c r="K62" s="136">
        <v>0.5</v>
      </c>
    </row>
    <row r="63" spans="2:11" x14ac:dyDescent="0.25">
      <c r="B63" s="74" t="s">
        <v>1156</v>
      </c>
      <c r="C63" s="74">
        <v>1</v>
      </c>
      <c r="D63" s="74">
        <f>0.9+0.3</f>
        <v>1.2</v>
      </c>
      <c r="E63" s="74">
        <f>1.1+0.3</f>
        <v>1.4000000000000001</v>
      </c>
      <c r="F63" s="74">
        <f t="shared" si="7"/>
        <v>0.75</v>
      </c>
      <c r="G63" s="74">
        <f t="shared" si="0"/>
        <v>1.26</v>
      </c>
      <c r="H63" s="74">
        <f t="shared" si="1"/>
        <v>1.26</v>
      </c>
      <c r="J63" s="74">
        <v>1.25</v>
      </c>
      <c r="K63" s="136">
        <v>0.5</v>
      </c>
    </row>
    <row r="64" spans="2:11" x14ac:dyDescent="0.25">
      <c r="B64" s="74" t="s">
        <v>1157</v>
      </c>
      <c r="C64" s="74">
        <v>1</v>
      </c>
      <c r="D64" s="74">
        <f>1.75+0.3</f>
        <v>2.0499999999999998</v>
      </c>
      <c r="E64" s="74">
        <f>1.2+0.3</f>
        <v>1.5</v>
      </c>
      <c r="F64" s="74">
        <f t="shared" si="7"/>
        <v>0.4</v>
      </c>
      <c r="G64" s="74">
        <f t="shared" si="0"/>
        <v>1.23</v>
      </c>
      <c r="H64" s="74">
        <f t="shared" si="1"/>
        <v>1.23</v>
      </c>
      <c r="J64" s="74">
        <v>0.9</v>
      </c>
      <c r="K64" s="136">
        <v>0.5</v>
      </c>
    </row>
    <row r="65" spans="1:11" x14ac:dyDescent="0.25">
      <c r="B65" s="74" t="s">
        <v>1158</v>
      </c>
      <c r="C65" s="74">
        <v>1</v>
      </c>
      <c r="D65" s="74">
        <f>1.5+0.3</f>
        <v>1.8</v>
      </c>
      <c r="E65" s="74">
        <f>1+0.3</f>
        <v>1.3</v>
      </c>
      <c r="F65" s="74">
        <f t="shared" si="7"/>
        <v>0.60000000000000009</v>
      </c>
      <c r="G65" s="74">
        <f t="shared" si="0"/>
        <v>1.4</v>
      </c>
      <c r="H65" s="74">
        <f t="shared" si="1"/>
        <v>1.4</v>
      </c>
      <c r="J65" s="74">
        <v>1.1000000000000001</v>
      </c>
      <c r="K65" s="136">
        <v>0.5</v>
      </c>
    </row>
    <row r="66" spans="1:11" x14ac:dyDescent="0.25">
      <c r="B66" s="74" t="s">
        <v>1159</v>
      </c>
      <c r="C66" s="74">
        <v>1</v>
      </c>
      <c r="D66" s="74">
        <f>1.1+0.3</f>
        <v>1.4000000000000001</v>
      </c>
      <c r="E66" s="74">
        <f>0.9+0.3</f>
        <v>1.2</v>
      </c>
      <c r="F66" s="74">
        <f t="shared" si="7"/>
        <v>0.8</v>
      </c>
      <c r="G66" s="74">
        <f t="shared" si="0"/>
        <v>1.34</v>
      </c>
      <c r="H66" s="74">
        <f t="shared" si="1"/>
        <v>1.34</v>
      </c>
      <c r="J66" s="74">
        <v>1.3</v>
      </c>
      <c r="K66" s="136">
        <v>0.5</v>
      </c>
    </row>
    <row r="67" spans="1:11" x14ac:dyDescent="0.25">
      <c r="B67" s="74" t="s">
        <v>1160</v>
      </c>
      <c r="C67" s="74">
        <v>1</v>
      </c>
      <c r="D67" s="74">
        <f>1.8+0.3</f>
        <v>2.1</v>
      </c>
      <c r="E67" s="74">
        <f>1.8+0.3</f>
        <v>2.1</v>
      </c>
      <c r="F67" s="74">
        <f t="shared" si="7"/>
        <v>0.95</v>
      </c>
      <c r="G67" s="74">
        <f t="shared" si="0"/>
        <v>4.1900000000000004</v>
      </c>
      <c r="H67" s="74">
        <f t="shared" si="1"/>
        <v>4.1900000000000004</v>
      </c>
      <c r="J67" s="74">
        <v>1.45</v>
      </c>
      <c r="K67" s="136">
        <v>0.5</v>
      </c>
    </row>
    <row r="68" spans="1:11" x14ac:dyDescent="0.25">
      <c r="B68" s="74" t="s">
        <v>1161</v>
      </c>
      <c r="C68" s="74">
        <v>1</v>
      </c>
      <c r="D68" s="74">
        <f>1.6+0.3</f>
        <v>1.9000000000000001</v>
      </c>
      <c r="E68" s="74">
        <f>1.1+0.3</f>
        <v>1.4000000000000001</v>
      </c>
      <c r="F68" s="74">
        <f t="shared" si="7"/>
        <v>1.1000000000000001</v>
      </c>
      <c r="G68" s="74">
        <f t="shared" si="0"/>
        <v>2.93</v>
      </c>
      <c r="H68" s="74">
        <f t="shared" si="1"/>
        <v>2.93</v>
      </c>
      <c r="J68" s="74">
        <v>1.6</v>
      </c>
      <c r="K68" s="136">
        <v>0.5</v>
      </c>
    </row>
    <row r="69" spans="1:11" x14ac:dyDescent="0.25">
      <c r="B69" s="74" t="s">
        <v>1162</v>
      </c>
      <c r="C69" s="74">
        <v>1</v>
      </c>
      <c r="D69" s="74">
        <f>1.2+0.3</f>
        <v>1.5</v>
      </c>
      <c r="E69" s="74">
        <f>1.75+0.3</f>
        <v>2.0499999999999998</v>
      </c>
      <c r="F69" s="74">
        <f t="shared" si="7"/>
        <v>0.7</v>
      </c>
      <c r="G69" s="74">
        <f t="shared" si="0"/>
        <v>2.15</v>
      </c>
      <c r="H69" s="74">
        <f t="shared" si="1"/>
        <v>2.15</v>
      </c>
      <c r="J69" s="74">
        <v>1.2</v>
      </c>
      <c r="K69" s="136">
        <v>0.5</v>
      </c>
    </row>
    <row r="70" spans="1:11" x14ac:dyDescent="0.25">
      <c r="B70" s="74" t="s">
        <v>1163</v>
      </c>
      <c r="C70" s="74">
        <v>1</v>
      </c>
      <c r="D70" s="74">
        <f>1.6+0.3</f>
        <v>1.9000000000000001</v>
      </c>
      <c r="E70" s="74">
        <f>1.15+0.3</f>
        <v>1.45</v>
      </c>
      <c r="F70" s="74">
        <f t="shared" si="7"/>
        <v>0.89999999999999991</v>
      </c>
      <c r="G70" s="74">
        <f t="shared" si="0"/>
        <v>2.48</v>
      </c>
      <c r="H70" s="74">
        <f t="shared" si="1"/>
        <v>2.48</v>
      </c>
      <c r="J70" s="74">
        <v>1.4</v>
      </c>
      <c r="K70" s="136">
        <v>0.5</v>
      </c>
    </row>
    <row r="71" spans="1:11" x14ac:dyDescent="0.25">
      <c r="B71" s="74" t="s">
        <v>1164</v>
      </c>
      <c r="C71" s="74">
        <v>1</v>
      </c>
      <c r="D71" s="74">
        <f>1.1+0.3</f>
        <v>1.4000000000000001</v>
      </c>
      <c r="E71" s="74">
        <f>0.85+0.3</f>
        <v>1.1499999999999999</v>
      </c>
      <c r="F71" s="74">
        <f t="shared" si="7"/>
        <v>1.1000000000000001</v>
      </c>
      <c r="G71" s="74">
        <f t="shared" si="0"/>
        <v>1.77</v>
      </c>
      <c r="H71" s="74">
        <f t="shared" si="1"/>
        <v>1.77</v>
      </c>
      <c r="J71" s="74">
        <v>1.6</v>
      </c>
      <c r="K71" s="136">
        <v>0.5</v>
      </c>
    </row>
    <row r="72" spans="1:11" x14ac:dyDescent="0.25">
      <c r="B72" s="74" t="s">
        <v>1165</v>
      </c>
      <c r="C72" s="74">
        <v>1</v>
      </c>
      <c r="D72" s="74">
        <f>1.7+0.3</f>
        <v>2</v>
      </c>
      <c r="E72" s="74">
        <f>1.15+0.3</f>
        <v>1.45</v>
      </c>
      <c r="F72" s="74">
        <f t="shared" si="7"/>
        <v>0.64999999999999991</v>
      </c>
      <c r="G72" s="74">
        <f t="shared" si="0"/>
        <v>1.89</v>
      </c>
      <c r="H72" s="74">
        <f t="shared" si="1"/>
        <v>1.89</v>
      </c>
      <c r="J72" s="74">
        <v>1.1499999999999999</v>
      </c>
      <c r="K72" s="136">
        <v>0.5</v>
      </c>
    </row>
    <row r="73" spans="1:11" x14ac:dyDescent="0.25">
      <c r="B73" s="74" t="s">
        <v>1166</v>
      </c>
      <c r="C73" s="74">
        <v>1</v>
      </c>
      <c r="D73" s="74">
        <f>0.95+0.3</f>
        <v>1.25</v>
      </c>
      <c r="E73" s="74">
        <f>0.95+0.3</f>
        <v>1.25</v>
      </c>
      <c r="F73" s="74">
        <f t="shared" si="7"/>
        <v>0.7</v>
      </c>
      <c r="G73" s="74">
        <f t="shared" si="0"/>
        <v>1.0900000000000001</v>
      </c>
      <c r="H73" s="74">
        <f t="shared" si="1"/>
        <v>1.0900000000000001</v>
      </c>
      <c r="J73" s="74">
        <v>1.2</v>
      </c>
      <c r="K73" s="136">
        <v>0.5</v>
      </c>
    </row>
    <row r="74" spans="1:11" x14ac:dyDescent="0.25">
      <c r="B74" s="74" t="s">
        <v>1167</v>
      </c>
      <c r="C74" s="74">
        <v>2</v>
      </c>
      <c r="D74" s="74">
        <f>1+0.3</f>
        <v>1.3</v>
      </c>
      <c r="E74" s="74">
        <f>0.85+0.3</f>
        <v>1.1499999999999999</v>
      </c>
      <c r="F74" s="74">
        <f t="shared" si="7"/>
        <v>0.95</v>
      </c>
      <c r="G74" s="74">
        <f t="shared" si="0"/>
        <v>1.42</v>
      </c>
      <c r="H74" s="74">
        <f t="shared" si="1"/>
        <v>2.84</v>
      </c>
      <c r="J74" s="74">
        <v>1.45</v>
      </c>
      <c r="K74" s="136">
        <v>0.5</v>
      </c>
    </row>
    <row r="75" spans="1:11" x14ac:dyDescent="0.25">
      <c r="B75" s="74" t="s">
        <v>1168</v>
      </c>
      <c r="C75" s="74">
        <v>1</v>
      </c>
      <c r="D75" s="74">
        <f>1.1+0.3</f>
        <v>1.4000000000000001</v>
      </c>
      <c r="E75" s="74">
        <f>1+0.3</f>
        <v>1.3</v>
      </c>
      <c r="F75" s="74">
        <f t="shared" si="7"/>
        <v>1.2</v>
      </c>
      <c r="G75" s="74">
        <f t="shared" si="0"/>
        <v>2.1800000000000002</v>
      </c>
      <c r="H75" s="74">
        <f t="shared" si="1"/>
        <v>2.1800000000000002</v>
      </c>
      <c r="J75" s="74">
        <v>1.7</v>
      </c>
      <c r="K75" s="136">
        <v>0.5</v>
      </c>
    </row>
    <row r="76" spans="1:11" x14ac:dyDescent="0.25">
      <c r="B76" s="74" t="s">
        <v>1169</v>
      </c>
      <c r="C76" s="74">
        <v>1</v>
      </c>
      <c r="D76" s="74">
        <f>1.1+0.3</f>
        <v>1.4000000000000001</v>
      </c>
      <c r="E76" s="74">
        <f>0.9+0.3</f>
        <v>1.2</v>
      </c>
      <c r="F76" s="74">
        <f t="shared" si="7"/>
        <v>0.89999999999999991</v>
      </c>
      <c r="G76" s="74">
        <f t="shared" si="0"/>
        <v>1.51</v>
      </c>
      <c r="H76" s="74">
        <f t="shared" si="1"/>
        <v>1.51</v>
      </c>
      <c r="J76" s="74">
        <v>1.4</v>
      </c>
      <c r="K76" s="136">
        <v>0.5</v>
      </c>
    </row>
    <row r="77" spans="1:11" x14ac:dyDescent="0.25">
      <c r="B77" s="74" t="s">
        <v>1170</v>
      </c>
      <c r="C77" s="74">
        <v>1</v>
      </c>
      <c r="D77" s="74">
        <f>1.1+0.3</f>
        <v>1.4000000000000001</v>
      </c>
      <c r="E77" s="74">
        <f>0.9+0.3</f>
        <v>1.2</v>
      </c>
      <c r="F77" s="74">
        <f t="shared" si="7"/>
        <v>0.8</v>
      </c>
      <c r="G77" s="74">
        <f t="shared" si="0"/>
        <v>1.34</v>
      </c>
      <c r="H77" s="74">
        <f t="shared" si="1"/>
        <v>1.34</v>
      </c>
      <c r="J77" s="74">
        <v>1.3</v>
      </c>
      <c r="K77" s="136">
        <v>0.5</v>
      </c>
    </row>
    <row r="78" spans="1:11" x14ac:dyDescent="0.25">
      <c r="B78" s="74" t="s">
        <v>1171</v>
      </c>
      <c r="C78" s="74">
        <v>2</v>
      </c>
      <c r="D78" s="74">
        <f>1.1+0.3</f>
        <v>1.4000000000000001</v>
      </c>
      <c r="E78" s="74">
        <f>0.9+0.3</f>
        <v>1.2</v>
      </c>
      <c r="F78" s="74">
        <f t="shared" si="7"/>
        <v>0.89999999999999991</v>
      </c>
      <c r="G78" s="74">
        <f t="shared" si="0"/>
        <v>1.51</v>
      </c>
      <c r="H78" s="74">
        <f t="shared" si="1"/>
        <v>3.02</v>
      </c>
      <c r="J78" s="74">
        <v>1.4</v>
      </c>
      <c r="K78" s="136">
        <v>0.5</v>
      </c>
    </row>
    <row r="79" spans="1:11" x14ac:dyDescent="0.25">
      <c r="B79" s="136"/>
      <c r="C79" s="136"/>
      <c r="D79" s="136"/>
      <c r="E79" s="136"/>
      <c r="F79" s="136"/>
      <c r="G79" s="136"/>
      <c r="H79" s="136"/>
    </row>
    <row r="80" spans="1:11" x14ac:dyDescent="0.25">
      <c r="A80" s="86" t="s">
        <v>1112</v>
      </c>
      <c r="B80" s="266" t="str">
        <f>'[1]BM_02.'!B35</f>
        <v>ATERRO C/COMPACTAÇÃO MECÂNICA E CONTROLE, MAT. DE AQUISIÇÃO</v>
      </c>
      <c r="C80" s="266"/>
      <c r="D80" s="266"/>
      <c r="E80" s="266"/>
      <c r="F80" s="266"/>
      <c r="G80" s="266"/>
      <c r="H80" s="87">
        <f>H82-H81</f>
        <v>87.14</v>
      </c>
      <c r="I80" s="134" t="s">
        <v>1053</v>
      </c>
    </row>
    <row r="81" spans="2:11" x14ac:dyDescent="0.25">
      <c r="B81" s="136"/>
      <c r="C81" s="136"/>
      <c r="D81" s="136"/>
      <c r="E81" s="136"/>
      <c r="F81" s="136"/>
      <c r="G81" s="136" t="s">
        <v>1172</v>
      </c>
      <c r="H81" s="137">
        <f>H200</f>
        <v>46.779999999999987</v>
      </c>
    </row>
    <row r="82" spans="2:11" x14ac:dyDescent="0.25">
      <c r="B82" s="135" t="s">
        <v>1120</v>
      </c>
      <c r="C82" s="74"/>
      <c r="D82" s="74"/>
      <c r="E82" s="74"/>
      <c r="F82" s="74"/>
      <c r="G82" s="136"/>
      <c r="H82" s="138">
        <f>SUM(H83:H144)</f>
        <v>133.91999999999999</v>
      </c>
      <c r="J82" t="s">
        <v>1121</v>
      </c>
      <c r="K82" t="s">
        <v>1122</v>
      </c>
    </row>
    <row r="83" spans="2:11" x14ac:dyDescent="0.25">
      <c r="B83" s="74" t="s">
        <v>1123</v>
      </c>
      <c r="C83" s="74">
        <v>1</v>
      </c>
      <c r="D83" s="74">
        <f>2+0.3</f>
        <v>2.2999999999999998</v>
      </c>
      <c r="E83" s="74">
        <f>1.15+0.3</f>
        <v>1.45</v>
      </c>
      <c r="F83" s="74">
        <f>J83-K83</f>
        <v>0.60000000000000009</v>
      </c>
      <c r="G83" s="74">
        <f>ROUND(D83*E83*F83,2)</f>
        <v>2</v>
      </c>
      <c r="H83" s="74">
        <f>G83*C83</f>
        <v>2</v>
      </c>
      <c r="J83" s="74">
        <v>1.1000000000000001</v>
      </c>
      <c r="K83" s="136">
        <v>0.5</v>
      </c>
    </row>
    <row r="84" spans="2:11" x14ac:dyDescent="0.25">
      <c r="B84" s="74" t="s">
        <v>1124</v>
      </c>
      <c r="C84" s="74">
        <v>1</v>
      </c>
      <c r="D84" s="74">
        <f>1.3+0.3</f>
        <v>1.6</v>
      </c>
      <c r="E84" s="74">
        <f>2.1+0.3</f>
        <v>2.4</v>
      </c>
      <c r="F84" s="74">
        <f t="shared" ref="F84:F103" si="8">J84-K84</f>
        <v>0.30000000000000004</v>
      </c>
      <c r="G84" s="74">
        <f t="shared" ref="G84:G144" si="9">ROUND(D84*E84*F84,2)</f>
        <v>1.1499999999999999</v>
      </c>
      <c r="H84" s="74">
        <f t="shared" ref="H84:H144" si="10">G84*C84</f>
        <v>1.1499999999999999</v>
      </c>
      <c r="J84" s="74">
        <v>0.8</v>
      </c>
      <c r="K84" s="136">
        <v>0.5</v>
      </c>
    </row>
    <row r="85" spans="2:11" x14ac:dyDescent="0.25">
      <c r="B85" s="74" t="s">
        <v>1125</v>
      </c>
      <c r="C85" s="74">
        <v>1</v>
      </c>
      <c r="D85" s="74">
        <f t="shared" ref="D85:D94" si="11">0.9+0.3</f>
        <v>1.2</v>
      </c>
      <c r="E85" s="74">
        <f t="shared" ref="E85:E94" si="12">0.75+0.3</f>
        <v>1.05</v>
      </c>
      <c r="F85" s="74">
        <f t="shared" si="8"/>
        <v>1</v>
      </c>
      <c r="G85" s="74">
        <f t="shared" si="9"/>
        <v>1.26</v>
      </c>
      <c r="H85" s="74">
        <f t="shared" si="10"/>
        <v>1.26</v>
      </c>
      <c r="J85" s="74">
        <v>1.5</v>
      </c>
      <c r="K85" s="136">
        <v>0.5</v>
      </c>
    </row>
    <row r="86" spans="2:11" x14ac:dyDescent="0.25">
      <c r="B86" s="74" t="s">
        <v>1126</v>
      </c>
      <c r="C86" s="74">
        <v>1</v>
      </c>
      <c r="D86" s="74">
        <f t="shared" si="11"/>
        <v>1.2</v>
      </c>
      <c r="E86" s="74">
        <f t="shared" si="12"/>
        <v>1.05</v>
      </c>
      <c r="F86" s="74">
        <f t="shared" si="8"/>
        <v>1.2</v>
      </c>
      <c r="G86" s="74">
        <f t="shared" si="9"/>
        <v>1.51</v>
      </c>
      <c r="H86" s="74">
        <f t="shared" si="10"/>
        <v>1.51</v>
      </c>
      <c r="J86" s="74">
        <v>1.7</v>
      </c>
      <c r="K86" s="136">
        <v>0.5</v>
      </c>
    </row>
    <row r="87" spans="2:11" x14ac:dyDescent="0.25">
      <c r="B87" s="74" t="s">
        <v>1127</v>
      </c>
      <c r="C87" s="74">
        <v>1</v>
      </c>
      <c r="D87" s="74">
        <f t="shared" si="11"/>
        <v>1.2</v>
      </c>
      <c r="E87" s="74">
        <f t="shared" si="12"/>
        <v>1.05</v>
      </c>
      <c r="F87" s="74">
        <f t="shared" si="8"/>
        <v>0.35</v>
      </c>
      <c r="G87" s="74">
        <f t="shared" si="9"/>
        <v>0.44</v>
      </c>
      <c r="H87" s="74">
        <f t="shared" si="10"/>
        <v>0.44</v>
      </c>
      <c r="J87" s="74">
        <v>0.85</v>
      </c>
      <c r="K87" s="136">
        <v>0.5</v>
      </c>
    </row>
    <row r="88" spans="2:11" x14ac:dyDescent="0.25">
      <c r="B88" s="74" t="s">
        <v>1128</v>
      </c>
      <c r="C88" s="74">
        <v>1</v>
      </c>
      <c r="D88" s="74">
        <f t="shared" si="11"/>
        <v>1.2</v>
      </c>
      <c r="E88" s="74">
        <f t="shared" si="12"/>
        <v>1.05</v>
      </c>
      <c r="F88" s="74">
        <f t="shared" si="8"/>
        <v>0.85000000000000009</v>
      </c>
      <c r="G88" s="74">
        <f t="shared" si="9"/>
        <v>1.07</v>
      </c>
      <c r="H88" s="74">
        <f t="shared" si="10"/>
        <v>1.07</v>
      </c>
      <c r="J88" s="74">
        <v>1.35</v>
      </c>
      <c r="K88" s="136">
        <v>0.5</v>
      </c>
    </row>
    <row r="89" spans="2:11" x14ac:dyDescent="0.25">
      <c r="B89" s="74" t="s">
        <v>1129</v>
      </c>
      <c r="C89" s="74">
        <v>1</v>
      </c>
      <c r="D89" s="74">
        <f t="shared" si="11"/>
        <v>1.2</v>
      </c>
      <c r="E89" s="74">
        <f t="shared" si="12"/>
        <v>1.05</v>
      </c>
      <c r="F89" s="74">
        <f t="shared" si="8"/>
        <v>0.19999999999999996</v>
      </c>
      <c r="G89" s="74">
        <f t="shared" si="9"/>
        <v>0.25</v>
      </c>
      <c r="H89" s="74">
        <f t="shared" si="10"/>
        <v>0.25</v>
      </c>
      <c r="J89" s="74">
        <v>0.7</v>
      </c>
      <c r="K89" s="136">
        <v>0.5</v>
      </c>
    </row>
    <row r="90" spans="2:11" x14ac:dyDescent="0.25">
      <c r="B90" s="74" t="s">
        <v>1130</v>
      </c>
      <c r="C90" s="74">
        <v>1</v>
      </c>
      <c r="D90" s="74">
        <f t="shared" si="11"/>
        <v>1.2</v>
      </c>
      <c r="E90" s="74">
        <f t="shared" si="12"/>
        <v>1.05</v>
      </c>
      <c r="F90" s="74">
        <f t="shared" si="8"/>
        <v>0.8</v>
      </c>
      <c r="G90" s="74">
        <f t="shared" si="9"/>
        <v>1.01</v>
      </c>
      <c r="H90" s="74">
        <f t="shared" si="10"/>
        <v>1.01</v>
      </c>
      <c r="J90" s="74">
        <v>1.3</v>
      </c>
      <c r="K90" s="136">
        <v>0.5</v>
      </c>
    </row>
    <row r="91" spans="2:11" x14ac:dyDescent="0.25">
      <c r="B91" s="74" t="s">
        <v>1131</v>
      </c>
      <c r="C91" s="74">
        <v>1</v>
      </c>
      <c r="D91" s="74">
        <f t="shared" si="11"/>
        <v>1.2</v>
      </c>
      <c r="E91" s="74">
        <f t="shared" si="12"/>
        <v>1.05</v>
      </c>
      <c r="F91" s="74">
        <f t="shared" si="8"/>
        <v>1</v>
      </c>
      <c r="G91" s="74">
        <f t="shared" si="9"/>
        <v>1.26</v>
      </c>
      <c r="H91" s="74">
        <f t="shared" si="10"/>
        <v>1.26</v>
      </c>
      <c r="J91" s="74">
        <v>1.5</v>
      </c>
      <c r="K91" s="136">
        <v>0.5</v>
      </c>
    </row>
    <row r="92" spans="2:11" x14ac:dyDescent="0.25">
      <c r="B92" s="74" t="s">
        <v>1132</v>
      </c>
      <c r="C92" s="74">
        <v>1</v>
      </c>
      <c r="D92" s="74">
        <f t="shared" si="11"/>
        <v>1.2</v>
      </c>
      <c r="E92" s="74">
        <f t="shared" si="12"/>
        <v>1.05</v>
      </c>
      <c r="F92" s="74">
        <f t="shared" si="8"/>
        <v>0.95</v>
      </c>
      <c r="G92" s="74">
        <f t="shared" si="9"/>
        <v>1.2</v>
      </c>
      <c r="H92" s="74">
        <f t="shared" si="10"/>
        <v>1.2</v>
      </c>
      <c r="J92" s="74">
        <v>1.45</v>
      </c>
      <c r="K92" s="136">
        <v>0.5</v>
      </c>
    </row>
    <row r="93" spans="2:11" x14ac:dyDescent="0.25">
      <c r="B93" s="74" t="s">
        <v>1133</v>
      </c>
      <c r="C93" s="74">
        <v>1</v>
      </c>
      <c r="D93" s="74">
        <f t="shared" si="11"/>
        <v>1.2</v>
      </c>
      <c r="E93" s="74">
        <f t="shared" si="12"/>
        <v>1.05</v>
      </c>
      <c r="F93" s="74">
        <f t="shared" si="8"/>
        <v>0.8</v>
      </c>
      <c r="G93" s="74">
        <f t="shared" si="9"/>
        <v>1.01</v>
      </c>
      <c r="H93" s="74">
        <f t="shared" si="10"/>
        <v>1.01</v>
      </c>
      <c r="J93" s="74">
        <v>1.3</v>
      </c>
      <c r="K93" s="136">
        <v>0.5</v>
      </c>
    </row>
    <row r="94" spans="2:11" x14ac:dyDescent="0.25">
      <c r="B94" s="74" t="s">
        <v>1134</v>
      </c>
      <c r="C94" s="74">
        <v>1</v>
      </c>
      <c r="D94" s="74">
        <f t="shared" si="11"/>
        <v>1.2</v>
      </c>
      <c r="E94" s="74">
        <f t="shared" si="12"/>
        <v>1.05</v>
      </c>
      <c r="F94" s="74">
        <f t="shared" si="8"/>
        <v>1.3</v>
      </c>
      <c r="G94" s="74">
        <f t="shared" si="9"/>
        <v>1.64</v>
      </c>
      <c r="H94" s="74">
        <f t="shared" si="10"/>
        <v>1.64</v>
      </c>
      <c r="J94" s="74">
        <v>1.8</v>
      </c>
      <c r="K94" s="136">
        <v>0.5</v>
      </c>
    </row>
    <row r="95" spans="2:11" x14ac:dyDescent="0.25">
      <c r="B95" s="74" t="s">
        <v>1135</v>
      </c>
      <c r="C95" s="74">
        <v>1</v>
      </c>
      <c r="D95" s="74">
        <f>0.75+0.3</f>
        <v>1.05</v>
      </c>
      <c r="E95" s="74">
        <f>0.9+0.3</f>
        <v>1.2</v>
      </c>
      <c r="F95" s="74">
        <f t="shared" si="8"/>
        <v>0.7</v>
      </c>
      <c r="G95" s="74">
        <f t="shared" si="9"/>
        <v>0.88</v>
      </c>
      <c r="H95" s="74">
        <f t="shared" si="10"/>
        <v>0.88</v>
      </c>
      <c r="J95" s="74">
        <v>1.2</v>
      </c>
      <c r="K95" s="136">
        <v>0.5</v>
      </c>
    </row>
    <row r="96" spans="2:11" x14ac:dyDescent="0.25">
      <c r="B96" s="74" t="s">
        <v>1136</v>
      </c>
      <c r="C96" s="74">
        <v>3</v>
      </c>
      <c r="D96" s="74">
        <f>1.2+0.3</f>
        <v>1.5</v>
      </c>
      <c r="E96" s="74">
        <f>0.85+0.3</f>
        <v>1.1499999999999999</v>
      </c>
      <c r="F96" s="74">
        <f t="shared" si="8"/>
        <v>0.7</v>
      </c>
      <c r="G96" s="74">
        <f t="shared" si="9"/>
        <v>1.21</v>
      </c>
      <c r="H96" s="74">
        <f t="shared" si="10"/>
        <v>3.63</v>
      </c>
      <c r="J96" s="74">
        <v>1.2</v>
      </c>
      <c r="K96" s="136">
        <v>0.5</v>
      </c>
    </row>
    <row r="97" spans="2:11" x14ac:dyDescent="0.25">
      <c r="B97" s="74" t="s">
        <v>1137</v>
      </c>
      <c r="C97" s="74">
        <v>4</v>
      </c>
      <c r="D97" s="74">
        <f>0.85+0.3</f>
        <v>1.1499999999999999</v>
      </c>
      <c r="E97" s="74">
        <f>1.2+0.3</f>
        <v>1.5</v>
      </c>
      <c r="F97" s="74">
        <f t="shared" si="8"/>
        <v>0.5</v>
      </c>
      <c r="G97" s="74">
        <f t="shared" si="9"/>
        <v>0.86</v>
      </c>
      <c r="H97" s="74">
        <f t="shared" si="10"/>
        <v>3.44</v>
      </c>
      <c r="J97" s="74">
        <v>1</v>
      </c>
      <c r="K97" s="136">
        <v>0.5</v>
      </c>
    </row>
    <row r="98" spans="2:11" x14ac:dyDescent="0.25">
      <c r="B98" s="74" t="s">
        <v>1138</v>
      </c>
      <c r="C98" s="74">
        <v>1</v>
      </c>
      <c r="D98" s="74">
        <f t="shared" ref="D98:D103" si="13">0.75+0.3</f>
        <v>1.05</v>
      </c>
      <c r="E98" s="74">
        <f t="shared" ref="E98:E103" si="14">0.9+0.3</f>
        <v>1.2</v>
      </c>
      <c r="F98" s="74">
        <f t="shared" si="8"/>
        <v>0.5</v>
      </c>
      <c r="G98" s="74">
        <f t="shared" si="9"/>
        <v>0.63</v>
      </c>
      <c r="H98" s="74">
        <f t="shared" si="10"/>
        <v>0.63</v>
      </c>
      <c r="J98" s="74">
        <v>1</v>
      </c>
      <c r="K98" s="136">
        <v>0.5</v>
      </c>
    </row>
    <row r="99" spans="2:11" x14ac:dyDescent="0.25">
      <c r="B99" s="74" t="s">
        <v>1139</v>
      </c>
      <c r="C99" s="74">
        <v>1</v>
      </c>
      <c r="D99" s="74">
        <f t="shared" si="13"/>
        <v>1.05</v>
      </c>
      <c r="E99" s="74">
        <f t="shared" si="14"/>
        <v>1.2</v>
      </c>
      <c r="F99" s="74">
        <f t="shared" si="8"/>
        <v>1.1000000000000001</v>
      </c>
      <c r="G99" s="74">
        <f t="shared" si="9"/>
        <v>1.39</v>
      </c>
      <c r="H99" s="74">
        <f t="shared" si="10"/>
        <v>1.39</v>
      </c>
      <c r="J99" s="74">
        <v>1.6</v>
      </c>
      <c r="K99" s="136">
        <v>0.5</v>
      </c>
    </row>
    <row r="100" spans="2:11" x14ac:dyDescent="0.25">
      <c r="B100" s="74" t="s">
        <v>1140</v>
      </c>
      <c r="C100" s="74">
        <v>1</v>
      </c>
      <c r="D100" s="74">
        <f t="shared" si="13"/>
        <v>1.05</v>
      </c>
      <c r="E100" s="74">
        <f t="shared" si="14"/>
        <v>1.2</v>
      </c>
      <c r="F100" s="74">
        <f t="shared" si="8"/>
        <v>1.4</v>
      </c>
      <c r="G100" s="74">
        <f t="shared" si="9"/>
        <v>1.76</v>
      </c>
      <c r="H100" s="74">
        <f t="shared" si="10"/>
        <v>1.76</v>
      </c>
      <c r="J100" s="74">
        <v>1.9</v>
      </c>
      <c r="K100" s="136">
        <v>0.5</v>
      </c>
    </row>
    <row r="101" spans="2:11" x14ac:dyDescent="0.25">
      <c r="B101" s="74" t="s">
        <v>1141</v>
      </c>
      <c r="C101" s="74">
        <v>1</v>
      </c>
      <c r="D101" s="74">
        <f t="shared" si="13"/>
        <v>1.05</v>
      </c>
      <c r="E101" s="74">
        <f t="shared" si="14"/>
        <v>1.2</v>
      </c>
      <c r="F101" s="74">
        <f t="shared" si="8"/>
        <v>1</v>
      </c>
      <c r="G101" s="74">
        <f t="shared" si="9"/>
        <v>1.26</v>
      </c>
      <c r="H101" s="74">
        <f t="shared" si="10"/>
        <v>1.26</v>
      </c>
      <c r="J101" s="74">
        <v>1.5</v>
      </c>
      <c r="K101" s="136">
        <v>0.5</v>
      </c>
    </row>
    <row r="102" spans="2:11" x14ac:dyDescent="0.25">
      <c r="B102" s="74" t="s">
        <v>1142</v>
      </c>
      <c r="C102" s="74">
        <v>1</v>
      </c>
      <c r="D102" s="74">
        <f t="shared" si="13"/>
        <v>1.05</v>
      </c>
      <c r="E102" s="74">
        <f t="shared" si="14"/>
        <v>1.2</v>
      </c>
      <c r="F102" s="74">
        <f t="shared" si="8"/>
        <v>0.8</v>
      </c>
      <c r="G102" s="74">
        <f t="shared" si="9"/>
        <v>1.01</v>
      </c>
      <c r="H102" s="74">
        <f t="shared" si="10"/>
        <v>1.01</v>
      </c>
      <c r="J102" s="74">
        <v>1.3</v>
      </c>
      <c r="K102" s="136">
        <v>0.5</v>
      </c>
    </row>
    <row r="103" spans="2:11" x14ac:dyDescent="0.25">
      <c r="B103" s="74" t="s">
        <v>1143</v>
      </c>
      <c r="C103" s="74">
        <v>1</v>
      </c>
      <c r="D103" s="74">
        <f t="shared" si="13"/>
        <v>1.05</v>
      </c>
      <c r="E103" s="74">
        <f t="shared" si="14"/>
        <v>1.2</v>
      </c>
      <c r="F103" s="74">
        <f t="shared" si="8"/>
        <v>0.75</v>
      </c>
      <c r="G103" s="74">
        <f t="shared" si="9"/>
        <v>0.95</v>
      </c>
      <c r="H103" s="74">
        <f t="shared" si="10"/>
        <v>0.95</v>
      </c>
      <c r="J103" s="74">
        <v>1.25</v>
      </c>
      <c r="K103" s="136">
        <v>0.5</v>
      </c>
    </row>
    <row r="104" spans="2:11" x14ac:dyDescent="0.25">
      <c r="B104" s="74"/>
      <c r="C104" s="74"/>
      <c r="D104" s="74"/>
      <c r="E104" s="74"/>
      <c r="F104" s="74"/>
      <c r="G104" s="74">
        <f t="shared" si="9"/>
        <v>0</v>
      </c>
      <c r="H104" s="74">
        <f t="shared" si="10"/>
        <v>0</v>
      </c>
      <c r="J104" s="74"/>
      <c r="K104" s="136"/>
    </row>
    <row r="105" spans="2:11" x14ac:dyDescent="0.25">
      <c r="B105" s="135" t="s">
        <v>1144</v>
      </c>
      <c r="C105" s="74"/>
      <c r="D105" s="74"/>
      <c r="E105" s="74"/>
      <c r="F105" s="74"/>
      <c r="G105" s="74">
        <f t="shared" si="9"/>
        <v>0</v>
      </c>
      <c r="H105" s="74">
        <f t="shared" si="10"/>
        <v>0</v>
      </c>
      <c r="J105" s="74"/>
      <c r="K105" s="136"/>
    </row>
    <row r="106" spans="2:11" x14ac:dyDescent="0.25">
      <c r="B106" s="74" t="s">
        <v>1138</v>
      </c>
      <c r="C106" s="74">
        <v>1</v>
      </c>
      <c r="D106" s="74">
        <f>1.15+0.3</f>
        <v>1.45</v>
      </c>
      <c r="E106" s="74">
        <f>1.1+0.3</f>
        <v>1.4000000000000001</v>
      </c>
      <c r="F106" s="74">
        <f t="shared" ref="F106:F144" si="15">J106-K106</f>
        <v>1.3</v>
      </c>
      <c r="G106" s="74">
        <f t="shared" si="9"/>
        <v>2.64</v>
      </c>
      <c r="H106" s="74">
        <f t="shared" si="10"/>
        <v>2.64</v>
      </c>
      <c r="J106" s="74">
        <v>1.8</v>
      </c>
      <c r="K106" s="136">
        <v>0.5</v>
      </c>
    </row>
    <row r="107" spans="2:11" x14ac:dyDescent="0.25">
      <c r="B107" s="74" t="s">
        <v>1125</v>
      </c>
      <c r="C107" s="74">
        <v>1</v>
      </c>
      <c r="D107" s="74">
        <f>0.95+0.3</f>
        <v>1.25</v>
      </c>
      <c r="E107" s="74">
        <f>1.1+0.3</f>
        <v>1.4000000000000001</v>
      </c>
      <c r="F107" s="74">
        <f t="shared" si="15"/>
        <v>1</v>
      </c>
      <c r="G107" s="74">
        <f t="shared" si="9"/>
        <v>1.75</v>
      </c>
      <c r="H107" s="74">
        <f t="shared" si="10"/>
        <v>1.75</v>
      </c>
      <c r="J107" s="74">
        <v>1.5</v>
      </c>
      <c r="K107" s="136">
        <v>0.5</v>
      </c>
    </row>
    <row r="108" spans="2:11" x14ac:dyDescent="0.25">
      <c r="B108" s="74" t="s">
        <v>1126</v>
      </c>
      <c r="C108" s="74">
        <v>1</v>
      </c>
      <c r="D108" s="74">
        <f>1.15+0.3</f>
        <v>1.45</v>
      </c>
      <c r="E108" s="74">
        <f>1.1+0.3</f>
        <v>1.4000000000000001</v>
      </c>
      <c r="F108" s="74">
        <f t="shared" si="15"/>
        <v>1.4</v>
      </c>
      <c r="G108" s="74">
        <f t="shared" si="9"/>
        <v>2.84</v>
      </c>
      <c r="H108" s="74">
        <f t="shared" si="10"/>
        <v>2.84</v>
      </c>
      <c r="J108" s="74">
        <v>1.9</v>
      </c>
      <c r="K108" s="136">
        <v>0.5</v>
      </c>
    </row>
    <row r="109" spans="2:11" x14ac:dyDescent="0.25">
      <c r="B109" s="74" t="s">
        <v>1127</v>
      </c>
      <c r="C109" s="74">
        <v>1</v>
      </c>
      <c r="D109" s="74">
        <f>1.05+0.3</f>
        <v>1.35</v>
      </c>
      <c r="E109" s="74">
        <f>1.5+0.3</f>
        <v>1.8</v>
      </c>
      <c r="F109" s="74">
        <f t="shared" si="15"/>
        <v>0.89999999999999991</v>
      </c>
      <c r="G109" s="74">
        <f t="shared" si="9"/>
        <v>2.19</v>
      </c>
      <c r="H109" s="74">
        <f t="shared" si="10"/>
        <v>2.19</v>
      </c>
      <c r="J109" s="74">
        <v>1.4</v>
      </c>
      <c r="K109" s="136">
        <v>0.5</v>
      </c>
    </row>
    <row r="110" spans="2:11" x14ac:dyDescent="0.25">
      <c r="B110" s="74" t="s">
        <v>1145</v>
      </c>
      <c r="C110" s="74">
        <v>2</v>
      </c>
      <c r="D110" s="74">
        <f>0.95+0.3</f>
        <v>1.25</v>
      </c>
      <c r="E110" s="74">
        <f>1.1+0.3</f>
        <v>1.4000000000000001</v>
      </c>
      <c r="F110" s="74">
        <f t="shared" si="15"/>
        <v>0.89999999999999991</v>
      </c>
      <c r="G110" s="74">
        <f t="shared" si="9"/>
        <v>1.58</v>
      </c>
      <c r="H110" s="74">
        <f t="shared" si="10"/>
        <v>3.16</v>
      </c>
      <c r="J110" s="74">
        <v>1.4</v>
      </c>
      <c r="K110" s="136">
        <v>0.5</v>
      </c>
    </row>
    <row r="111" spans="2:11" x14ac:dyDescent="0.25">
      <c r="B111" s="74" t="s">
        <v>1131</v>
      </c>
      <c r="C111" s="74">
        <v>1</v>
      </c>
      <c r="D111" s="74">
        <f>2.2+0.3</f>
        <v>2.5</v>
      </c>
      <c r="E111" s="74">
        <f>1.55+0.3</f>
        <v>1.85</v>
      </c>
      <c r="F111" s="74">
        <f t="shared" si="15"/>
        <v>1.5</v>
      </c>
      <c r="G111" s="74">
        <f t="shared" si="9"/>
        <v>6.94</v>
      </c>
      <c r="H111" s="74">
        <f t="shared" si="10"/>
        <v>6.94</v>
      </c>
      <c r="J111" s="74">
        <v>2</v>
      </c>
      <c r="K111" s="136">
        <v>0.5</v>
      </c>
    </row>
    <row r="112" spans="2:11" x14ac:dyDescent="0.25">
      <c r="B112" s="74" t="s">
        <v>1132</v>
      </c>
      <c r="C112" s="74">
        <v>1</v>
      </c>
      <c r="D112" s="74">
        <f>1.5+0.3</f>
        <v>1.8</v>
      </c>
      <c r="E112" s="74">
        <f>1.05+0.3</f>
        <v>1.35</v>
      </c>
      <c r="F112" s="74">
        <f t="shared" si="15"/>
        <v>0.85000000000000009</v>
      </c>
      <c r="G112" s="74">
        <f t="shared" si="9"/>
        <v>2.0699999999999998</v>
      </c>
      <c r="H112" s="74">
        <f t="shared" si="10"/>
        <v>2.0699999999999998</v>
      </c>
      <c r="J112" s="74">
        <v>1.35</v>
      </c>
      <c r="K112" s="136">
        <v>0.5</v>
      </c>
    </row>
    <row r="113" spans="2:11" x14ac:dyDescent="0.25">
      <c r="B113" s="74" t="s">
        <v>1133</v>
      </c>
      <c r="C113" s="74">
        <v>1</v>
      </c>
      <c r="D113" s="74">
        <f>0.95+0.3</f>
        <v>1.25</v>
      </c>
      <c r="E113" s="74">
        <f>1.2+0.3</f>
        <v>1.5</v>
      </c>
      <c r="F113" s="74">
        <f t="shared" si="15"/>
        <v>0.89999999999999991</v>
      </c>
      <c r="G113" s="74">
        <f t="shared" si="9"/>
        <v>1.69</v>
      </c>
      <c r="H113" s="74">
        <f t="shared" si="10"/>
        <v>1.69</v>
      </c>
      <c r="J113" s="74">
        <v>1.4</v>
      </c>
      <c r="K113" s="136">
        <v>0.5</v>
      </c>
    </row>
    <row r="114" spans="2:11" x14ac:dyDescent="0.25">
      <c r="B114" s="74" t="s">
        <v>1139</v>
      </c>
      <c r="C114" s="74">
        <v>1</v>
      </c>
      <c r="D114" s="74">
        <f>1.3+0.3</f>
        <v>1.6</v>
      </c>
      <c r="E114" s="74">
        <f>1.3+0.3</f>
        <v>1.6</v>
      </c>
      <c r="F114" s="74">
        <f t="shared" si="15"/>
        <v>0.95</v>
      </c>
      <c r="G114" s="74">
        <f t="shared" si="9"/>
        <v>2.4300000000000002</v>
      </c>
      <c r="H114" s="74">
        <f t="shared" si="10"/>
        <v>2.4300000000000002</v>
      </c>
      <c r="J114" s="74">
        <v>1.45</v>
      </c>
      <c r="K114" s="136">
        <v>0.5</v>
      </c>
    </row>
    <row r="115" spans="2:11" x14ac:dyDescent="0.25">
      <c r="B115" s="74" t="s">
        <v>1140</v>
      </c>
      <c r="C115" s="74">
        <v>1</v>
      </c>
      <c r="D115" s="74">
        <f>2+0.3</f>
        <v>2.2999999999999998</v>
      </c>
      <c r="E115" s="74">
        <f>2+0.3</f>
        <v>2.2999999999999998</v>
      </c>
      <c r="F115" s="74">
        <f t="shared" si="15"/>
        <v>1.1499999999999999</v>
      </c>
      <c r="G115" s="74">
        <f t="shared" si="9"/>
        <v>6.08</v>
      </c>
      <c r="H115" s="74">
        <f t="shared" si="10"/>
        <v>6.08</v>
      </c>
      <c r="J115" s="74">
        <v>1.65</v>
      </c>
      <c r="K115" s="136">
        <v>0.5</v>
      </c>
    </row>
    <row r="116" spans="2:11" x14ac:dyDescent="0.25">
      <c r="B116" s="74" t="s">
        <v>1146</v>
      </c>
      <c r="C116" s="74">
        <v>1</v>
      </c>
      <c r="D116" s="74">
        <f>2.4+0.3</f>
        <v>2.6999999999999997</v>
      </c>
      <c r="E116" s="74">
        <f>2.4+0.3</f>
        <v>2.6999999999999997</v>
      </c>
      <c r="F116" s="74">
        <f t="shared" si="15"/>
        <v>1.05</v>
      </c>
      <c r="G116" s="74">
        <f t="shared" si="9"/>
        <v>7.65</v>
      </c>
      <c r="H116" s="74">
        <f t="shared" si="10"/>
        <v>7.65</v>
      </c>
      <c r="J116" s="74">
        <v>1.55</v>
      </c>
      <c r="K116" s="136">
        <v>0.5</v>
      </c>
    </row>
    <row r="117" spans="2:11" x14ac:dyDescent="0.25">
      <c r="B117" s="74" t="s">
        <v>1141</v>
      </c>
      <c r="C117" s="74">
        <v>1</v>
      </c>
      <c r="D117" s="74">
        <f>1.6+0.3</f>
        <v>1.9000000000000001</v>
      </c>
      <c r="E117" s="74">
        <f>1.6+0.3</f>
        <v>1.9000000000000001</v>
      </c>
      <c r="F117" s="74">
        <f t="shared" si="15"/>
        <v>0.75</v>
      </c>
      <c r="G117" s="74">
        <f t="shared" si="9"/>
        <v>2.71</v>
      </c>
      <c r="H117" s="74">
        <f t="shared" si="10"/>
        <v>2.71</v>
      </c>
      <c r="J117" s="74">
        <v>1.25</v>
      </c>
      <c r="K117" s="136">
        <v>0.5</v>
      </c>
    </row>
    <row r="118" spans="2:11" x14ac:dyDescent="0.25">
      <c r="B118" s="74" t="s">
        <v>1142</v>
      </c>
      <c r="C118" s="74">
        <v>1</v>
      </c>
      <c r="D118" s="74">
        <f>1.85+0.3</f>
        <v>2.15</v>
      </c>
      <c r="E118" s="74">
        <f>1.3+0.3</f>
        <v>1.6</v>
      </c>
      <c r="F118" s="74">
        <f t="shared" si="15"/>
        <v>0.8</v>
      </c>
      <c r="G118" s="74">
        <f t="shared" si="9"/>
        <v>2.75</v>
      </c>
      <c r="H118" s="74">
        <f t="shared" si="10"/>
        <v>2.75</v>
      </c>
      <c r="J118" s="74">
        <v>1.3</v>
      </c>
      <c r="K118" s="136">
        <v>0.5</v>
      </c>
    </row>
    <row r="119" spans="2:11" x14ac:dyDescent="0.25">
      <c r="B119" s="74" t="s">
        <v>1147</v>
      </c>
      <c r="C119" s="74">
        <v>1</v>
      </c>
      <c r="D119" s="74">
        <f>1.25+0.3</f>
        <v>1.55</v>
      </c>
      <c r="E119" s="74">
        <f>1.8+0.3</f>
        <v>2.1</v>
      </c>
      <c r="F119" s="74">
        <f t="shared" si="15"/>
        <v>1.2</v>
      </c>
      <c r="G119" s="74">
        <f t="shared" si="9"/>
        <v>3.91</v>
      </c>
      <c r="H119" s="74">
        <f t="shared" si="10"/>
        <v>3.91</v>
      </c>
      <c r="J119" s="74">
        <v>1.7</v>
      </c>
      <c r="K119" s="136">
        <v>0.5</v>
      </c>
    </row>
    <row r="120" spans="2:11" x14ac:dyDescent="0.25">
      <c r="B120" s="74" t="s">
        <v>1148</v>
      </c>
      <c r="C120" s="74">
        <v>1</v>
      </c>
      <c r="D120" s="74">
        <f>1.3+0.3</f>
        <v>1.6</v>
      </c>
      <c r="E120" s="74">
        <f>0.9+0.3</f>
        <v>1.2</v>
      </c>
      <c r="F120" s="74">
        <f t="shared" si="15"/>
        <v>1.1499999999999999</v>
      </c>
      <c r="G120" s="74">
        <f t="shared" si="9"/>
        <v>2.21</v>
      </c>
      <c r="H120" s="74">
        <f t="shared" si="10"/>
        <v>2.21</v>
      </c>
      <c r="J120" s="74">
        <v>1.65</v>
      </c>
      <c r="K120" s="136">
        <v>0.5</v>
      </c>
    </row>
    <row r="121" spans="2:11" x14ac:dyDescent="0.25">
      <c r="B121" s="74" t="s">
        <v>1143</v>
      </c>
      <c r="C121" s="74">
        <v>1</v>
      </c>
      <c r="D121" s="74">
        <f>1.05+0.3</f>
        <v>1.35</v>
      </c>
      <c r="E121" s="74">
        <f>1.5+0.3</f>
        <v>1.8</v>
      </c>
      <c r="F121" s="74">
        <f t="shared" si="15"/>
        <v>0.85000000000000009</v>
      </c>
      <c r="G121" s="74">
        <f t="shared" si="9"/>
        <v>2.0699999999999998</v>
      </c>
      <c r="H121" s="74">
        <f t="shared" si="10"/>
        <v>2.0699999999999998</v>
      </c>
      <c r="J121" s="74">
        <v>1.35</v>
      </c>
      <c r="K121" s="136">
        <v>0.5</v>
      </c>
    </row>
    <row r="122" spans="2:11" x14ac:dyDescent="0.25">
      <c r="B122" s="74" t="s">
        <v>1149</v>
      </c>
      <c r="C122" s="74">
        <v>1</v>
      </c>
      <c r="D122" s="74">
        <f>1.25+0.3</f>
        <v>1.55</v>
      </c>
      <c r="E122" s="74">
        <f>1.4+0.3</f>
        <v>1.7</v>
      </c>
      <c r="F122" s="74">
        <f t="shared" si="15"/>
        <v>0.85000000000000009</v>
      </c>
      <c r="G122" s="74">
        <f t="shared" si="9"/>
        <v>2.2400000000000002</v>
      </c>
      <c r="H122" s="74">
        <f t="shared" si="10"/>
        <v>2.2400000000000002</v>
      </c>
      <c r="J122" s="74">
        <v>1.35</v>
      </c>
      <c r="K122" s="136">
        <v>0.5</v>
      </c>
    </row>
    <row r="123" spans="2:11" x14ac:dyDescent="0.25">
      <c r="B123" s="74" t="s">
        <v>1150</v>
      </c>
      <c r="C123" s="74">
        <v>1</v>
      </c>
      <c r="D123" s="74">
        <f>1.25+0.3</f>
        <v>1.55</v>
      </c>
      <c r="E123" s="74">
        <f>1.4+0.3</f>
        <v>1.7</v>
      </c>
      <c r="F123" s="74">
        <f t="shared" si="15"/>
        <v>0.85000000000000009</v>
      </c>
      <c r="G123" s="74">
        <f t="shared" si="9"/>
        <v>2.2400000000000002</v>
      </c>
      <c r="H123" s="74">
        <f t="shared" si="10"/>
        <v>2.2400000000000002</v>
      </c>
      <c r="J123" s="74">
        <v>1.35</v>
      </c>
      <c r="K123" s="136">
        <v>0.5</v>
      </c>
    </row>
    <row r="124" spans="2:11" x14ac:dyDescent="0.25">
      <c r="B124" s="74" t="s">
        <v>1151</v>
      </c>
      <c r="C124" s="74">
        <v>1</v>
      </c>
      <c r="D124" s="74">
        <f>1.8+0.3</f>
        <v>2.1</v>
      </c>
      <c r="E124" s="74">
        <f>1.2+0.3</f>
        <v>1.5</v>
      </c>
      <c r="F124" s="74">
        <f t="shared" si="15"/>
        <v>0.7</v>
      </c>
      <c r="G124" s="74">
        <f t="shared" si="9"/>
        <v>2.21</v>
      </c>
      <c r="H124" s="74">
        <f t="shared" si="10"/>
        <v>2.21</v>
      </c>
      <c r="J124" s="74">
        <v>1.2</v>
      </c>
      <c r="K124" s="136">
        <v>0.5</v>
      </c>
    </row>
    <row r="125" spans="2:11" x14ac:dyDescent="0.25">
      <c r="B125" s="74" t="s">
        <v>1152</v>
      </c>
      <c r="C125" s="74">
        <v>1</v>
      </c>
      <c r="D125" s="74">
        <f>2.5+0.3</f>
        <v>2.8</v>
      </c>
      <c r="E125" s="74">
        <f>1.7+0.3</f>
        <v>2</v>
      </c>
      <c r="F125" s="74">
        <f t="shared" si="15"/>
        <v>0.7</v>
      </c>
      <c r="G125" s="74">
        <f t="shared" si="9"/>
        <v>3.92</v>
      </c>
      <c r="H125" s="74">
        <f t="shared" si="10"/>
        <v>3.92</v>
      </c>
      <c r="J125" s="74">
        <v>1.2</v>
      </c>
      <c r="K125" s="136">
        <v>0.5</v>
      </c>
    </row>
    <row r="126" spans="2:11" x14ac:dyDescent="0.25">
      <c r="B126" s="74" t="s">
        <v>1153</v>
      </c>
      <c r="C126" s="74">
        <v>1</v>
      </c>
      <c r="D126" s="74">
        <f>1.3+0.3</f>
        <v>1.6</v>
      </c>
      <c r="E126" s="74">
        <f>1.9+0.3</f>
        <v>2.1999999999999997</v>
      </c>
      <c r="F126" s="74">
        <f t="shared" si="15"/>
        <v>0.89999999999999991</v>
      </c>
      <c r="G126" s="74">
        <f t="shared" si="9"/>
        <v>3.17</v>
      </c>
      <c r="H126" s="74">
        <f t="shared" si="10"/>
        <v>3.17</v>
      </c>
      <c r="J126" s="74">
        <v>1.4</v>
      </c>
      <c r="K126" s="136">
        <v>0.5</v>
      </c>
    </row>
    <row r="127" spans="2:11" x14ac:dyDescent="0.25">
      <c r="B127" s="74" t="s">
        <v>1154</v>
      </c>
      <c r="C127" s="74">
        <v>1</v>
      </c>
      <c r="D127" s="74">
        <f>2.3+0.3</f>
        <v>2.5999999999999996</v>
      </c>
      <c r="E127" s="74">
        <f>1.6+0.3</f>
        <v>1.9000000000000001</v>
      </c>
      <c r="F127" s="74">
        <f t="shared" si="15"/>
        <v>0.5</v>
      </c>
      <c r="G127" s="74">
        <f t="shared" si="9"/>
        <v>2.4700000000000002</v>
      </c>
      <c r="H127" s="74">
        <f t="shared" si="10"/>
        <v>2.4700000000000002</v>
      </c>
      <c r="J127" s="74">
        <v>1</v>
      </c>
      <c r="K127" s="136">
        <v>0.5</v>
      </c>
    </row>
    <row r="128" spans="2:11" x14ac:dyDescent="0.25">
      <c r="B128" s="74" t="s">
        <v>1155</v>
      </c>
      <c r="C128" s="74">
        <v>1</v>
      </c>
      <c r="D128" s="74">
        <f>2.3+0.3</f>
        <v>2.5999999999999996</v>
      </c>
      <c r="E128" s="74">
        <f>1.6+0.3</f>
        <v>1.9000000000000001</v>
      </c>
      <c r="F128" s="74">
        <f t="shared" si="15"/>
        <v>0.64999999999999991</v>
      </c>
      <c r="G128" s="74">
        <f t="shared" si="9"/>
        <v>3.21</v>
      </c>
      <c r="H128" s="74">
        <f t="shared" si="10"/>
        <v>3.21</v>
      </c>
      <c r="J128" s="74">
        <v>1.1499999999999999</v>
      </c>
      <c r="K128" s="136">
        <v>0.5</v>
      </c>
    </row>
    <row r="129" spans="2:11" x14ac:dyDescent="0.25">
      <c r="B129" s="74" t="s">
        <v>1156</v>
      </c>
      <c r="C129" s="74">
        <v>1</v>
      </c>
      <c r="D129" s="74">
        <f>0.9+0.3</f>
        <v>1.2</v>
      </c>
      <c r="E129" s="74">
        <f>1.1+0.3</f>
        <v>1.4000000000000001</v>
      </c>
      <c r="F129" s="74">
        <f t="shared" si="15"/>
        <v>0.75</v>
      </c>
      <c r="G129" s="74">
        <f t="shared" si="9"/>
        <v>1.26</v>
      </c>
      <c r="H129" s="74">
        <f t="shared" si="10"/>
        <v>1.26</v>
      </c>
      <c r="J129" s="74">
        <v>1.25</v>
      </c>
      <c r="K129" s="136">
        <v>0.5</v>
      </c>
    </row>
    <row r="130" spans="2:11" x14ac:dyDescent="0.25">
      <c r="B130" s="74" t="s">
        <v>1157</v>
      </c>
      <c r="C130" s="74">
        <v>1</v>
      </c>
      <c r="D130" s="74">
        <f>1.75+0.3</f>
        <v>2.0499999999999998</v>
      </c>
      <c r="E130" s="74">
        <f>1.2+0.3</f>
        <v>1.5</v>
      </c>
      <c r="F130" s="74">
        <f t="shared" si="15"/>
        <v>0.4</v>
      </c>
      <c r="G130" s="74">
        <f t="shared" si="9"/>
        <v>1.23</v>
      </c>
      <c r="H130" s="74">
        <f t="shared" si="10"/>
        <v>1.23</v>
      </c>
      <c r="J130" s="74">
        <v>0.9</v>
      </c>
      <c r="K130" s="136">
        <v>0.5</v>
      </c>
    </row>
    <row r="131" spans="2:11" x14ac:dyDescent="0.25">
      <c r="B131" s="74" t="s">
        <v>1158</v>
      </c>
      <c r="C131" s="74">
        <v>1</v>
      </c>
      <c r="D131" s="74">
        <f>1.5+0.3</f>
        <v>1.8</v>
      </c>
      <c r="E131" s="74">
        <f>1+0.3</f>
        <v>1.3</v>
      </c>
      <c r="F131" s="74">
        <f t="shared" si="15"/>
        <v>0.60000000000000009</v>
      </c>
      <c r="G131" s="74">
        <f t="shared" si="9"/>
        <v>1.4</v>
      </c>
      <c r="H131" s="74">
        <f t="shared" si="10"/>
        <v>1.4</v>
      </c>
      <c r="J131" s="74">
        <v>1.1000000000000001</v>
      </c>
      <c r="K131" s="136">
        <v>0.5</v>
      </c>
    </row>
    <row r="132" spans="2:11" x14ac:dyDescent="0.25">
      <c r="B132" s="74" t="s">
        <v>1159</v>
      </c>
      <c r="C132" s="74">
        <v>1</v>
      </c>
      <c r="D132" s="74">
        <f>1.1+0.3</f>
        <v>1.4000000000000001</v>
      </c>
      <c r="E132" s="74">
        <f>0.9+0.3</f>
        <v>1.2</v>
      </c>
      <c r="F132" s="74">
        <f t="shared" si="15"/>
        <v>0.8</v>
      </c>
      <c r="G132" s="74">
        <f t="shared" si="9"/>
        <v>1.34</v>
      </c>
      <c r="H132" s="74">
        <f t="shared" si="10"/>
        <v>1.34</v>
      </c>
      <c r="J132" s="74">
        <v>1.3</v>
      </c>
      <c r="K132" s="136">
        <v>0.5</v>
      </c>
    </row>
    <row r="133" spans="2:11" x14ac:dyDescent="0.25">
      <c r="B133" s="74" t="s">
        <v>1160</v>
      </c>
      <c r="C133" s="74">
        <v>1</v>
      </c>
      <c r="D133" s="74">
        <f>1.8+0.3</f>
        <v>2.1</v>
      </c>
      <c r="E133" s="74">
        <f>1.8+0.3</f>
        <v>2.1</v>
      </c>
      <c r="F133" s="74">
        <f t="shared" si="15"/>
        <v>0.95</v>
      </c>
      <c r="G133" s="74">
        <f t="shared" si="9"/>
        <v>4.1900000000000004</v>
      </c>
      <c r="H133" s="74">
        <f t="shared" si="10"/>
        <v>4.1900000000000004</v>
      </c>
      <c r="J133" s="74">
        <v>1.45</v>
      </c>
      <c r="K133" s="136">
        <v>0.5</v>
      </c>
    </row>
    <row r="134" spans="2:11" x14ac:dyDescent="0.25">
      <c r="B134" s="74" t="s">
        <v>1161</v>
      </c>
      <c r="C134" s="74">
        <v>1</v>
      </c>
      <c r="D134" s="74">
        <f>1.6+0.3</f>
        <v>1.9000000000000001</v>
      </c>
      <c r="E134" s="74">
        <f>1.1+0.3</f>
        <v>1.4000000000000001</v>
      </c>
      <c r="F134" s="74">
        <f t="shared" si="15"/>
        <v>1.1000000000000001</v>
      </c>
      <c r="G134" s="74">
        <f t="shared" si="9"/>
        <v>2.93</v>
      </c>
      <c r="H134" s="74">
        <f t="shared" si="10"/>
        <v>2.93</v>
      </c>
      <c r="J134" s="74">
        <v>1.6</v>
      </c>
      <c r="K134" s="136">
        <v>0.5</v>
      </c>
    </row>
    <row r="135" spans="2:11" x14ac:dyDescent="0.25">
      <c r="B135" s="74" t="s">
        <v>1162</v>
      </c>
      <c r="C135" s="74">
        <v>1</v>
      </c>
      <c r="D135" s="74">
        <f>1.2+0.3</f>
        <v>1.5</v>
      </c>
      <c r="E135" s="74">
        <f>1.75+0.3</f>
        <v>2.0499999999999998</v>
      </c>
      <c r="F135" s="74">
        <f t="shared" si="15"/>
        <v>0.7</v>
      </c>
      <c r="G135" s="74">
        <f t="shared" si="9"/>
        <v>2.15</v>
      </c>
      <c r="H135" s="74">
        <f t="shared" si="10"/>
        <v>2.15</v>
      </c>
      <c r="J135" s="74">
        <v>1.2</v>
      </c>
      <c r="K135" s="136">
        <v>0.5</v>
      </c>
    </row>
    <row r="136" spans="2:11" x14ac:dyDescent="0.25">
      <c r="B136" s="74" t="s">
        <v>1163</v>
      </c>
      <c r="C136" s="74">
        <v>1</v>
      </c>
      <c r="D136" s="74">
        <f>1.6+0.3</f>
        <v>1.9000000000000001</v>
      </c>
      <c r="E136" s="74">
        <f>1.15+0.3</f>
        <v>1.45</v>
      </c>
      <c r="F136" s="74">
        <f t="shared" si="15"/>
        <v>0.89999999999999991</v>
      </c>
      <c r="G136" s="74">
        <f t="shared" si="9"/>
        <v>2.48</v>
      </c>
      <c r="H136" s="74">
        <f t="shared" si="10"/>
        <v>2.48</v>
      </c>
      <c r="J136" s="74">
        <v>1.4</v>
      </c>
      <c r="K136" s="136">
        <v>0.5</v>
      </c>
    </row>
    <row r="137" spans="2:11" x14ac:dyDescent="0.25">
      <c r="B137" s="74" t="s">
        <v>1164</v>
      </c>
      <c r="C137" s="74">
        <v>1</v>
      </c>
      <c r="D137" s="74">
        <f>1.1+0.3</f>
        <v>1.4000000000000001</v>
      </c>
      <c r="E137" s="74">
        <f>0.85+0.3</f>
        <v>1.1499999999999999</v>
      </c>
      <c r="F137" s="74">
        <f t="shared" si="15"/>
        <v>1.1000000000000001</v>
      </c>
      <c r="G137" s="74">
        <f t="shared" si="9"/>
        <v>1.77</v>
      </c>
      <c r="H137" s="74">
        <f t="shared" si="10"/>
        <v>1.77</v>
      </c>
      <c r="J137" s="74">
        <v>1.6</v>
      </c>
      <c r="K137" s="136">
        <v>0.5</v>
      </c>
    </row>
    <row r="138" spans="2:11" x14ac:dyDescent="0.25">
      <c r="B138" s="74" t="s">
        <v>1165</v>
      </c>
      <c r="C138" s="74">
        <v>1</v>
      </c>
      <c r="D138" s="74">
        <f>1.7+0.3</f>
        <v>2</v>
      </c>
      <c r="E138" s="74">
        <f>1.15+0.3</f>
        <v>1.45</v>
      </c>
      <c r="F138" s="74">
        <f t="shared" si="15"/>
        <v>0.64999999999999991</v>
      </c>
      <c r="G138" s="74">
        <f t="shared" si="9"/>
        <v>1.89</v>
      </c>
      <c r="H138" s="74">
        <f t="shared" si="10"/>
        <v>1.89</v>
      </c>
      <c r="J138" s="74">
        <v>1.1499999999999999</v>
      </c>
      <c r="K138" s="136">
        <v>0.5</v>
      </c>
    </row>
    <row r="139" spans="2:11" x14ac:dyDescent="0.25">
      <c r="B139" s="74" t="s">
        <v>1166</v>
      </c>
      <c r="C139" s="74">
        <v>1</v>
      </c>
      <c r="D139" s="74">
        <f>0.95+0.3</f>
        <v>1.25</v>
      </c>
      <c r="E139" s="74">
        <f>0.95+0.3</f>
        <v>1.25</v>
      </c>
      <c r="F139" s="74">
        <f t="shared" si="15"/>
        <v>0.7</v>
      </c>
      <c r="G139" s="74">
        <f t="shared" si="9"/>
        <v>1.0900000000000001</v>
      </c>
      <c r="H139" s="74">
        <f t="shared" si="10"/>
        <v>1.0900000000000001</v>
      </c>
      <c r="J139" s="74">
        <v>1.2</v>
      </c>
      <c r="K139" s="136">
        <v>0.5</v>
      </c>
    </row>
    <row r="140" spans="2:11" x14ac:dyDescent="0.25">
      <c r="B140" s="74" t="s">
        <v>1167</v>
      </c>
      <c r="C140" s="74">
        <v>2</v>
      </c>
      <c r="D140" s="74">
        <f>1+0.3</f>
        <v>1.3</v>
      </c>
      <c r="E140" s="74">
        <f>0.85+0.3</f>
        <v>1.1499999999999999</v>
      </c>
      <c r="F140" s="74">
        <f t="shared" si="15"/>
        <v>0.95</v>
      </c>
      <c r="G140" s="74">
        <f t="shared" si="9"/>
        <v>1.42</v>
      </c>
      <c r="H140" s="74">
        <f t="shared" si="10"/>
        <v>2.84</v>
      </c>
      <c r="J140" s="74">
        <v>1.45</v>
      </c>
      <c r="K140" s="136">
        <v>0.5</v>
      </c>
    </row>
    <row r="141" spans="2:11" x14ac:dyDescent="0.25">
      <c r="B141" s="74" t="s">
        <v>1168</v>
      </c>
      <c r="C141" s="74">
        <v>1</v>
      </c>
      <c r="D141" s="74">
        <f>1.1+0.3</f>
        <v>1.4000000000000001</v>
      </c>
      <c r="E141" s="74">
        <f>1+0.3</f>
        <v>1.3</v>
      </c>
      <c r="F141" s="74">
        <f t="shared" si="15"/>
        <v>1.2</v>
      </c>
      <c r="G141" s="74">
        <f t="shared" si="9"/>
        <v>2.1800000000000002</v>
      </c>
      <c r="H141" s="74">
        <f t="shared" si="10"/>
        <v>2.1800000000000002</v>
      </c>
      <c r="J141" s="74">
        <v>1.7</v>
      </c>
      <c r="K141" s="136">
        <v>0.5</v>
      </c>
    </row>
    <row r="142" spans="2:11" x14ac:dyDescent="0.25">
      <c r="B142" s="74" t="s">
        <v>1169</v>
      </c>
      <c r="C142" s="74">
        <v>1</v>
      </c>
      <c r="D142" s="74">
        <f>1.1+0.3</f>
        <v>1.4000000000000001</v>
      </c>
      <c r="E142" s="74">
        <f>0.9+0.3</f>
        <v>1.2</v>
      </c>
      <c r="F142" s="74">
        <f t="shared" si="15"/>
        <v>0.89999999999999991</v>
      </c>
      <c r="G142" s="74">
        <f t="shared" si="9"/>
        <v>1.51</v>
      </c>
      <c r="H142" s="74">
        <f t="shared" si="10"/>
        <v>1.51</v>
      </c>
      <c r="J142" s="74">
        <v>1.4</v>
      </c>
      <c r="K142" s="136">
        <v>0.5</v>
      </c>
    </row>
    <row r="143" spans="2:11" x14ac:dyDescent="0.25">
      <c r="B143" s="74" t="s">
        <v>1170</v>
      </c>
      <c r="C143" s="74">
        <v>1</v>
      </c>
      <c r="D143" s="74">
        <f>1.1+0.3</f>
        <v>1.4000000000000001</v>
      </c>
      <c r="E143" s="74">
        <f>0.9+0.3</f>
        <v>1.2</v>
      </c>
      <c r="F143" s="74">
        <f t="shared" si="15"/>
        <v>0.8</v>
      </c>
      <c r="G143" s="74">
        <f t="shared" si="9"/>
        <v>1.34</v>
      </c>
      <c r="H143" s="74">
        <f t="shared" si="10"/>
        <v>1.34</v>
      </c>
      <c r="J143" s="74">
        <v>1.3</v>
      </c>
      <c r="K143" s="136">
        <v>0.5</v>
      </c>
    </row>
    <row r="144" spans="2:11" x14ac:dyDescent="0.25">
      <c r="B144" s="74" t="s">
        <v>1171</v>
      </c>
      <c r="C144" s="74">
        <v>2</v>
      </c>
      <c r="D144" s="74">
        <f>1.1+0.3</f>
        <v>1.4000000000000001</v>
      </c>
      <c r="E144" s="74">
        <f>0.9+0.3</f>
        <v>1.2</v>
      </c>
      <c r="F144" s="74">
        <f t="shared" si="15"/>
        <v>0.89999999999999991</v>
      </c>
      <c r="G144" s="74">
        <f t="shared" si="9"/>
        <v>1.51</v>
      </c>
      <c r="H144" s="74">
        <f t="shared" si="10"/>
        <v>3.02</v>
      </c>
      <c r="J144" s="74">
        <v>1.4</v>
      </c>
      <c r="K144" s="136">
        <v>0.5</v>
      </c>
    </row>
    <row r="145" spans="1:9" x14ac:dyDescent="0.25">
      <c r="B145" s="136"/>
      <c r="C145" s="136"/>
      <c r="D145" s="136"/>
      <c r="E145" s="136"/>
      <c r="F145" s="136"/>
      <c r="G145" s="136"/>
      <c r="H145" s="136"/>
    </row>
    <row r="146" spans="1:9" x14ac:dyDescent="0.25">
      <c r="A146" s="139">
        <v>4</v>
      </c>
      <c r="B146" s="140" t="str">
        <f>'[1]BM_02.'!B38</f>
        <v>INFRAESTRUTURA</v>
      </c>
      <c r="C146" s="141"/>
      <c r="D146" s="141"/>
      <c r="E146" s="141"/>
      <c r="F146" s="141"/>
      <c r="G146" s="141"/>
      <c r="H146" s="141"/>
      <c r="I146" s="142"/>
    </row>
    <row r="147" spans="1:9" x14ac:dyDescent="0.25">
      <c r="B147" s="136"/>
      <c r="C147" s="136"/>
      <c r="D147" s="136"/>
      <c r="E147" s="136"/>
      <c r="F147" s="136"/>
      <c r="G147" s="136"/>
      <c r="H147" s="136"/>
    </row>
    <row r="148" spans="1:9" ht="24.75" customHeight="1" x14ac:dyDescent="0.25">
      <c r="A148" s="86" t="s">
        <v>1173</v>
      </c>
      <c r="B148" s="266" t="str">
        <f>'[1]BM_02.'!B39</f>
        <v>LASTRO DE CONCRETO MAGRO, APLICADO EM BLOCOS DE COROAMENTO OU SAPATAS, ESPESSURA DE 5 CM. AF_08/2017</v>
      </c>
      <c r="C148" s="266"/>
      <c r="D148" s="266"/>
      <c r="E148" s="266"/>
      <c r="F148" s="266"/>
      <c r="G148" s="266"/>
      <c r="H148" s="87">
        <f>SUM(H151:H198)</f>
        <v>103.36999999999998</v>
      </c>
      <c r="I148" s="134" t="s">
        <v>1054</v>
      </c>
    </row>
    <row r="149" spans="1:9" x14ac:dyDescent="0.25">
      <c r="B149" s="136"/>
      <c r="C149" s="136"/>
      <c r="D149" s="136"/>
      <c r="E149" s="136"/>
      <c r="F149" s="136"/>
      <c r="G149" s="136"/>
      <c r="H149" s="136"/>
    </row>
    <row r="150" spans="1:9" x14ac:dyDescent="0.25">
      <c r="B150" s="135" t="s">
        <v>1120</v>
      </c>
      <c r="C150" s="74"/>
      <c r="D150" s="74"/>
      <c r="E150" s="74"/>
      <c r="F150" s="136"/>
      <c r="G150" s="136"/>
      <c r="H150" s="136"/>
    </row>
    <row r="151" spans="1:9" x14ac:dyDescent="0.25">
      <c r="B151" s="74" t="s">
        <v>1123</v>
      </c>
      <c r="C151" s="74">
        <v>1</v>
      </c>
      <c r="D151" s="74">
        <v>2</v>
      </c>
      <c r="E151" s="74">
        <v>1.1499999999999999</v>
      </c>
      <c r="F151" s="74"/>
      <c r="G151" s="74">
        <f>ROUND(D151*E151,2)</f>
        <v>2.2999999999999998</v>
      </c>
      <c r="H151" s="74">
        <f>C151*G151</f>
        <v>2.2999999999999998</v>
      </c>
    </row>
    <row r="152" spans="1:9" x14ac:dyDescent="0.25">
      <c r="B152" s="74" t="s">
        <v>1124</v>
      </c>
      <c r="C152" s="74">
        <v>1</v>
      </c>
      <c r="D152" s="74">
        <v>1.3</v>
      </c>
      <c r="E152" s="74">
        <v>2.1</v>
      </c>
      <c r="F152" s="74"/>
      <c r="G152" s="74">
        <f t="shared" ref="G152:G198" si="16">ROUND(D152*E152,2)</f>
        <v>2.73</v>
      </c>
      <c r="H152" s="74">
        <f t="shared" ref="H152:H198" si="17">C152*G152</f>
        <v>2.73</v>
      </c>
    </row>
    <row r="153" spans="1:9" x14ac:dyDescent="0.25">
      <c r="B153" s="74" t="s">
        <v>1174</v>
      </c>
      <c r="C153" s="74">
        <v>10</v>
      </c>
      <c r="D153" s="74">
        <v>0.9</v>
      </c>
      <c r="E153" s="74">
        <v>0.75</v>
      </c>
      <c r="F153" s="74"/>
      <c r="G153" s="74">
        <f t="shared" si="16"/>
        <v>0.68</v>
      </c>
      <c r="H153" s="74">
        <f t="shared" si="17"/>
        <v>6.8000000000000007</v>
      </c>
    </row>
    <row r="154" spans="1:9" x14ac:dyDescent="0.25">
      <c r="B154" s="74" t="s">
        <v>1135</v>
      </c>
      <c r="C154" s="74">
        <v>1</v>
      </c>
      <c r="D154" s="74">
        <v>0.75</v>
      </c>
      <c r="E154" s="74">
        <v>0.9</v>
      </c>
      <c r="F154" s="74"/>
      <c r="G154" s="74">
        <f t="shared" si="16"/>
        <v>0.68</v>
      </c>
      <c r="H154" s="74">
        <f t="shared" si="17"/>
        <v>0.68</v>
      </c>
    </row>
    <row r="155" spans="1:9" x14ac:dyDescent="0.25">
      <c r="B155" s="74" t="s">
        <v>1136</v>
      </c>
      <c r="C155" s="74">
        <v>3</v>
      </c>
      <c r="D155" s="74">
        <v>1.2</v>
      </c>
      <c r="E155" s="74">
        <v>0.85</v>
      </c>
      <c r="F155" s="74"/>
      <c r="G155" s="74">
        <f t="shared" si="16"/>
        <v>1.02</v>
      </c>
      <c r="H155" s="74">
        <f t="shared" si="17"/>
        <v>3.06</v>
      </c>
    </row>
    <row r="156" spans="1:9" x14ac:dyDescent="0.25">
      <c r="B156" s="74" t="s">
        <v>1137</v>
      </c>
      <c r="C156" s="74">
        <v>4</v>
      </c>
      <c r="D156" s="74">
        <v>0.85</v>
      </c>
      <c r="E156" s="74">
        <v>1.2</v>
      </c>
      <c r="F156" s="74"/>
      <c r="G156" s="74">
        <f t="shared" si="16"/>
        <v>1.02</v>
      </c>
      <c r="H156" s="74">
        <f t="shared" si="17"/>
        <v>4.08</v>
      </c>
    </row>
    <row r="157" spans="1:9" x14ac:dyDescent="0.25">
      <c r="B157" s="74" t="s">
        <v>1175</v>
      </c>
      <c r="C157" s="74">
        <v>6</v>
      </c>
      <c r="D157" s="74">
        <v>0.75</v>
      </c>
      <c r="E157" s="74">
        <v>0.9</v>
      </c>
      <c r="F157" s="74"/>
      <c r="G157" s="74">
        <f t="shared" si="16"/>
        <v>0.68</v>
      </c>
      <c r="H157" s="74">
        <f t="shared" si="17"/>
        <v>4.08</v>
      </c>
    </row>
    <row r="158" spans="1:9" x14ac:dyDescent="0.25">
      <c r="B158" s="74"/>
      <c r="C158" s="74"/>
      <c r="D158" s="74"/>
      <c r="E158" s="74"/>
      <c r="F158" s="74"/>
      <c r="G158" s="74">
        <f t="shared" si="16"/>
        <v>0</v>
      </c>
      <c r="H158" s="74">
        <f t="shared" si="17"/>
        <v>0</v>
      </c>
    </row>
    <row r="159" spans="1:9" x14ac:dyDescent="0.25">
      <c r="B159" s="135" t="s">
        <v>1144</v>
      </c>
      <c r="C159" s="74"/>
      <c r="D159" s="74"/>
      <c r="E159" s="74"/>
      <c r="F159" s="74"/>
      <c r="G159" s="74">
        <f t="shared" si="16"/>
        <v>0</v>
      </c>
      <c r="H159" s="74">
        <f t="shared" si="17"/>
        <v>0</v>
      </c>
    </row>
    <row r="160" spans="1:9" x14ac:dyDescent="0.25">
      <c r="B160" s="74" t="s">
        <v>1138</v>
      </c>
      <c r="C160" s="74">
        <v>1</v>
      </c>
      <c r="D160" s="74">
        <v>1.1499999999999999</v>
      </c>
      <c r="E160" s="74">
        <v>1.1000000000000001</v>
      </c>
      <c r="F160" s="74"/>
      <c r="G160" s="74">
        <f t="shared" si="16"/>
        <v>1.27</v>
      </c>
      <c r="H160" s="74">
        <f t="shared" si="17"/>
        <v>1.27</v>
      </c>
    </row>
    <row r="161" spans="2:8" x14ac:dyDescent="0.25">
      <c r="B161" s="74" t="s">
        <v>1125</v>
      </c>
      <c r="C161" s="74">
        <v>1</v>
      </c>
      <c r="D161" s="74">
        <v>0.95</v>
      </c>
      <c r="E161" s="74">
        <v>1.1000000000000001</v>
      </c>
      <c r="F161" s="74"/>
      <c r="G161" s="74">
        <f t="shared" si="16"/>
        <v>1.05</v>
      </c>
      <c r="H161" s="74">
        <f t="shared" si="17"/>
        <v>1.05</v>
      </c>
    </row>
    <row r="162" spans="2:8" x14ac:dyDescent="0.25">
      <c r="B162" s="74" t="s">
        <v>1126</v>
      </c>
      <c r="C162" s="74">
        <v>1</v>
      </c>
      <c r="D162" s="74">
        <v>1.1499999999999999</v>
      </c>
      <c r="E162" s="74">
        <v>1.1000000000000001</v>
      </c>
      <c r="F162" s="74"/>
      <c r="G162" s="74">
        <f t="shared" si="16"/>
        <v>1.27</v>
      </c>
      <c r="H162" s="74">
        <f t="shared" si="17"/>
        <v>1.27</v>
      </c>
    </row>
    <row r="163" spans="2:8" x14ac:dyDescent="0.25">
      <c r="B163" s="74" t="s">
        <v>1127</v>
      </c>
      <c r="C163" s="74">
        <v>1</v>
      </c>
      <c r="D163" s="74">
        <v>1.05</v>
      </c>
      <c r="E163" s="74">
        <v>1.5</v>
      </c>
      <c r="F163" s="74"/>
      <c r="G163" s="74">
        <f t="shared" si="16"/>
        <v>1.58</v>
      </c>
      <c r="H163" s="74">
        <f t="shared" si="17"/>
        <v>1.58</v>
      </c>
    </row>
    <row r="164" spans="2:8" x14ac:dyDescent="0.25">
      <c r="B164" s="74" t="s">
        <v>1145</v>
      </c>
      <c r="C164" s="74">
        <v>2</v>
      </c>
      <c r="D164" s="74">
        <v>0.95</v>
      </c>
      <c r="E164" s="74">
        <v>1.1000000000000001</v>
      </c>
      <c r="F164" s="74"/>
      <c r="G164" s="74">
        <f t="shared" si="16"/>
        <v>1.05</v>
      </c>
      <c r="H164" s="74">
        <f t="shared" si="17"/>
        <v>2.1</v>
      </c>
    </row>
    <row r="165" spans="2:8" x14ac:dyDescent="0.25">
      <c r="B165" s="74" t="s">
        <v>1131</v>
      </c>
      <c r="C165" s="74">
        <v>1</v>
      </c>
      <c r="D165" s="74">
        <v>2.2000000000000002</v>
      </c>
      <c r="E165" s="74">
        <v>1.55</v>
      </c>
      <c r="F165" s="74"/>
      <c r="G165" s="74">
        <f t="shared" si="16"/>
        <v>3.41</v>
      </c>
      <c r="H165" s="74">
        <f t="shared" si="17"/>
        <v>3.41</v>
      </c>
    </row>
    <row r="166" spans="2:8" x14ac:dyDescent="0.25">
      <c r="B166" s="74" t="s">
        <v>1132</v>
      </c>
      <c r="C166" s="74">
        <v>1</v>
      </c>
      <c r="D166" s="74">
        <v>1.5</v>
      </c>
      <c r="E166" s="74">
        <v>1.05</v>
      </c>
      <c r="F166" s="74"/>
      <c r="G166" s="74">
        <f t="shared" si="16"/>
        <v>1.58</v>
      </c>
      <c r="H166" s="74">
        <f t="shared" si="17"/>
        <v>1.58</v>
      </c>
    </row>
    <row r="167" spans="2:8" x14ac:dyDescent="0.25">
      <c r="B167" s="74" t="s">
        <v>1133</v>
      </c>
      <c r="C167" s="74">
        <v>1</v>
      </c>
      <c r="D167" s="74">
        <v>0.95</v>
      </c>
      <c r="E167" s="74">
        <v>1.2</v>
      </c>
      <c r="F167" s="74"/>
      <c r="G167" s="74">
        <f t="shared" si="16"/>
        <v>1.1399999999999999</v>
      </c>
      <c r="H167" s="74">
        <f t="shared" si="17"/>
        <v>1.1399999999999999</v>
      </c>
    </row>
    <row r="168" spans="2:8" x14ac:dyDescent="0.25">
      <c r="B168" s="74" t="s">
        <v>1139</v>
      </c>
      <c r="C168" s="74">
        <v>1</v>
      </c>
      <c r="D168" s="74">
        <v>1.3</v>
      </c>
      <c r="E168" s="74">
        <v>1.3</v>
      </c>
      <c r="F168" s="74"/>
      <c r="G168" s="74">
        <f t="shared" si="16"/>
        <v>1.69</v>
      </c>
      <c r="H168" s="74">
        <f t="shared" si="17"/>
        <v>1.69</v>
      </c>
    </row>
    <row r="169" spans="2:8" x14ac:dyDescent="0.25">
      <c r="B169" s="74" t="s">
        <v>1140</v>
      </c>
      <c r="C169" s="74">
        <v>1</v>
      </c>
      <c r="D169" s="74">
        <v>2</v>
      </c>
      <c r="E169" s="74">
        <v>2</v>
      </c>
      <c r="F169" s="74"/>
      <c r="G169" s="74">
        <f t="shared" si="16"/>
        <v>4</v>
      </c>
      <c r="H169" s="74">
        <f t="shared" si="17"/>
        <v>4</v>
      </c>
    </row>
    <row r="170" spans="2:8" x14ac:dyDescent="0.25">
      <c r="B170" s="74" t="s">
        <v>1146</v>
      </c>
      <c r="C170" s="74">
        <v>1</v>
      </c>
      <c r="D170" s="74">
        <v>2.4</v>
      </c>
      <c r="E170" s="74">
        <v>2.4</v>
      </c>
      <c r="F170" s="74"/>
      <c r="G170" s="74">
        <f t="shared" si="16"/>
        <v>5.76</v>
      </c>
      <c r="H170" s="74">
        <f t="shared" si="17"/>
        <v>5.76</v>
      </c>
    </row>
    <row r="171" spans="2:8" x14ac:dyDescent="0.25">
      <c r="B171" s="74" t="s">
        <v>1141</v>
      </c>
      <c r="C171" s="74">
        <v>1</v>
      </c>
      <c r="D171" s="74">
        <v>1.6</v>
      </c>
      <c r="E171" s="74">
        <v>1.6</v>
      </c>
      <c r="F171" s="74"/>
      <c r="G171" s="74">
        <f t="shared" si="16"/>
        <v>2.56</v>
      </c>
      <c r="H171" s="74">
        <f t="shared" si="17"/>
        <v>2.56</v>
      </c>
    </row>
    <row r="172" spans="2:8" x14ac:dyDescent="0.25">
      <c r="B172" s="74" t="s">
        <v>1142</v>
      </c>
      <c r="C172" s="74">
        <v>1</v>
      </c>
      <c r="D172" s="74">
        <v>1.85</v>
      </c>
      <c r="E172" s="74">
        <v>1.3</v>
      </c>
      <c r="F172" s="74"/>
      <c r="G172" s="74">
        <f t="shared" si="16"/>
        <v>2.41</v>
      </c>
      <c r="H172" s="74">
        <f t="shared" si="17"/>
        <v>2.41</v>
      </c>
    </row>
    <row r="173" spans="2:8" x14ac:dyDescent="0.25">
      <c r="B173" s="74" t="s">
        <v>1147</v>
      </c>
      <c r="C173" s="74">
        <v>1</v>
      </c>
      <c r="D173" s="74">
        <v>1.25</v>
      </c>
      <c r="E173" s="74">
        <v>1.8</v>
      </c>
      <c r="F173" s="74"/>
      <c r="G173" s="74">
        <f t="shared" si="16"/>
        <v>2.25</v>
      </c>
      <c r="H173" s="74">
        <f t="shared" si="17"/>
        <v>2.25</v>
      </c>
    </row>
    <row r="174" spans="2:8" x14ac:dyDescent="0.25">
      <c r="B174" s="74" t="s">
        <v>1148</v>
      </c>
      <c r="C174" s="74">
        <v>1</v>
      </c>
      <c r="D174" s="74">
        <v>1.3</v>
      </c>
      <c r="E174" s="74">
        <v>0.9</v>
      </c>
      <c r="F174" s="74"/>
      <c r="G174" s="74">
        <f t="shared" si="16"/>
        <v>1.17</v>
      </c>
      <c r="H174" s="74">
        <f t="shared" si="17"/>
        <v>1.17</v>
      </c>
    </row>
    <row r="175" spans="2:8" x14ac:dyDescent="0.25">
      <c r="B175" s="74" t="s">
        <v>1143</v>
      </c>
      <c r="C175" s="74">
        <v>1</v>
      </c>
      <c r="D175" s="74">
        <v>1.05</v>
      </c>
      <c r="E175" s="74">
        <v>1.5</v>
      </c>
      <c r="F175" s="74"/>
      <c r="G175" s="74">
        <f t="shared" si="16"/>
        <v>1.58</v>
      </c>
      <c r="H175" s="74">
        <f t="shared" si="17"/>
        <v>1.58</v>
      </c>
    </row>
    <row r="176" spans="2:8" x14ac:dyDescent="0.25">
      <c r="B176" s="74" t="s">
        <v>1149</v>
      </c>
      <c r="C176" s="74">
        <v>1</v>
      </c>
      <c r="D176" s="74">
        <v>1.25</v>
      </c>
      <c r="E176" s="74">
        <v>1.4</v>
      </c>
      <c r="F176" s="74"/>
      <c r="G176" s="74">
        <f t="shared" si="16"/>
        <v>1.75</v>
      </c>
      <c r="H176" s="74">
        <f t="shared" si="17"/>
        <v>1.75</v>
      </c>
    </row>
    <row r="177" spans="2:8" x14ac:dyDescent="0.25">
      <c r="B177" s="74" t="s">
        <v>1150</v>
      </c>
      <c r="C177" s="74">
        <v>1</v>
      </c>
      <c r="D177" s="74">
        <v>1.25</v>
      </c>
      <c r="E177" s="74">
        <v>1.4</v>
      </c>
      <c r="F177" s="74"/>
      <c r="G177" s="74">
        <f t="shared" si="16"/>
        <v>1.75</v>
      </c>
      <c r="H177" s="74">
        <f t="shared" si="17"/>
        <v>1.75</v>
      </c>
    </row>
    <row r="178" spans="2:8" x14ac:dyDescent="0.25">
      <c r="B178" s="74" t="s">
        <v>1151</v>
      </c>
      <c r="C178" s="74">
        <v>1</v>
      </c>
      <c r="D178" s="74">
        <v>1.8</v>
      </c>
      <c r="E178" s="74">
        <v>1.2</v>
      </c>
      <c r="F178" s="74"/>
      <c r="G178" s="74">
        <f t="shared" si="16"/>
        <v>2.16</v>
      </c>
      <c r="H178" s="74">
        <f t="shared" si="17"/>
        <v>2.16</v>
      </c>
    </row>
    <row r="179" spans="2:8" x14ac:dyDescent="0.25">
      <c r="B179" s="74" t="s">
        <v>1152</v>
      </c>
      <c r="C179" s="74">
        <v>1</v>
      </c>
      <c r="D179" s="74">
        <v>2.5</v>
      </c>
      <c r="E179" s="74">
        <v>1.7</v>
      </c>
      <c r="F179" s="74"/>
      <c r="G179" s="74">
        <f t="shared" si="16"/>
        <v>4.25</v>
      </c>
      <c r="H179" s="74">
        <f t="shared" si="17"/>
        <v>4.25</v>
      </c>
    </row>
    <row r="180" spans="2:8" x14ac:dyDescent="0.25">
      <c r="B180" s="74" t="s">
        <v>1153</v>
      </c>
      <c r="C180" s="74">
        <v>1</v>
      </c>
      <c r="D180" s="74">
        <v>1.3</v>
      </c>
      <c r="E180" s="74">
        <v>1.9</v>
      </c>
      <c r="F180" s="74"/>
      <c r="G180" s="74">
        <f t="shared" si="16"/>
        <v>2.4700000000000002</v>
      </c>
      <c r="H180" s="74">
        <f t="shared" si="17"/>
        <v>2.4700000000000002</v>
      </c>
    </row>
    <row r="181" spans="2:8" x14ac:dyDescent="0.25">
      <c r="B181" s="74" t="s">
        <v>1154</v>
      </c>
      <c r="C181" s="74">
        <v>1</v>
      </c>
      <c r="D181" s="74">
        <v>2.2999999999999998</v>
      </c>
      <c r="E181" s="74">
        <v>1.6</v>
      </c>
      <c r="F181" s="74"/>
      <c r="G181" s="74">
        <f t="shared" si="16"/>
        <v>3.68</v>
      </c>
      <c r="H181" s="74">
        <f t="shared" si="17"/>
        <v>3.68</v>
      </c>
    </row>
    <row r="182" spans="2:8" x14ac:dyDescent="0.25">
      <c r="B182" s="74" t="s">
        <v>1155</v>
      </c>
      <c r="C182" s="74">
        <v>1</v>
      </c>
      <c r="D182" s="74">
        <v>2.2999999999999998</v>
      </c>
      <c r="E182" s="74">
        <v>1.6</v>
      </c>
      <c r="F182" s="74"/>
      <c r="G182" s="74">
        <f t="shared" si="16"/>
        <v>3.68</v>
      </c>
      <c r="H182" s="74">
        <f t="shared" si="17"/>
        <v>3.68</v>
      </c>
    </row>
    <row r="183" spans="2:8" x14ac:dyDescent="0.25">
      <c r="B183" s="74" t="s">
        <v>1156</v>
      </c>
      <c r="C183" s="74">
        <v>1</v>
      </c>
      <c r="D183" s="74">
        <v>0.9</v>
      </c>
      <c r="E183" s="74">
        <v>1.1000000000000001</v>
      </c>
      <c r="F183" s="74"/>
      <c r="G183" s="74">
        <f t="shared" si="16"/>
        <v>0.99</v>
      </c>
      <c r="H183" s="74">
        <f t="shared" si="17"/>
        <v>0.99</v>
      </c>
    </row>
    <row r="184" spans="2:8" x14ac:dyDescent="0.25">
      <c r="B184" s="74" t="s">
        <v>1157</v>
      </c>
      <c r="C184" s="74">
        <v>1</v>
      </c>
      <c r="D184" s="74">
        <v>1.75</v>
      </c>
      <c r="E184" s="74">
        <v>1.2</v>
      </c>
      <c r="F184" s="74"/>
      <c r="G184" s="74">
        <f t="shared" si="16"/>
        <v>2.1</v>
      </c>
      <c r="H184" s="74">
        <f t="shared" si="17"/>
        <v>2.1</v>
      </c>
    </row>
    <row r="185" spans="2:8" x14ac:dyDescent="0.25">
      <c r="B185" s="74" t="s">
        <v>1158</v>
      </c>
      <c r="C185" s="74">
        <v>1</v>
      </c>
      <c r="D185" s="74">
        <v>1.5</v>
      </c>
      <c r="E185" s="74">
        <v>1</v>
      </c>
      <c r="F185" s="74"/>
      <c r="G185" s="74">
        <f t="shared" si="16"/>
        <v>1.5</v>
      </c>
      <c r="H185" s="74">
        <f t="shared" si="17"/>
        <v>1.5</v>
      </c>
    </row>
    <row r="186" spans="2:8" x14ac:dyDescent="0.25">
      <c r="B186" s="74" t="s">
        <v>1159</v>
      </c>
      <c r="C186" s="74">
        <v>1</v>
      </c>
      <c r="D186" s="74">
        <v>1.1000000000000001</v>
      </c>
      <c r="E186" s="74">
        <v>0.9</v>
      </c>
      <c r="F186" s="74"/>
      <c r="G186" s="74">
        <f t="shared" si="16"/>
        <v>0.99</v>
      </c>
      <c r="H186" s="74">
        <f t="shared" si="17"/>
        <v>0.99</v>
      </c>
    </row>
    <row r="187" spans="2:8" x14ac:dyDescent="0.25">
      <c r="B187" s="74" t="s">
        <v>1160</v>
      </c>
      <c r="C187" s="74">
        <v>1</v>
      </c>
      <c r="D187" s="74">
        <v>1.8</v>
      </c>
      <c r="E187" s="74">
        <v>1.8</v>
      </c>
      <c r="F187" s="74"/>
      <c r="G187" s="74">
        <f t="shared" si="16"/>
        <v>3.24</v>
      </c>
      <c r="H187" s="74">
        <f t="shared" si="17"/>
        <v>3.24</v>
      </c>
    </row>
    <row r="188" spans="2:8" x14ac:dyDescent="0.25">
      <c r="B188" s="74" t="s">
        <v>1161</v>
      </c>
      <c r="C188" s="74">
        <v>1</v>
      </c>
      <c r="D188" s="74">
        <v>1.6</v>
      </c>
      <c r="E188" s="74">
        <v>1.1000000000000001</v>
      </c>
      <c r="F188" s="74"/>
      <c r="G188" s="74">
        <f t="shared" si="16"/>
        <v>1.76</v>
      </c>
      <c r="H188" s="74">
        <f t="shared" si="17"/>
        <v>1.76</v>
      </c>
    </row>
    <row r="189" spans="2:8" x14ac:dyDescent="0.25">
      <c r="B189" s="74" t="s">
        <v>1162</v>
      </c>
      <c r="C189" s="74">
        <v>1</v>
      </c>
      <c r="D189" s="74">
        <v>1.2</v>
      </c>
      <c r="E189" s="74">
        <v>1.75</v>
      </c>
      <c r="F189" s="74"/>
      <c r="G189" s="74">
        <f t="shared" si="16"/>
        <v>2.1</v>
      </c>
      <c r="H189" s="74">
        <f t="shared" si="17"/>
        <v>2.1</v>
      </c>
    </row>
    <row r="190" spans="2:8" x14ac:dyDescent="0.25">
      <c r="B190" s="74" t="s">
        <v>1163</v>
      </c>
      <c r="C190" s="74">
        <v>1</v>
      </c>
      <c r="D190" s="74">
        <v>1.6</v>
      </c>
      <c r="E190" s="74">
        <v>1.1499999999999999</v>
      </c>
      <c r="F190" s="74"/>
      <c r="G190" s="74">
        <f t="shared" si="16"/>
        <v>1.84</v>
      </c>
      <c r="H190" s="74">
        <f t="shared" si="17"/>
        <v>1.84</v>
      </c>
    </row>
    <row r="191" spans="2:8" x14ac:dyDescent="0.25">
      <c r="B191" s="74" t="s">
        <v>1164</v>
      </c>
      <c r="C191" s="74">
        <v>1</v>
      </c>
      <c r="D191" s="74">
        <v>1.1000000000000001</v>
      </c>
      <c r="E191" s="74">
        <v>0.85</v>
      </c>
      <c r="F191" s="74"/>
      <c r="G191" s="74">
        <f t="shared" si="16"/>
        <v>0.94</v>
      </c>
      <c r="H191" s="74">
        <f t="shared" si="17"/>
        <v>0.94</v>
      </c>
    </row>
    <row r="192" spans="2:8" x14ac:dyDescent="0.25">
      <c r="B192" s="74" t="s">
        <v>1165</v>
      </c>
      <c r="C192" s="74">
        <v>1</v>
      </c>
      <c r="D192" s="74">
        <v>1.7</v>
      </c>
      <c r="E192" s="74">
        <v>1.1499999999999999</v>
      </c>
      <c r="F192" s="74"/>
      <c r="G192" s="74">
        <f t="shared" si="16"/>
        <v>1.96</v>
      </c>
      <c r="H192" s="74">
        <f t="shared" si="17"/>
        <v>1.96</v>
      </c>
    </row>
    <row r="193" spans="1:11" x14ac:dyDescent="0.25">
      <c r="B193" s="74" t="s">
        <v>1166</v>
      </c>
      <c r="C193" s="74">
        <v>1</v>
      </c>
      <c r="D193" s="74">
        <v>0.95</v>
      </c>
      <c r="E193" s="74">
        <v>0.95</v>
      </c>
      <c r="F193" s="74"/>
      <c r="G193" s="74">
        <f t="shared" si="16"/>
        <v>0.9</v>
      </c>
      <c r="H193" s="74">
        <f t="shared" si="17"/>
        <v>0.9</v>
      </c>
    </row>
    <row r="194" spans="1:11" x14ac:dyDescent="0.25">
      <c r="B194" s="74" t="s">
        <v>1167</v>
      </c>
      <c r="C194" s="74">
        <v>2</v>
      </c>
      <c r="D194" s="74">
        <v>1</v>
      </c>
      <c r="E194" s="74">
        <v>0.85</v>
      </c>
      <c r="F194" s="74"/>
      <c r="G194" s="74">
        <f t="shared" si="16"/>
        <v>0.85</v>
      </c>
      <c r="H194" s="74">
        <f t="shared" si="17"/>
        <v>1.7</v>
      </c>
    </row>
    <row r="195" spans="1:11" x14ac:dyDescent="0.25">
      <c r="B195" s="74" t="s">
        <v>1168</v>
      </c>
      <c r="C195" s="74">
        <v>1</v>
      </c>
      <c r="D195" s="74">
        <v>1.1000000000000001</v>
      </c>
      <c r="E195" s="74">
        <v>1</v>
      </c>
      <c r="F195" s="74"/>
      <c r="G195" s="74">
        <f t="shared" si="16"/>
        <v>1.1000000000000001</v>
      </c>
      <c r="H195" s="74">
        <f t="shared" si="17"/>
        <v>1.1000000000000001</v>
      </c>
    </row>
    <row r="196" spans="1:11" x14ac:dyDescent="0.25">
      <c r="B196" s="74" t="s">
        <v>1169</v>
      </c>
      <c r="C196" s="74">
        <v>1</v>
      </c>
      <c r="D196" s="74">
        <v>1.1000000000000001</v>
      </c>
      <c r="E196" s="74">
        <v>0.9</v>
      </c>
      <c r="F196" s="74"/>
      <c r="G196" s="74">
        <f t="shared" si="16"/>
        <v>0.99</v>
      </c>
      <c r="H196" s="74">
        <f t="shared" si="17"/>
        <v>0.99</v>
      </c>
    </row>
    <row r="197" spans="1:11" x14ac:dyDescent="0.25">
      <c r="B197" s="74" t="s">
        <v>1170</v>
      </c>
      <c r="C197" s="74">
        <v>1</v>
      </c>
      <c r="D197" s="74">
        <v>1.1000000000000001</v>
      </c>
      <c r="E197" s="74">
        <v>0.9</v>
      </c>
      <c r="F197" s="74"/>
      <c r="G197" s="74">
        <f t="shared" si="16"/>
        <v>0.99</v>
      </c>
      <c r="H197" s="74">
        <f t="shared" si="17"/>
        <v>0.99</v>
      </c>
    </row>
    <row r="198" spans="1:11" x14ac:dyDescent="0.25">
      <c r="B198" s="74" t="s">
        <v>1171</v>
      </c>
      <c r="C198" s="74">
        <v>2</v>
      </c>
      <c r="D198" s="74">
        <v>1.1000000000000001</v>
      </c>
      <c r="E198" s="74">
        <v>0.9</v>
      </c>
      <c r="F198" s="74"/>
      <c r="G198" s="74">
        <f t="shared" si="16"/>
        <v>0.99</v>
      </c>
      <c r="H198" s="74">
        <f t="shared" si="17"/>
        <v>1.98</v>
      </c>
    </row>
    <row r="199" spans="1:11" x14ac:dyDescent="0.25">
      <c r="B199" s="136"/>
      <c r="C199" s="136"/>
      <c r="D199" s="136"/>
      <c r="E199" s="136"/>
      <c r="F199" s="136"/>
      <c r="G199" s="136"/>
      <c r="H199" s="136"/>
    </row>
    <row r="200" spans="1:11" ht="27" customHeight="1" x14ac:dyDescent="0.25">
      <c r="A200" s="86" t="s">
        <v>1176</v>
      </c>
      <c r="B200" s="266" t="str">
        <f>'[1]BM_02.'!B40</f>
        <v>CONCRETO USINADO BOMBEAVEL, CLASSE DE RESISTENCIA C40, COM BRITA 0 E 1, SLUMP = 100 +/- 20 MM, INCLUI SERVICO DE BOMBEAMENTO (NBR 8953)</v>
      </c>
      <c r="C200" s="266"/>
      <c r="D200" s="266"/>
      <c r="E200" s="266"/>
      <c r="F200" s="266"/>
      <c r="G200" s="266"/>
      <c r="H200" s="87">
        <f>SUM(H203:H257)</f>
        <v>46.779999999999987</v>
      </c>
      <c r="I200" s="134" t="s">
        <v>1053</v>
      </c>
    </row>
    <row r="201" spans="1:11" x14ac:dyDescent="0.25">
      <c r="B201" s="136"/>
      <c r="C201" s="136"/>
      <c r="D201" s="136"/>
      <c r="E201" s="136"/>
      <c r="F201" s="136"/>
      <c r="G201" s="136"/>
      <c r="H201" s="136"/>
    </row>
    <row r="202" spans="1:11" x14ac:dyDescent="0.25">
      <c r="B202" s="135" t="s">
        <v>1177</v>
      </c>
      <c r="C202" s="74"/>
      <c r="D202" s="74"/>
      <c r="E202" s="74"/>
      <c r="F202" s="74"/>
      <c r="G202" s="136"/>
      <c r="H202" s="136"/>
    </row>
    <row r="203" spans="1:11" x14ac:dyDescent="0.25">
      <c r="B203" s="74" t="s">
        <v>1123</v>
      </c>
      <c r="C203" s="74">
        <v>1</v>
      </c>
      <c r="D203" s="74">
        <v>2</v>
      </c>
      <c r="E203" s="74">
        <v>1.1499999999999999</v>
      </c>
      <c r="F203" s="74">
        <v>0.25</v>
      </c>
      <c r="G203" s="136">
        <f>ROUND(D203*E203*F203,2)</f>
        <v>0.57999999999999996</v>
      </c>
      <c r="H203" s="138">
        <f>G203*C203</f>
        <v>0.57999999999999996</v>
      </c>
    </row>
    <row r="204" spans="1:11" x14ac:dyDescent="0.25">
      <c r="B204" s="74" t="s">
        <v>1124</v>
      </c>
      <c r="C204" s="74">
        <v>1</v>
      </c>
      <c r="D204" s="74">
        <v>1.3</v>
      </c>
      <c r="E204" s="74">
        <v>2.1</v>
      </c>
      <c r="F204" s="74">
        <v>0.25</v>
      </c>
      <c r="G204" s="136">
        <f t="shared" ref="G204:G250" si="18">ROUND(D204*E204*F204,2)</f>
        <v>0.68</v>
      </c>
      <c r="H204" s="138">
        <f t="shared" ref="H204:H250" si="19">G204*C204</f>
        <v>0.68</v>
      </c>
    </row>
    <row r="205" spans="1:11" x14ac:dyDescent="0.25">
      <c r="B205" s="74" t="s">
        <v>1174</v>
      </c>
      <c r="C205" s="74">
        <v>10</v>
      </c>
      <c r="D205" s="74">
        <v>0.9</v>
      </c>
      <c r="E205" s="74">
        <v>0.75</v>
      </c>
      <c r="F205" s="74">
        <v>0.25</v>
      </c>
      <c r="G205" s="136">
        <f t="shared" si="18"/>
        <v>0.17</v>
      </c>
      <c r="H205" s="138">
        <f t="shared" si="19"/>
        <v>1.7000000000000002</v>
      </c>
    </row>
    <row r="206" spans="1:11" x14ac:dyDescent="0.25">
      <c r="B206" s="74" t="s">
        <v>1135</v>
      </c>
      <c r="C206" s="74">
        <v>1</v>
      </c>
      <c r="D206" s="74">
        <v>0.75</v>
      </c>
      <c r="E206" s="74">
        <v>0.9</v>
      </c>
      <c r="F206" s="74">
        <v>0.25</v>
      </c>
      <c r="G206" s="136">
        <f t="shared" si="18"/>
        <v>0.17</v>
      </c>
      <c r="H206" s="138">
        <f t="shared" si="19"/>
        <v>0.17</v>
      </c>
      <c r="K206" s="143"/>
    </row>
    <row r="207" spans="1:11" x14ac:dyDescent="0.25">
      <c r="B207" s="74" t="s">
        <v>1136</v>
      </c>
      <c r="C207" s="74">
        <v>3</v>
      </c>
      <c r="D207" s="74">
        <v>1.2</v>
      </c>
      <c r="E207" s="74">
        <v>0.85</v>
      </c>
      <c r="F207" s="74">
        <v>0.25</v>
      </c>
      <c r="G207" s="136">
        <f t="shared" si="18"/>
        <v>0.26</v>
      </c>
      <c r="H207" s="138">
        <f t="shared" si="19"/>
        <v>0.78</v>
      </c>
    </row>
    <row r="208" spans="1:11" x14ac:dyDescent="0.25">
      <c r="B208" s="74" t="s">
        <v>1137</v>
      </c>
      <c r="C208" s="74">
        <v>4</v>
      </c>
      <c r="D208" s="74">
        <v>0.85</v>
      </c>
      <c r="E208" s="74">
        <v>1.2</v>
      </c>
      <c r="F208" s="74">
        <v>0.25</v>
      </c>
      <c r="G208" s="136">
        <f t="shared" si="18"/>
        <v>0.26</v>
      </c>
      <c r="H208" s="138">
        <f t="shared" si="19"/>
        <v>1.04</v>
      </c>
    </row>
    <row r="209" spans="2:11" x14ac:dyDescent="0.25">
      <c r="B209" s="74" t="s">
        <v>1175</v>
      </c>
      <c r="C209" s="74">
        <v>6</v>
      </c>
      <c r="D209" s="74">
        <v>0.75</v>
      </c>
      <c r="E209" s="74">
        <v>0.9</v>
      </c>
      <c r="F209" s="74">
        <v>0.25</v>
      </c>
      <c r="G209" s="136">
        <f t="shared" si="18"/>
        <v>0.17</v>
      </c>
      <c r="H209" s="138">
        <f t="shared" si="19"/>
        <v>1.02</v>
      </c>
    </row>
    <row r="210" spans="2:11" x14ac:dyDescent="0.25">
      <c r="B210" s="74"/>
      <c r="C210" s="74"/>
      <c r="D210" s="74"/>
      <c r="E210" s="74"/>
      <c r="F210" s="74"/>
      <c r="G210" s="136"/>
      <c r="H210" s="138"/>
    </row>
    <row r="211" spans="2:11" x14ac:dyDescent="0.25">
      <c r="B211" s="135" t="s">
        <v>1178</v>
      </c>
      <c r="C211" s="74"/>
      <c r="D211" s="74"/>
      <c r="E211" s="74"/>
      <c r="F211" s="74"/>
      <c r="G211" s="136"/>
      <c r="H211" s="138"/>
    </row>
    <row r="212" spans="2:11" x14ac:dyDescent="0.25">
      <c r="B212" s="74" t="s">
        <v>1138</v>
      </c>
      <c r="C212" s="74">
        <v>1</v>
      </c>
      <c r="D212" s="74">
        <v>1.1499999999999999</v>
      </c>
      <c r="E212" s="74">
        <v>1.1000000000000001</v>
      </c>
      <c r="F212" s="74">
        <v>0.35</v>
      </c>
      <c r="G212" s="136">
        <f t="shared" si="18"/>
        <v>0.44</v>
      </c>
      <c r="H212" s="138">
        <f t="shared" si="19"/>
        <v>0.44</v>
      </c>
    </row>
    <row r="213" spans="2:11" x14ac:dyDescent="0.25">
      <c r="B213" s="74" t="s">
        <v>1125</v>
      </c>
      <c r="C213" s="74">
        <v>1</v>
      </c>
      <c r="D213" s="74">
        <v>0.95</v>
      </c>
      <c r="E213" s="74">
        <v>1.1000000000000001</v>
      </c>
      <c r="F213" s="74">
        <v>0.3</v>
      </c>
      <c r="G213" s="136">
        <f t="shared" si="18"/>
        <v>0.31</v>
      </c>
      <c r="H213" s="138">
        <f t="shared" si="19"/>
        <v>0.31</v>
      </c>
    </row>
    <row r="214" spans="2:11" x14ac:dyDescent="0.25">
      <c r="B214" s="74" t="s">
        <v>1126</v>
      </c>
      <c r="C214" s="74">
        <v>1</v>
      </c>
      <c r="D214" s="74">
        <v>1.1499999999999999</v>
      </c>
      <c r="E214" s="74">
        <v>1.1000000000000001</v>
      </c>
      <c r="F214" s="74">
        <v>0.3</v>
      </c>
      <c r="G214" s="136">
        <f t="shared" si="18"/>
        <v>0.38</v>
      </c>
      <c r="H214" s="138">
        <f t="shared" si="19"/>
        <v>0.38</v>
      </c>
      <c r="K214" s="143"/>
    </row>
    <row r="215" spans="2:11" x14ac:dyDescent="0.25">
      <c r="B215" s="74" t="s">
        <v>1127</v>
      </c>
      <c r="C215" s="74">
        <v>1</v>
      </c>
      <c r="D215" s="74">
        <v>1.05</v>
      </c>
      <c r="E215" s="74">
        <v>1.5</v>
      </c>
      <c r="F215" s="74">
        <v>0.4</v>
      </c>
      <c r="G215" s="136">
        <f t="shared" si="18"/>
        <v>0.63</v>
      </c>
      <c r="H215" s="138">
        <f t="shared" si="19"/>
        <v>0.63</v>
      </c>
    </row>
    <row r="216" spans="2:11" x14ac:dyDescent="0.25">
      <c r="B216" s="74" t="s">
        <v>1145</v>
      </c>
      <c r="C216" s="74">
        <v>2</v>
      </c>
      <c r="D216" s="74">
        <v>0.95</v>
      </c>
      <c r="E216" s="74">
        <v>1.1000000000000001</v>
      </c>
      <c r="F216" s="74">
        <v>0.3</v>
      </c>
      <c r="G216" s="136">
        <f t="shared" si="18"/>
        <v>0.31</v>
      </c>
      <c r="H216" s="138">
        <f t="shared" si="19"/>
        <v>0.62</v>
      </c>
    </row>
    <row r="217" spans="2:11" x14ac:dyDescent="0.25">
      <c r="B217" s="74" t="s">
        <v>1131</v>
      </c>
      <c r="C217" s="74">
        <v>1</v>
      </c>
      <c r="D217" s="74">
        <v>2.2000000000000002</v>
      </c>
      <c r="E217" s="74">
        <v>1.55</v>
      </c>
      <c r="F217" s="74">
        <v>0.5</v>
      </c>
      <c r="G217" s="136">
        <f t="shared" si="18"/>
        <v>1.71</v>
      </c>
      <c r="H217" s="138">
        <f t="shared" si="19"/>
        <v>1.71</v>
      </c>
    </row>
    <row r="218" spans="2:11" x14ac:dyDescent="0.25">
      <c r="B218" s="74" t="s">
        <v>1132</v>
      </c>
      <c r="C218" s="74">
        <v>1</v>
      </c>
      <c r="D218" s="74">
        <v>1.5</v>
      </c>
      <c r="E218" s="74">
        <v>1.05</v>
      </c>
      <c r="F218" s="74">
        <v>0.4</v>
      </c>
      <c r="G218" s="136">
        <f t="shared" si="18"/>
        <v>0.63</v>
      </c>
      <c r="H218" s="138">
        <f t="shared" si="19"/>
        <v>0.63</v>
      </c>
    </row>
    <row r="219" spans="2:11" x14ac:dyDescent="0.25">
      <c r="B219" s="74" t="s">
        <v>1133</v>
      </c>
      <c r="C219" s="74">
        <v>1</v>
      </c>
      <c r="D219" s="74">
        <v>0.95</v>
      </c>
      <c r="E219" s="74">
        <v>1.2</v>
      </c>
      <c r="F219" s="74">
        <v>0.3</v>
      </c>
      <c r="G219" s="136">
        <f t="shared" si="18"/>
        <v>0.34</v>
      </c>
      <c r="H219" s="138">
        <f t="shared" si="19"/>
        <v>0.34</v>
      </c>
    </row>
    <row r="220" spans="2:11" x14ac:dyDescent="0.25">
      <c r="B220" s="74" t="s">
        <v>1139</v>
      </c>
      <c r="C220" s="74">
        <v>1</v>
      </c>
      <c r="D220" s="74">
        <v>1.3</v>
      </c>
      <c r="E220" s="74">
        <v>1.3</v>
      </c>
      <c r="F220" s="74">
        <v>0.35</v>
      </c>
      <c r="G220" s="136">
        <f t="shared" si="18"/>
        <v>0.59</v>
      </c>
      <c r="H220" s="138">
        <f t="shared" si="19"/>
        <v>0.59</v>
      </c>
    </row>
    <row r="221" spans="2:11" x14ac:dyDescent="0.25">
      <c r="B221" s="74" t="s">
        <v>1140</v>
      </c>
      <c r="C221" s="74">
        <v>1</v>
      </c>
      <c r="D221" s="74">
        <v>2</v>
      </c>
      <c r="E221" s="74">
        <v>2</v>
      </c>
      <c r="F221" s="74">
        <v>0.4</v>
      </c>
      <c r="G221" s="136">
        <f t="shared" si="18"/>
        <v>1.6</v>
      </c>
      <c r="H221" s="138">
        <f t="shared" si="19"/>
        <v>1.6</v>
      </c>
    </row>
    <row r="222" spans="2:11" x14ac:dyDescent="0.25">
      <c r="B222" s="74" t="s">
        <v>1146</v>
      </c>
      <c r="C222" s="74">
        <v>1</v>
      </c>
      <c r="D222" s="74">
        <v>2.4</v>
      </c>
      <c r="E222" s="74">
        <v>2.4</v>
      </c>
      <c r="F222" s="74">
        <v>0.55000000000000004</v>
      </c>
      <c r="G222" s="136">
        <f t="shared" si="18"/>
        <v>3.17</v>
      </c>
      <c r="H222" s="138">
        <f t="shared" si="19"/>
        <v>3.17</v>
      </c>
    </row>
    <row r="223" spans="2:11" x14ac:dyDescent="0.25">
      <c r="B223" s="74" t="s">
        <v>1141</v>
      </c>
      <c r="C223" s="74">
        <v>1</v>
      </c>
      <c r="D223" s="74">
        <v>1.6</v>
      </c>
      <c r="E223" s="74">
        <v>1.6</v>
      </c>
      <c r="F223" s="74">
        <v>0.45</v>
      </c>
      <c r="G223" s="136">
        <f t="shared" si="18"/>
        <v>1.1499999999999999</v>
      </c>
      <c r="H223" s="138">
        <f t="shared" si="19"/>
        <v>1.1499999999999999</v>
      </c>
    </row>
    <row r="224" spans="2:11" x14ac:dyDescent="0.25">
      <c r="B224" s="74" t="s">
        <v>1142</v>
      </c>
      <c r="C224" s="74">
        <v>1</v>
      </c>
      <c r="D224" s="74">
        <v>1.85</v>
      </c>
      <c r="E224" s="74">
        <v>1.3</v>
      </c>
      <c r="F224" s="74">
        <v>0.45</v>
      </c>
      <c r="G224" s="136">
        <f t="shared" si="18"/>
        <v>1.08</v>
      </c>
      <c r="H224" s="138">
        <f t="shared" si="19"/>
        <v>1.08</v>
      </c>
    </row>
    <row r="225" spans="2:8" x14ac:dyDescent="0.25">
      <c r="B225" s="74" t="s">
        <v>1147</v>
      </c>
      <c r="C225" s="74">
        <v>1</v>
      </c>
      <c r="D225" s="74">
        <v>1.25</v>
      </c>
      <c r="E225" s="74">
        <v>1.8</v>
      </c>
      <c r="F225" s="74">
        <v>0.45</v>
      </c>
      <c r="G225" s="136">
        <f t="shared" si="18"/>
        <v>1.01</v>
      </c>
      <c r="H225" s="138">
        <f t="shared" si="19"/>
        <v>1.01</v>
      </c>
    </row>
    <row r="226" spans="2:8" x14ac:dyDescent="0.25">
      <c r="B226" s="74" t="s">
        <v>1148</v>
      </c>
      <c r="C226" s="74">
        <v>1</v>
      </c>
      <c r="D226" s="74">
        <v>1.3</v>
      </c>
      <c r="E226" s="74">
        <v>0.9</v>
      </c>
      <c r="F226" s="74">
        <v>0.3</v>
      </c>
      <c r="G226" s="136">
        <f t="shared" si="18"/>
        <v>0.35</v>
      </c>
      <c r="H226" s="138">
        <f t="shared" si="19"/>
        <v>0.35</v>
      </c>
    </row>
    <row r="227" spans="2:8" x14ac:dyDescent="0.25">
      <c r="B227" s="74" t="s">
        <v>1143</v>
      </c>
      <c r="C227" s="74">
        <v>1</v>
      </c>
      <c r="D227" s="74">
        <v>1.05</v>
      </c>
      <c r="E227" s="74">
        <v>1.5</v>
      </c>
      <c r="F227" s="74">
        <v>0.4</v>
      </c>
      <c r="G227" s="136">
        <f t="shared" si="18"/>
        <v>0.63</v>
      </c>
      <c r="H227" s="138">
        <f t="shared" si="19"/>
        <v>0.63</v>
      </c>
    </row>
    <row r="228" spans="2:8" x14ac:dyDescent="0.25">
      <c r="B228" s="74" t="s">
        <v>1149</v>
      </c>
      <c r="C228" s="74">
        <v>1</v>
      </c>
      <c r="D228" s="74">
        <v>1.25</v>
      </c>
      <c r="E228" s="74">
        <v>1.4</v>
      </c>
      <c r="F228" s="74">
        <v>0.35</v>
      </c>
      <c r="G228" s="136">
        <f t="shared" si="18"/>
        <v>0.61</v>
      </c>
      <c r="H228" s="138">
        <f t="shared" si="19"/>
        <v>0.61</v>
      </c>
    </row>
    <row r="229" spans="2:8" x14ac:dyDescent="0.25">
      <c r="B229" s="74" t="s">
        <v>1150</v>
      </c>
      <c r="C229" s="74">
        <v>1</v>
      </c>
      <c r="D229" s="74">
        <v>1.25</v>
      </c>
      <c r="E229" s="74">
        <v>1.4</v>
      </c>
      <c r="F229" s="74">
        <v>0.35</v>
      </c>
      <c r="G229" s="136">
        <f t="shared" si="18"/>
        <v>0.61</v>
      </c>
      <c r="H229" s="138">
        <f t="shared" si="19"/>
        <v>0.61</v>
      </c>
    </row>
    <row r="230" spans="2:8" x14ac:dyDescent="0.25">
      <c r="B230" s="74" t="s">
        <v>1151</v>
      </c>
      <c r="C230" s="74">
        <v>1</v>
      </c>
      <c r="D230" s="74">
        <v>1.8</v>
      </c>
      <c r="E230" s="74">
        <v>1.2</v>
      </c>
      <c r="F230" s="74">
        <v>0.5</v>
      </c>
      <c r="G230" s="136">
        <f t="shared" si="18"/>
        <v>1.08</v>
      </c>
      <c r="H230" s="138">
        <f t="shared" si="19"/>
        <v>1.08</v>
      </c>
    </row>
    <row r="231" spans="2:8" x14ac:dyDescent="0.25">
      <c r="B231" s="74" t="s">
        <v>1152</v>
      </c>
      <c r="C231" s="74">
        <v>1</v>
      </c>
      <c r="D231" s="74">
        <v>2.5</v>
      </c>
      <c r="E231" s="74">
        <v>1.7</v>
      </c>
      <c r="F231" s="74">
        <v>0.7</v>
      </c>
      <c r="G231" s="136">
        <f t="shared" si="18"/>
        <v>2.98</v>
      </c>
      <c r="H231" s="138">
        <f t="shared" si="19"/>
        <v>2.98</v>
      </c>
    </row>
    <row r="232" spans="2:8" x14ac:dyDescent="0.25">
      <c r="B232" s="74" t="s">
        <v>1153</v>
      </c>
      <c r="C232" s="74">
        <v>1</v>
      </c>
      <c r="D232" s="74">
        <v>1.3</v>
      </c>
      <c r="E232" s="74">
        <v>1.9</v>
      </c>
      <c r="F232" s="74">
        <v>0.55000000000000004</v>
      </c>
      <c r="G232" s="136">
        <f t="shared" si="18"/>
        <v>1.36</v>
      </c>
      <c r="H232" s="138">
        <f t="shared" si="19"/>
        <v>1.36</v>
      </c>
    </row>
    <row r="233" spans="2:8" x14ac:dyDescent="0.25">
      <c r="B233" s="74" t="s">
        <v>1154</v>
      </c>
      <c r="C233" s="74">
        <v>1</v>
      </c>
      <c r="D233" s="74">
        <v>2.2999999999999998</v>
      </c>
      <c r="E233" s="74">
        <v>1.6</v>
      </c>
      <c r="F233" s="74">
        <v>0.65</v>
      </c>
      <c r="G233" s="136">
        <f t="shared" si="18"/>
        <v>2.39</v>
      </c>
      <c r="H233" s="138">
        <f t="shared" si="19"/>
        <v>2.39</v>
      </c>
    </row>
    <row r="234" spans="2:8" x14ac:dyDescent="0.25">
      <c r="B234" s="74" t="s">
        <v>1155</v>
      </c>
      <c r="C234" s="74">
        <v>1</v>
      </c>
      <c r="D234" s="74">
        <v>2.2999999999999998</v>
      </c>
      <c r="E234" s="74">
        <v>1.6</v>
      </c>
      <c r="F234" s="74">
        <v>0.65</v>
      </c>
      <c r="G234" s="136">
        <f t="shared" si="18"/>
        <v>2.39</v>
      </c>
      <c r="H234" s="138">
        <f t="shared" si="19"/>
        <v>2.39</v>
      </c>
    </row>
    <row r="235" spans="2:8" x14ac:dyDescent="0.25">
      <c r="B235" s="74" t="s">
        <v>1156</v>
      </c>
      <c r="C235" s="74">
        <v>1</v>
      </c>
      <c r="D235" s="74">
        <v>0.9</v>
      </c>
      <c r="E235" s="74">
        <v>1.1000000000000001</v>
      </c>
      <c r="F235" s="74">
        <v>0.3</v>
      </c>
      <c r="G235" s="136">
        <f t="shared" si="18"/>
        <v>0.3</v>
      </c>
      <c r="H235" s="138">
        <f t="shared" si="19"/>
        <v>0.3</v>
      </c>
    </row>
    <row r="236" spans="2:8" x14ac:dyDescent="0.25">
      <c r="B236" s="74" t="s">
        <v>1157</v>
      </c>
      <c r="C236" s="74">
        <v>1</v>
      </c>
      <c r="D236" s="74">
        <v>1.75</v>
      </c>
      <c r="E236" s="74">
        <v>1.2</v>
      </c>
      <c r="F236" s="74">
        <v>0.5</v>
      </c>
      <c r="G236" s="136">
        <f t="shared" si="18"/>
        <v>1.05</v>
      </c>
      <c r="H236" s="138">
        <f t="shared" si="19"/>
        <v>1.05</v>
      </c>
    </row>
    <row r="237" spans="2:8" x14ac:dyDescent="0.25">
      <c r="B237" s="74" t="s">
        <v>1158</v>
      </c>
      <c r="C237" s="74">
        <v>1</v>
      </c>
      <c r="D237" s="74">
        <v>1.5</v>
      </c>
      <c r="E237" s="74">
        <v>1</v>
      </c>
      <c r="F237" s="74">
        <v>0.35</v>
      </c>
      <c r="G237" s="136">
        <f t="shared" si="18"/>
        <v>0.53</v>
      </c>
      <c r="H237" s="138">
        <f t="shared" si="19"/>
        <v>0.53</v>
      </c>
    </row>
    <row r="238" spans="2:8" x14ac:dyDescent="0.25">
      <c r="B238" s="74" t="s">
        <v>1159</v>
      </c>
      <c r="C238" s="74">
        <v>1</v>
      </c>
      <c r="D238" s="74">
        <v>1.1000000000000001</v>
      </c>
      <c r="E238" s="74">
        <v>0.9</v>
      </c>
      <c r="F238" s="74">
        <v>0.3</v>
      </c>
      <c r="G238" s="136">
        <f t="shared" si="18"/>
        <v>0.3</v>
      </c>
      <c r="H238" s="138">
        <f t="shared" si="19"/>
        <v>0.3</v>
      </c>
    </row>
    <row r="239" spans="2:8" x14ac:dyDescent="0.25">
      <c r="B239" s="74" t="s">
        <v>1160</v>
      </c>
      <c r="C239" s="74">
        <v>2</v>
      </c>
      <c r="D239" s="74">
        <v>1.8</v>
      </c>
      <c r="E239" s="74">
        <v>1.8</v>
      </c>
      <c r="F239" s="74">
        <v>0.3</v>
      </c>
      <c r="G239" s="136">
        <f t="shared" si="18"/>
        <v>0.97</v>
      </c>
      <c r="H239" s="138">
        <f t="shared" si="19"/>
        <v>1.94</v>
      </c>
    </row>
    <row r="240" spans="2:8" x14ac:dyDescent="0.25">
      <c r="B240" s="74" t="s">
        <v>1161</v>
      </c>
      <c r="C240" s="74">
        <v>1</v>
      </c>
      <c r="D240" s="74">
        <v>1.6</v>
      </c>
      <c r="E240" s="74">
        <v>1.1000000000000001</v>
      </c>
      <c r="F240" s="74">
        <v>0.35</v>
      </c>
      <c r="G240" s="136">
        <f t="shared" si="18"/>
        <v>0.62</v>
      </c>
      <c r="H240" s="138">
        <f t="shared" si="19"/>
        <v>0.62</v>
      </c>
    </row>
    <row r="241" spans="2:8" x14ac:dyDescent="0.25">
      <c r="B241" s="74" t="s">
        <v>1162</v>
      </c>
      <c r="C241" s="74">
        <v>1</v>
      </c>
      <c r="D241" s="74">
        <v>1.2</v>
      </c>
      <c r="E241" s="74">
        <v>1.75</v>
      </c>
      <c r="F241" s="74">
        <v>0.45</v>
      </c>
      <c r="G241" s="136">
        <f t="shared" si="18"/>
        <v>0.95</v>
      </c>
      <c r="H241" s="138">
        <f t="shared" si="19"/>
        <v>0.95</v>
      </c>
    </row>
    <row r="242" spans="2:8" x14ac:dyDescent="0.25">
      <c r="B242" s="74" t="s">
        <v>1163</v>
      </c>
      <c r="C242" s="74">
        <v>1</v>
      </c>
      <c r="D242" s="74">
        <v>1.6</v>
      </c>
      <c r="E242" s="74">
        <v>1.1499999999999999</v>
      </c>
      <c r="F242" s="74">
        <v>0.35</v>
      </c>
      <c r="G242" s="136">
        <f t="shared" si="18"/>
        <v>0.64</v>
      </c>
      <c r="H242" s="138">
        <f t="shared" si="19"/>
        <v>0.64</v>
      </c>
    </row>
    <row r="243" spans="2:8" x14ac:dyDescent="0.25">
      <c r="B243" s="74" t="s">
        <v>1164</v>
      </c>
      <c r="C243" s="74">
        <v>1</v>
      </c>
      <c r="D243" s="74">
        <v>1.1000000000000001</v>
      </c>
      <c r="E243" s="74">
        <v>0.85</v>
      </c>
      <c r="F243" s="74">
        <v>0.3</v>
      </c>
      <c r="G243" s="136">
        <f t="shared" si="18"/>
        <v>0.28000000000000003</v>
      </c>
      <c r="H243" s="138">
        <f t="shared" si="19"/>
        <v>0.28000000000000003</v>
      </c>
    </row>
    <row r="244" spans="2:8" x14ac:dyDescent="0.25">
      <c r="B244" s="74" t="s">
        <v>1165</v>
      </c>
      <c r="C244" s="74">
        <v>1</v>
      </c>
      <c r="D244" s="74">
        <v>1.7</v>
      </c>
      <c r="E244" s="74">
        <v>1.1499999999999999</v>
      </c>
      <c r="F244" s="74">
        <v>0.4</v>
      </c>
      <c r="G244" s="136">
        <f t="shared" si="18"/>
        <v>0.78</v>
      </c>
      <c r="H244" s="138">
        <f t="shared" si="19"/>
        <v>0.78</v>
      </c>
    </row>
    <row r="245" spans="2:8" x14ac:dyDescent="0.25">
      <c r="B245" s="74" t="s">
        <v>1166</v>
      </c>
      <c r="C245" s="74">
        <v>1</v>
      </c>
      <c r="D245" s="74">
        <v>0.95</v>
      </c>
      <c r="E245" s="74">
        <v>0.95</v>
      </c>
      <c r="F245" s="74">
        <v>0.4</v>
      </c>
      <c r="G245" s="136">
        <f t="shared" si="18"/>
        <v>0.36</v>
      </c>
      <c r="H245" s="138">
        <f t="shared" si="19"/>
        <v>0.36</v>
      </c>
    </row>
    <row r="246" spans="2:8" x14ac:dyDescent="0.25">
      <c r="B246" s="74" t="s">
        <v>1167</v>
      </c>
      <c r="C246" s="74">
        <v>2</v>
      </c>
      <c r="D246" s="74">
        <v>1</v>
      </c>
      <c r="E246" s="74">
        <v>0.85</v>
      </c>
      <c r="F246" s="74">
        <v>0.3</v>
      </c>
      <c r="G246" s="136">
        <f t="shared" si="18"/>
        <v>0.26</v>
      </c>
      <c r="H246" s="138">
        <f t="shared" si="19"/>
        <v>0.52</v>
      </c>
    </row>
    <row r="247" spans="2:8" x14ac:dyDescent="0.25">
      <c r="B247" s="74" t="s">
        <v>1168</v>
      </c>
      <c r="C247" s="74">
        <v>1</v>
      </c>
      <c r="D247" s="74">
        <v>1.1000000000000001</v>
      </c>
      <c r="E247" s="74">
        <v>1</v>
      </c>
      <c r="F247" s="74">
        <v>0.3</v>
      </c>
      <c r="G247" s="136">
        <f t="shared" si="18"/>
        <v>0.33</v>
      </c>
      <c r="H247" s="138">
        <f t="shared" si="19"/>
        <v>0.33</v>
      </c>
    </row>
    <row r="248" spans="2:8" x14ac:dyDescent="0.25">
      <c r="B248" s="74" t="s">
        <v>1169</v>
      </c>
      <c r="C248" s="74">
        <v>1</v>
      </c>
      <c r="D248" s="74">
        <v>1.1000000000000001</v>
      </c>
      <c r="E248" s="74">
        <v>0.9</v>
      </c>
      <c r="F248" s="74">
        <v>0.3</v>
      </c>
      <c r="G248" s="136">
        <f t="shared" si="18"/>
        <v>0.3</v>
      </c>
      <c r="H248" s="138">
        <f t="shared" si="19"/>
        <v>0.3</v>
      </c>
    </row>
    <row r="249" spans="2:8" x14ac:dyDescent="0.25">
      <c r="B249" s="74" t="s">
        <v>1170</v>
      </c>
      <c r="C249" s="74">
        <v>1</v>
      </c>
      <c r="D249" s="74">
        <v>1.1000000000000001</v>
      </c>
      <c r="E249" s="74">
        <v>0.9</v>
      </c>
      <c r="F249" s="74">
        <v>0.3</v>
      </c>
      <c r="G249" s="136">
        <f t="shared" si="18"/>
        <v>0.3</v>
      </c>
      <c r="H249" s="138">
        <f t="shared" si="19"/>
        <v>0.3</v>
      </c>
    </row>
    <row r="250" spans="2:8" x14ac:dyDescent="0.25">
      <c r="B250" s="74" t="s">
        <v>1171</v>
      </c>
      <c r="C250" s="74">
        <v>2</v>
      </c>
      <c r="D250" s="74">
        <v>1.1000000000000001</v>
      </c>
      <c r="E250" s="74">
        <v>0.9</v>
      </c>
      <c r="F250" s="74">
        <v>0.3</v>
      </c>
      <c r="G250" s="136">
        <f t="shared" si="18"/>
        <v>0.3</v>
      </c>
      <c r="H250" s="138">
        <f t="shared" si="19"/>
        <v>0.6</v>
      </c>
    </row>
    <row r="251" spans="2:8" x14ac:dyDescent="0.25">
      <c r="B251" s="135" t="s">
        <v>1179</v>
      </c>
      <c r="C251" s="74"/>
      <c r="D251" s="74"/>
      <c r="E251" s="74"/>
      <c r="F251" s="74"/>
      <c r="G251" s="136"/>
      <c r="H251" s="136"/>
    </row>
    <row r="252" spans="2:8" x14ac:dyDescent="0.25">
      <c r="B252" s="74" t="s">
        <v>1123</v>
      </c>
      <c r="C252" s="74">
        <v>1</v>
      </c>
      <c r="D252" s="74">
        <v>2</v>
      </c>
      <c r="E252" s="74">
        <v>1.1499999999999999</v>
      </c>
      <c r="F252" s="74">
        <v>0.25</v>
      </c>
      <c r="G252" s="136">
        <f>ROUND(D252*E252*F252,2)</f>
        <v>0.57999999999999996</v>
      </c>
      <c r="H252" s="138">
        <f>G252*C252</f>
        <v>0.57999999999999996</v>
      </c>
    </row>
    <row r="253" spans="2:8" x14ac:dyDescent="0.25">
      <c r="B253" s="74" t="s">
        <v>1124</v>
      </c>
      <c r="C253" s="74">
        <v>1</v>
      </c>
      <c r="D253" s="74">
        <v>1.3</v>
      </c>
      <c r="E253" s="74">
        <v>2.1</v>
      </c>
      <c r="F253" s="74">
        <v>0.25</v>
      </c>
      <c r="G253" s="136">
        <f t="shared" ref="G253:G257" si="20">ROUND(D253*E253*F253,2)</f>
        <v>0.68</v>
      </c>
      <c r="H253" s="138">
        <f t="shared" ref="H253:H257" si="21">G253*C253</f>
        <v>0.68</v>
      </c>
    </row>
    <row r="254" spans="2:8" x14ac:dyDescent="0.25">
      <c r="B254" s="74" t="s">
        <v>1174</v>
      </c>
      <c r="C254" s="74">
        <v>10</v>
      </c>
      <c r="D254" s="74">
        <v>0.9</v>
      </c>
      <c r="E254" s="74">
        <v>0.75</v>
      </c>
      <c r="F254" s="74">
        <v>0.25</v>
      </c>
      <c r="G254" s="136">
        <f t="shared" si="20"/>
        <v>0.17</v>
      </c>
      <c r="H254" s="138">
        <f t="shared" si="21"/>
        <v>1.7000000000000002</v>
      </c>
    </row>
    <row r="255" spans="2:8" x14ac:dyDescent="0.25">
      <c r="B255" s="74" t="s">
        <v>1135</v>
      </c>
      <c r="C255" s="74">
        <v>1</v>
      </c>
      <c r="D255" s="74">
        <v>0.75</v>
      </c>
      <c r="E255" s="74">
        <v>0.9</v>
      </c>
      <c r="F255" s="74">
        <v>0.25</v>
      </c>
      <c r="G255" s="136">
        <f t="shared" si="20"/>
        <v>0.17</v>
      </c>
      <c r="H255" s="138">
        <f t="shared" si="21"/>
        <v>0.17</v>
      </c>
    </row>
    <row r="256" spans="2:8" x14ac:dyDescent="0.25">
      <c r="B256" s="74" t="s">
        <v>1136</v>
      </c>
      <c r="C256" s="74">
        <v>3</v>
      </c>
      <c r="D256" s="74">
        <v>1.2</v>
      </c>
      <c r="E256" s="74">
        <v>0.85</v>
      </c>
      <c r="F256" s="74">
        <v>0.25</v>
      </c>
      <c r="G256" s="136">
        <f t="shared" si="20"/>
        <v>0.26</v>
      </c>
      <c r="H256" s="138">
        <f t="shared" si="21"/>
        <v>0.78</v>
      </c>
    </row>
    <row r="257" spans="1:9" x14ac:dyDescent="0.25">
      <c r="B257" s="74" t="s">
        <v>1137</v>
      </c>
      <c r="C257" s="74">
        <v>4</v>
      </c>
      <c r="D257" s="74">
        <v>0.85</v>
      </c>
      <c r="E257" s="74">
        <v>1.2</v>
      </c>
      <c r="F257" s="74">
        <v>0.25</v>
      </c>
      <c r="G257" s="136">
        <f t="shared" si="20"/>
        <v>0.26</v>
      </c>
      <c r="H257" s="138">
        <f t="shared" si="21"/>
        <v>1.04</v>
      </c>
    </row>
    <row r="258" spans="1:9" x14ac:dyDescent="0.25">
      <c r="B258" s="74"/>
      <c r="C258" s="74"/>
      <c r="D258" s="74"/>
      <c r="E258" s="74"/>
      <c r="F258" s="74"/>
      <c r="G258" s="136"/>
      <c r="H258" s="138"/>
    </row>
    <row r="259" spans="1:9" ht="18" customHeight="1" x14ac:dyDescent="0.25">
      <c r="A259" s="86" t="s">
        <v>1180</v>
      </c>
      <c r="B259" s="266" t="str">
        <f>'[1]BM_02.'!B41</f>
        <v>LANÇAMENTO COM USO DE BOMBA, ADENSAMENTO E ACABAMENTO DE CONCRETO EM ESTRUTURAS. AF_02/2022</v>
      </c>
      <c r="C259" s="266"/>
      <c r="D259" s="266"/>
      <c r="E259" s="266"/>
      <c r="F259" s="266"/>
      <c r="G259" s="266"/>
      <c r="H259" s="87">
        <f>SUM(H262:H311)</f>
        <v>41.829999999999984</v>
      </c>
      <c r="I259" s="134" t="s">
        <v>1053</v>
      </c>
    </row>
    <row r="260" spans="1:9" x14ac:dyDescent="0.25">
      <c r="B260" s="136"/>
      <c r="C260" s="136"/>
      <c r="D260" s="136"/>
      <c r="E260" s="136"/>
      <c r="F260" s="136"/>
      <c r="G260" s="136"/>
      <c r="H260" s="136"/>
    </row>
    <row r="261" spans="1:9" x14ac:dyDescent="0.25">
      <c r="B261" s="135" t="s">
        <v>1177</v>
      </c>
      <c r="C261" s="74"/>
      <c r="D261" s="74"/>
      <c r="E261" s="74"/>
      <c r="F261" s="74"/>
      <c r="G261" s="136"/>
      <c r="H261" s="136"/>
    </row>
    <row r="262" spans="1:9" x14ac:dyDescent="0.25">
      <c r="B262" s="74" t="s">
        <v>1123</v>
      </c>
      <c r="C262" s="74">
        <v>1</v>
      </c>
      <c r="D262" s="74">
        <v>2</v>
      </c>
      <c r="E262" s="74">
        <v>1.1499999999999999</v>
      </c>
      <c r="F262" s="74">
        <v>0.25</v>
      </c>
      <c r="G262" s="136">
        <f>ROUND(D262*E262*F262,2)</f>
        <v>0.57999999999999996</v>
      </c>
      <c r="H262" s="138">
        <f>G262*C262</f>
        <v>0.57999999999999996</v>
      </c>
    </row>
    <row r="263" spans="1:9" x14ac:dyDescent="0.25">
      <c r="B263" s="74" t="s">
        <v>1124</v>
      </c>
      <c r="C263" s="74">
        <v>1</v>
      </c>
      <c r="D263" s="74">
        <v>1.3</v>
      </c>
      <c r="E263" s="74">
        <v>2.1</v>
      </c>
      <c r="F263" s="74">
        <v>0.25</v>
      </c>
      <c r="G263" s="136">
        <f t="shared" ref="G263:G268" si="22">ROUND(D263*E263*F263,2)</f>
        <v>0.68</v>
      </c>
      <c r="H263" s="138">
        <f t="shared" ref="H263:H268" si="23">G263*C263</f>
        <v>0.68</v>
      </c>
    </row>
    <row r="264" spans="1:9" x14ac:dyDescent="0.25">
      <c r="B264" s="74" t="s">
        <v>1174</v>
      </c>
      <c r="C264" s="74">
        <v>10</v>
      </c>
      <c r="D264" s="74">
        <v>0.9</v>
      </c>
      <c r="E264" s="74">
        <v>0.75</v>
      </c>
      <c r="F264" s="74">
        <v>0.25</v>
      </c>
      <c r="G264" s="136">
        <f t="shared" si="22"/>
        <v>0.17</v>
      </c>
      <c r="H264" s="138">
        <f t="shared" si="23"/>
        <v>1.7000000000000002</v>
      </c>
    </row>
    <row r="265" spans="1:9" x14ac:dyDescent="0.25">
      <c r="B265" s="74" t="s">
        <v>1135</v>
      </c>
      <c r="C265" s="74">
        <v>1</v>
      </c>
      <c r="D265" s="74">
        <v>0.75</v>
      </c>
      <c r="E265" s="74">
        <v>0.9</v>
      </c>
      <c r="F265" s="74">
        <v>0.25</v>
      </c>
      <c r="G265" s="136">
        <f t="shared" si="22"/>
        <v>0.17</v>
      </c>
      <c r="H265" s="138">
        <f t="shared" si="23"/>
        <v>0.17</v>
      </c>
    </row>
    <row r="266" spans="1:9" x14ac:dyDescent="0.25">
      <c r="B266" s="74" t="s">
        <v>1136</v>
      </c>
      <c r="C266" s="74">
        <v>3</v>
      </c>
      <c r="D266" s="74">
        <v>1.2</v>
      </c>
      <c r="E266" s="74">
        <v>0.85</v>
      </c>
      <c r="F266" s="74">
        <v>0.25</v>
      </c>
      <c r="G266" s="136">
        <f t="shared" si="22"/>
        <v>0.26</v>
      </c>
      <c r="H266" s="138">
        <f t="shared" si="23"/>
        <v>0.78</v>
      </c>
    </row>
    <row r="267" spans="1:9" x14ac:dyDescent="0.25">
      <c r="B267" s="74" t="s">
        <v>1137</v>
      </c>
      <c r="C267" s="74">
        <v>4</v>
      </c>
      <c r="D267" s="74">
        <v>0.85</v>
      </c>
      <c r="E267" s="74">
        <v>1.2</v>
      </c>
      <c r="F267" s="74">
        <v>0.25</v>
      </c>
      <c r="G267" s="136">
        <f t="shared" si="22"/>
        <v>0.26</v>
      </c>
      <c r="H267" s="138">
        <f t="shared" si="23"/>
        <v>1.04</v>
      </c>
    </row>
    <row r="268" spans="1:9" x14ac:dyDescent="0.25">
      <c r="B268" s="74" t="s">
        <v>1175</v>
      </c>
      <c r="C268" s="74">
        <v>6</v>
      </c>
      <c r="D268" s="74">
        <v>0.75</v>
      </c>
      <c r="E268" s="74">
        <v>0.9</v>
      </c>
      <c r="F268" s="74">
        <v>0.25</v>
      </c>
      <c r="G268" s="136">
        <f t="shared" si="22"/>
        <v>0.17</v>
      </c>
      <c r="H268" s="138">
        <f t="shared" si="23"/>
        <v>1.02</v>
      </c>
    </row>
    <row r="269" spans="1:9" x14ac:dyDescent="0.25">
      <c r="B269" s="74"/>
      <c r="C269" s="74"/>
      <c r="D269" s="74"/>
      <c r="E269" s="74"/>
      <c r="F269" s="74"/>
      <c r="G269" s="136"/>
      <c r="H269" s="138"/>
    </row>
    <row r="270" spans="1:9" x14ac:dyDescent="0.25">
      <c r="B270" s="74"/>
      <c r="C270" s="74"/>
      <c r="D270" s="74"/>
      <c r="E270" s="74"/>
      <c r="F270" s="74"/>
      <c r="G270" s="136"/>
      <c r="H270" s="138"/>
    </row>
    <row r="271" spans="1:9" x14ac:dyDescent="0.25">
      <c r="B271" s="135" t="s">
        <v>1178</v>
      </c>
      <c r="C271" s="74"/>
      <c r="D271" s="74"/>
      <c r="E271" s="74"/>
      <c r="F271" s="74"/>
      <c r="G271" s="136"/>
      <c r="H271" s="138"/>
    </row>
    <row r="272" spans="1:9" x14ac:dyDescent="0.25">
      <c r="B272" s="74" t="s">
        <v>1138</v>
      </c>
      <c r="C272" s="74">
        <v>1</v>
      </c>
      <c r="D272" s="74">
        <v>1.1499999999999999</v>
      </c>
      <c r="E272" s="74">
        <v>1.1000000000000001</v>
      </c>
      <c r="F272" s="74">
        <v>0.35</v>
      </c>
      <c r="G272" s="136">
        <f t="shared" ref="G272:G310" si="24">ROUND(D272*E272*F272,2)</f>
        <v>0.44</v>
      </c>
      <c r="H272" s="138">
        <f t="shared" ref="H272:H310" si="25">G272*C272</f>
        <v>0.44</v>
      </c>
    </row>
    <row r="273" spans="2:8" x14ac:dyDescent="0.25">
      <c r="B273" s="74" t="s">
        <v>1125</v>
      </c>
      <c r="C273" s="74">
        <v>1</v>
      </c>
      <c r="D273" s="74">
        <v>0.95</v>
      </c>
      <c r="E273" s="74">
        <v>1.1000000000000001</v>
      </c>
      <c r="F273" s="74">
        <v>0.3</v>
      </c>
      <c r="G273" s="136">
        <f t="shared" si="24"/>
        <v>0.31</v>
      </c>
      <c r="H273" s="138">
        <f t="shared" si="25"/>
        <v>0.31</v>
      </c>
    </row>
    <row r="274" spans="2:8" x14ac:dyDescent="0.25">
      <c r="B274" s="74" t="s">
        <v>1126</v>
      </c>
      <c r="C274" s="74">
        <v>1</v>
      </c>
      <c r="D274" s="74">
        <v>1.1499999999999999</v>
      </c>
      <c r="E274" s="74">
        <v>1.1000000000000001</v>
      </c>
      <c r="F274" s="74">
        <v>0.3</v>
      </c>
      <c r="G274" s="136">
        <f t="shared" si="24"/>
        <v>0.38</v>
      </c>
      <c r="H274" s="138">
        <f t="shared" si="25"/>
        <v>0.38</v>
      </c>
    </row>
    <row r="275" spans="2:8" x14ac:dyDescent="0.25">
      <c r="B275" s="74" t="s">
        <v>1127</v>
      </c>
      <c r="C275" s="74">
        <v>1</v>
      </c>
      <c r="D275" s="74">
        <v>1.05</v>
      </c>
      <c r="E275" s="74">
        <v>1.5</v>
      </c>
      <c r="F275" s="74">
        <v>0.4</v>
      </c>
      <c r="G275" s="136">
        <f t="shared" si="24"/>
        <v>0.63</v>
      </c>
      <c r="H275" s="138">
        <f t="shared" si="25"/>
        <v>0.63</v>
      </c>
    </row>
    <row r="276" spans="2:8" x14ac:dyDescent="0.25">
      <c r="B276" s="74" t="s">
        <v>1145</v>
      </c>
      <c r="C276" s="74">
        <v>2</v>
      </c>
      <c r="D276" s="74">
        <v>0.95</v>
      </c>
      <c r="E276" s="74">
        <v>1.1000000000000001</v>
      </c>
      <c r="F276" s="74">
        <v>0.3</v>
      </c>
      <c r="G276" s="136">
        <f t="shared" si="24"/>
        <v>0.31</v>
      </c>
      <c r="H276" s="138">
        <f t="shared" si="25"/>
        <v>0.62</v>
      </c>
    </row>
    <row r="277" spans="2:8" x14ac:dyDescent="0.25">
      <c r="B277" s="74" t="s">
        <v>1131</v>
      </c>
      <c r="C277" s="74">
        <v>1</v>
      </c>
      <c r="D277" s="74">
        <v>2.2000000000000002</v>
      </c>
      <c r="E277" s="74">
        <v>1.55</v>
      </c>
      <c r="F277" s="74">
        <v>0.5</v>
      </c>
      <c r="G277" s="136">
        <f t="shared" si="24"/>
        <v>1.71</v>
      </c>
      <c r="H277" s="138">
        <f t="shared" si="25"/>
        <v>1.71</v>
      </c>
    </row>
    <row r="278" spans="2:8" x14ac:dyDescent="0.25">
      <c r="B278" s="74" t="s">
        <v>1132</v>
      </c>
      <c r="C278" s="74">
        <v>1</v>
      </c>
      <c r="D278" s="74">
        <v>1.5</v>
      </c>
      <c r="E278" s="74">
        <v>1.05</v>
      </c>
      <c r="F278" s="74">
        <v>0.4</v>
      </c>
      <c r="G278" s="136">
        <f t="shared" si="24"/>
        <v>0.63</v>
      </c>
      <c r="H278" s="138">
        <f t="shared" si="25"/>
        <v>0.63</v>
      </c>
    </row>
    <row r="279" spans="2:8" x14ac:dyDescent="0.25">
      <c r="B279" s="74" t="s">
        <v>1133</v>
      </c>
      <c r="C279" s="74">
        <v>1</v>
      </c>
      <c r="D279" s="74">
        <v>0.95</v>
      </c>
      <c r="E279" s="74">
        <v>1.2</v>
      </c>
      <c r="F279" s="74">
        <v>0.3</v>
      </c>
      <c r="G279" s="136">
        <f t="shared" si="24"/>
        <v>0.34</v>
      </c>
      <c r="H279" s="138">
        <f t="shared" si="25"/>
        <v>0.34</v>
      </c>
    </row>
    <row r="280" spans="2:8" x14ac:dyDescent="0.25">
      <c r="B280" s="74" t="s">
        <v>1139</v>
      </c>
      <c r="C280" s="74">
        <v>1</v>
      </c>
      <c r="D280" s="74">
        <v>1.3</v>
      </c>
      <c r="E280" s="74">
        <v>1.3</v>
      </c>
      <c r="F280" s="74">
        <v>0.35</v>
      </c>
      <c r="G280" s="136">
        <f t="shared" si="24"/>
        <v>0.59</v>
      </c>
      <c r="H280" s="138">
        <f t="shared" si="25"/>
        <v>0.59</v>
      </c>
    </row>
    <row r="281" spans="2:8" x14ac:dyDescent="0.25">
      <c r="B281" s="74" t="s">
        <v>1140</v>
      </c>
      <c r="C281" s="74">
        <v>1</v>
      </c>
      <c r="D281" s="74">
        <v>2</v>
      </c>
      <c r="E281" s="74">
        <v>2</v>
      </c>
      <c r="F281" s="74">
        <v>0.4</v>
      </c>
      <c r="G281" s="136">
        <f t="shared" si="24"/>
        <v>1.6</v>
      </c>
      <c r="H281" s="138">
        <f t="shared" si="25"/>
        <v>1.6</v>
      </c>
    </row>
    <row r="282" spans="2:8" x14ac:dyDescent="0.25">
      <c r="B282" s="74" t="s">
        <v>1146</v>
      </c>
      <c r="C282" s="74">
        <v>1</v>
      </c>
      <c r="D282" s="74">
        <v>2.4</v>
      </c>
      <c r="E282" s="74">
        <v>2.4</v>
      </c>
      <c r="F282" s="74">
        <v>0.55000000000000004</v>
      </c>
      <c r="G282" s="136">
        <f t="shared" si="24"/>
        <v>3.17</v>
      </c>
      <c r="H282" s="138">
        <f t="shared" si="25"/>
        <v>3.17</v>
      </c>
    </row>
    <row r="283" spans="2:8" x14ac:dyDescent="0.25">
      <c r="B283" s="74" t="s">
        <v>1141</v>
      </c>
      <c r="C283" s="74">
        <v>1</v>
      </c>
      <c r="D283" s="74">
        <v>1.6</v>
      </c>
      <c r="E283" s="74">
        <v>1.6</v>
      </c>
      <c r="F283" s="74">
        <v>0.45</v>
      </c>
      <c r="G283" s="136">
        <f t="shared" si="24"/>
        <v>1.1499999999999999</v>
      </c>
      <c r="H283" s="138">
        <f t="shared" si="25"/>
        <v>1.1499999999999999</v>
      </c>
    </row>
    <row r="284" spans="2:8" x14ac:dyDescent="0.25">
      <c r="B284" s="74" t="s">
        <v>1142</v>
      </c>
      <c r="C284" s="74">
        <v>1</v>
      </c>
      <c r="D284" s="74">
        <v>1.85</v>
      </c>
      <c r="E284" s="74">
        <v>1.3</v>
      </c>
      <c r="F284" s="74">
        <v>0.45</v>
      </c>
      <c r="G284" s="136">
        <f t="shared" si="24"/>
        <v>1.08</v>
      </c>
      <c r="H284" s="138">
        <f t="shared" si="25"/>
        <v>1.08</v>
      </c>
    </row>
    <row r="285" spans="2:8" x14ac:dyDescent="0.25">
      <c r="B285" s="74" t="s">
        <v>1147</v>
      </c>
      <c r="C285" s="74">
        <v>1</v>
      </c>
      <c r="D285" s="74">
        <v>1.25</v>
      </c>
      <c r="E285" s="74">
        <v>1.8</v>
      </c>
      <c r="F285" s="74">
        <v>0.45</v>
      </c>
      <c r="G285" s="136">
        <f t="shared" si="24"/>
        <v>1.01</v>
      </c>
      <c r="H285" s="138">
        <f t="shared" si="25"/>
        <v>1.01</v>
      </c>
    </row>
    <row r="286" spans="2:8" x14ac:dyDescent="0.25">
      <c r="B286" s="74" t="s">
        <v>1148</v>
      </c>
      <c r="C286" s="74">
        <v>1</v>
      </c>
      <c r="D286" s="74">
        <v>1.3</v>
      </c>
      <c r="E286" s="74">
        <v>0.9</v>
      </c>
      <c r="F286" s="74">
        <v>0.3</v>
      </c>
      <c r="G286" s="136">
        <f t="shared" si="24"/>
        <v>0.35</v>
      </c>
      <c r="H286" s="138">
        <f t="shared" si="25"/>
        <v>0.35</v>
      </c>
    </row>
    <row r="287" spans="2:8" x14ac:dyDescent="0.25">
      <c r="B287" s="74" t="s">
        <v>1143</v>
      </c>
      <c r="C287" s="74">
        <v>1</v>
      </c>
      <c r="D287" s="74">
        <v>1.05</v>
      </c>
      <c r="E287" s="74">
        <v>1.5</v>
      </c>
      <c r="F287" s="74">
        <v>0.4</v>
      </c>
      <c r="G287" s="136">
        <f t="shared" si="24"/>
        <v>0.63</v>
      </c>
      <c r="H287" s="138">
        <f t="shared" si="25"/>
        <v>0.63</v>
      </c>
    </row>
    <row r="288" spans="2:8" x14ac:dyDescent="0.25">
      <c r="B288" s="74" t="s">
        <v>1149</v>
      </c>
      <c r="C288" s="74">
        <v>1</v>
      </c>
      <c r="D288" s="74">
        <v>1.25</v>
      </c>
      <c r="E288" s="74">
        <v>1.4</v>
      </c>
      <c r="F288" s="74">
        <v>0.35</v>
      </c>
      <c r="G288" s="136">
        <f t="shared" si="24"/>
        <v>0.61</v>
      </c>
      <c r="H288" s="138">
        <f t="shared" si="25"/>
        <v>0.61</v>
      </c>
    </row>
    <row r="289" spans="2:8" x14ac:dyDescent="0.25">
      <c r="B289" s="74" t="s">
        <v>1150</v>
      </c>
      <c r="C289" s="74">
        <v>1</v>
      </c>
      <c r="D289" s="74">
        <v>1.25</v>
      </c>
      <c r="E289" s="74">
        <v>1.4</v>
      </c>
      <c r="F289" s="74">
        <v>0.35</v>
      </c>
      <c r="G289" s="136">
        <f t="shared" si="24"/>
        <v>0.61</v>
      </c>
      <c r="H289" s="138">
        <f t="shared" si="25"/>
        <v>0.61</v>
      </c>
    </row>
    <row r="290" spans="2:8" x14ac:dyDescent="0.25">
      <c r="B290" s="74" t="s">
        <v>1151</v>
      </c>
      <c r="C290" s="74">
        <v>1</v>
      </c>
      <c r="D290" s="74">
        <v>1.8</v>
      </c>
      <c r="E290" s="74">
        <v>1.2</v>
      </c>
      <c r="F290" s="74">
        <v>0.5</v>
      </c>
      <c r="G290" s="136">
        <f t="shared" si="24"/>
        <v>1.08</v>
      </c>
      <c r="H290" s="138">
        <f t="shared" si="25"/>
        <v>1.08</v>
      </c>
    </row>
    <row r="291" spans="2:8" x14ac:dyDescent="0.25">
      <c r="B291" s="74" t="s">
        <v>1152</v>
      </c>
      <c r="C291" s="74">
        <v>1</v>
      </c>
      <c r="D291" s="74">
        <v>2.5</v>
      </c>
      <c r="E291" s="74">
        <v>1.7</v>
      </c>
      <c r="F291" s="74">
        <v>0.7</v>
      </c>
      <c r="G291" s="136">
        <f t="shared" si="24"/>
        <v>2.98</v>
      </c>
      <c r="H291" s="138">
        <f t="shared" si="25"/>
        <v>2.98</v>
      </c>
    </row>
    <row r="292" spans="2:8" x14ac:dyDescent="0.25">
      <c r="B292" s="74" t="s">
        <v>1153</v>
      </c>
      <c r="C292" s="74">
        <v>1</v>
      </c>
      <c r="D292" s="74">
        <v>1.3</v>
      </c>
      <c r="E292" s="74">
        <v>1.9</v>
      </c>
      <c r="F292" s="74">
        <v>0.55000000000000004</v>
      </c>
      <c r="G292" s="136">
        <f t="shared" si="24"/>
        <v>1.36</v>
      </c>
      <c r="H292" s="138">
        <f t="shared" si="25"/>
        <v>1.36</v>
      </c>
    </row>
    <row r="293" spans="2:8" x14ac:dyDescent="0.25">
      <c r="B293" s="74" t="s">
        <v>1154</v>
      </c>
      <c r="C293" s="74">
        <v>1</v>
      </c>
      <c r="D293" s="74">
        <v>2.2999999999999998</v>
      </c>
      <c r="E293" s="74">
        <v>1.6</v>
      </c>
      <c r="F293" s="74">
        <v>0.65</v>
      </c>
      <c r="G293" s="136">
        <f t="shared" si="24"/>
        <v>2.39</v>
      </c>
      <c r="H293" s="138">
        <f t="shared" si="25"/>
        <v>2.39</v>
      </c>
    </row>
    <row r="294" spans="2:8" x14ac:dyDescent="0.25">
      <c r="B294" s="74" t="s">
        <v>1155</v>
      </c>
      <c r="C294" s="74">
        <v>1</v>
      </c>
      <c r="D294" s="74">
        <v>2.2999999999999998</v>
      </c>
      <c r="E294" s="74">
        <v>1.6</v>
      </c>
      <c r="F294" s="74">
        <v>0.65</v>
      </c>
      <c r="G294" s="136">
        <f t="shared" si="24"/>
        <v>2.39</v>
      </c>
      <c r="H294" s="138">
        <f t="shared" si="25"/>
        <v>2.39</v>
      </c>
    </row>
    <row r="295" spans="2:8" x14ac:dyDescent="0.25">
      <c r="B295" s="74" t="s">
        <v>1156</v>
      </c>
      <c r="C295" s="74">
        <v>1</v>
      </c>
      <c r="D295" s="74">
        <v>0.9</v>
      </c>
      <c r="E295" s="74">
        <v>1.1000000000000001</v>
      </c>
      <c r="F295" s="74">
        <v>0.3</v>
      </c>
      <c r="G295" s="136">
        <f t="shared" si="24"/>
        <v>0.3</v>
      </c>
      <c r="H295" s="138">
        <f t="shared" si="25"/>
        <v>0.3</v>
      </c>
    </row>
    <row r="296" spans="2:8" x14ac:dyDescent="0.25">
      <c r="B296" s="74" t="s">
        <v>1157</v>
      </c>
      <c r="C296" s="74">
        <v>1</v>
      </c>
      <c r="D296" s="74">
        <v>1.75</v>
      </c>
      <c r="E296" s="74">
        <v>1.2</v>
      </c>
      <c r="F296" s="74">
        <v>0.5</v>
      </c>
      <c r="G296" s="136">
        <f t="shared" si="24"/>
        <v>1.05</v>
      </c>
      <c r="H296" s="138">
        <f t="shared" si="25"/>
        <v>1.05</v>
      </c>
    </row>
    <row r="297" spans="2:8" x14ac:dyDescent="0.25">
      <c r="B297" s="74" t="s">
        <v>1158</v>
      </c>
      <c r="C297" s="74">
        <v>1</v>
      </c>
      <c r="D297" s="74">
        <v>1.5</v>
      </c>
      <c r="E297" s="74">
        <v>1</v>
      </c>
      <c r="F297" s="74">
        <v>0.35</v>
      </c>
      <c r="G297" s="136">
        <f t="shared" si="24"/>
        <v>0.53</v>
      </c>
      <c r="H297" s="138">
        <f t="shared" si="25"/>
        <v>0.53</v>
      </c>
    </row>
    <row r="298" spans="2:8" x14ac:dyDescent="0.25">
      <c r="B298" s="74" t="s">
        <v>1159</v>
      </c>
      <c r="C298" s="74">
        <v>1</v>
      </c>
      <c r="D298" s="74">
        <v>1.1000000000000001</v>
      </c>
      <c r="E298" s="74">
        <v>0.9</v>
      </c>
      <c r="F298" s="74">
        <v>0.3</v>
      </c>
      <c r="G298" s="136">
        <f t="shared" si="24"/>
        <v>0.3</v>
      </c>
      <c r="H298" s="138">
        <f t="shared" si="25"/>
        <v>0.3</v>
      </c>
    </row>
    <row r="299" spans="2:8" x14ac:dyDescent="0.25">
      <c r="B299" s="74" t="s">
        <v>1160</v>
      </c>
      <c r="C299" s="74">
        <v>2</v>
      </c>
      <c r="D299" s="74">
        <v>1.8</v>
      </c>
      <c r="E299" s="74">
        <v>1.8</v>
      </c>
      <c r="F299" s="74">
        <v>0.3</v>
      </c>
      <c r="G299" s="136">
        <f t="shared" si="24"/>
        <v>0.97</v>
      </c>
      <c r="H299" s="138">
        <f t="shared" si="25"/>
        <v>1.94</v>
      </c>
    </row>
    <row r="300" spans="2:8" x14ac:dyDescent="0.25">
      <c r="B300" s="74" t="s">
        <v>1161</v>
      </c>
      <c r="C300" s="74">
        <v>1</v>
      </c>
      <c r="D300" s="74">
        <v>1.6</v>
      </c>
      <c r="E300" s="74">
        <v>1.1000000000000001</v>
      </c>
      <c r="F300" s="74">
        <v>0.35</v>
      </c>
      <c r="G300" s="136">
        <f t="shared" si="24"/>
        <v>0.62</v>
      </c>
      <c r="H300" s="138">
        <f t="shared" si="25"/>
        <v>0.62</v>
      </c>
    </row>
    <row r="301" spans="2:8" x14ac:dyDescent="0.25">
      <c r="B301" s="74" t="s">
        <v>1162</v>
      </c>
      <c r="C301" s="74">
        <v>1</v>
      </c>
      <c r="D301" s="74">
        <v>1.2</v>
      </c>
      <c r="E301" s="74">
        <v>1.75</v>
      </c>
      <c r="F301" s="74">
        <v>0.45</v>
      </c>
      <c r="G301" s="136">
        <f t="shared" si="24"/>
        <v>0.95</v>
      </c>
      <c r="H301" s="138">
        <f t="shared" si="25"/>
        <v>0.95</v>
      </c>
    </row>
    <row r="302" spans="2:8" x14ac:dyDescent="0.25">
      <c r="B302" s="74" t="s">
        <v>1163</v>
      </c>
      <c r="C302" s="74">
        <v>1</v>
      </c>
      <c r="D302" s="74">
        <v>1.6</v>
      </c>
      <c r="E302" s="74">
        <v>1.1499999999999999</v>
      </c>
      <c r="F302" s="74">
        <v>0.35</v>
      </c>
      <c r="G302" s="136">
        <f t="shared" si="24"/>
        <v>0.64</v>
      </c>
      <c r="H302" s="138">
        <f t="shared" si="25"/>
        <v>0.64</v>
      </c>
    </row>
    <row r="303" spans="2:8" x14ac:dyDescent="0.25">
      <c r="B303" s="74" t="s">
        <v>1164</v>
      </c>
      <c r="C303" s="74">
        <v>1</v>
      </c>
      <c r="D303" s="74">
        <v>1.1000000000000001</v>
      </c>
      <c r="E303" s="74">
        <v>0.85</v>
      </c>
      <c r="F303" s="74">
        <v>0.3</v>
      </c>
      <c r="G303" s="136">
        <f t="shared" si="24"/>
        <v>0.28000000000000003</v>
      </c>
      <c r="H303" s="138">
        <f t="shared" si="25"/>
        <v>0.28000000000000003</v>
      </c>
    </row>
    <row r="304" spans="2:8" x14ac:dyDescent="0.25">
      <c r="B304" s="74" t="s">
        <v>1165</v>
      </c>
      <c r="C304" s="74">
        <v>1</v>
      </c>
      <c r="D304" s="74">
        <v>1.7</v>
      </c>
      <c r="E304" s="74">
        <v>1.1499999999999999</v>
      </c>
      <c r="F304" s="74">
        <v>0.4</v>
      </c>
      <c r="G304" s="136">
        <f t="shared" si="24"/>
        <v>0.78</v>
      </c>
      <c r="H304" s="138">
        <f t="shared" si="25"/>
        <v>0.78</v>
      </c>
    </row>
    <row r="305" spans="1:11" x14ac:dyDescent="0.25">
      <c r="B305" s="74" t="s">
        <v>1166</v>
      </c>
      <c r="C305" s="74">
        <v>1</v>
      </c>
      <c r="D305" s="74">
        <v>0.95</v>
      </c>
      <c r="E305" s="74">
        <v>0.95</v>
      </c>
      <c r="F305" s="74">
        <v>0.4</v>
      </c>
      <c r="G305" s="136">
        <f t="shared" si="24"/>
        <v>0.36</v>
      </c>
      <c r="H305" s="138">
        <f t="shared" si="25"/>
        <v>0.36</v>
      </c>
    </row>
    <row r="306" spans="1:11" x14ac:dyDescent="0.25">
      <c r="B306" s="74" t="s">
        <v>1167</v>
      </c>
      <c r="C306" s="74">
        <v>2</v>
      </c>
      <c r="D306" s="74">
        <v>1</v>
      </c>
      <c r="E306" s="74">
        <v>0.85</v>
      </c>
      <c r="F306" s="74">
        <v>0.3</v>
      </c>
      <c r="G306" s="136">
        <f t="shared" si="24"/>
        <v>0.26</v>
      </c>
      <c r="H306" s="138">
        <f t="shared" si="25"/>
        <v>0.52</v>
      </c>
    </row>
    <row r="307" spans="1:11" x14ac:dyDescent="0.25">
      <c r="B307" s="74" t="s">
        <v>1168</v>
      </c>
      <c r="C307" s="74">
        <v>1</v>
      </c>
      <c r="D307" s="74">
        <v>1.1000000000000001</v>
      </c>
      <c r="E307" s="74">
        <v>1</v>
      </c>
      <c r="F307" s="74">
        <v>0.3</v>
      </c>
      <c r="G307" s="136">
        <f t="shared" si="24"/>
        <v>0.33</v>
      </c>
      <c r="H307" s="138">
        <f t="shared" si="25"/>
        <v>0.33</v>
      </c>
    </row>
    <row r="308" spans="1:11" x14ac:dyDescent="0.25">
      <c r="B308" s="74" t="s">
        <v>1169</v>
      </c>
      <c r="C308" s="74">
        <v>1</v>
      </c>
      <c r="D308" s="74">
        <v>1.1000000000000001</v>
      </c>
      <c r="E308" s="74">
        <v>0.9</v>
      </c>
      <c r="F308" s="74">
        <v>0.3</v>
      </c>
      <c r="G308" s="136">
        <f t="shared" si="24"/>
        <v>0.3</v>
      </c>
      <c r="H308" s="138">
        <f t="shared" si="25"/>
        <v>0.3</v>
      </c>
    </row>
    <row r="309" spans="1:11" x14ac:dyDescent="0.25">
      <c r="B309" s="74" t="s">
        <v>1170</v>
      </c>
      <c r="C309" s="74">
        <v>1</v>
      </c>
      <c r="D309" s="74">
        <v>1.1000000000000001</v>
      </c>
      <c r="E309" s="74">
        <v>0.9</v>
      </c>
      <c r="F309" s="74">
        <v>0.3</v>
      </c>
      <c r="G309" s="136">
        <f t="shared" si="24"/>
        <v>0.3</v>
      </c>
      <c r="H309" s="138">
        <f t="shared" si="25"/>
        <v>0.3</v>
      </c>
    </row>
    <row r="310" spans="1:11" x14ac:dyDescent="0.25">
      <c r="B310" s="74" t="s">
        <v>1171</v>
      </c>
      <c r="C310" s="74">
        <v>2</v>
      </c>
      <c r="D310" s="74">
        <v>1.1000000000000001</v>
      </c>
      <c r="E310" s="74">
        <v>0.9</v>
      </c>
      <c r="F310" s="74">
        <v>0.3</v>
      </c>
      <c r="G310" s="136">
        <f t="shared" si="24"/>
        <v>0.3</v>
      </c>
      <c r="H310" s="138">
        <f t="shared" si="25"/>
        <v>0.6</v>
      </c>
    </row>
    <row r="311" spans="1:11" x14ac:dyDescent="0.25">
      <c r="B311" s="74"/>
      <c r="C311" s="74"/>
      <c r="D311" s="74"/>
      <c r="E311" s="74"/>
      <c r="F311" s="74"/>
      <c r="G311" s="136"/>
      <c r="H311" s="138"/>
    </row>
    <row r="312" spans="1:11" x14ac:dyDescent="0.25">
      <c r="B312" s="136"/>
      <c r="C312" s="136"/>
      <c r="D312" s="136"/>
      <c r="E312" s="136"/>
      <c r="F312" s="136"/>
      <c r="G312" s="136"/>
      <c r="H312" s="136"/>
    </row>
    <row r="313" spans="1:11" x14ac:dyDescent="0.25">
      <c r="A313" s="86" t="s">
        <v>1181</v>
      </c>
      <c r="B313" s="266" t="str">
        <f>'[1]BM_02.'!B42</f>
        <v>ARMAÇÃO DE BLOCO, VIGA BALDRAME E SAPATA UTILIZANDO AÇO CA-60 DE 5 MM - MONTAGEM. AF_06/2017</v>
      </c>
      <c r="C313" s="266"/>
      <c r="D313" s="266"/>
      <c r="E313" s="266"/>
      <c r="F313" s="266"/>
      <c r="G313" s="266"/>
      <c r="H313" s="87">
        <f>SUM(H316:H379)</f>
        <v>89.811003333333346</v>
      </c>
      <c r="I313" s="134" t="s">
        <v>128</v>
      </c>
    </row>
    <row r="314" spans="1:11" x14ac:dyDescent="0.25">
      <c r="B314" s="136"/>
      <c r="C314" s="136"/>
      <c r="D314" s="136"/>
      <c r="E314" s="136"/>
      <c r="F314" s="136"/>
      <c r="G314" s="136"/>
      <c r="H314" s="136"/>
    </row>
    <row r="315" spans="1:11" x14ac:dyDescent="0.25">
      <c r="B315" s="135" t="s">
        <v>1182</v>
      </c>
      <c r="C315" s="74"/>
      <c r="D315" s="144" t="s">
        <v>1183</v>
      </c>
      <c r="E315" s="145" t="s">
        <v>1184</v>
      </c>
      <c r="F315" s="146"/>
      <c r="G315" s="74"/>
      <c r="H315" s="74"/>
    </row>
    <row r="316" spans="1:11" x14ac:dyDescent="0.25">
      <c r="B316" s="74" t="s">
        <v>1185</v>
      </c>
      <c r="C316" s="74">
        <v>1</v>
      </c>
      <c r="D316" s="74">
        <v>1.2</v>
      </c>
      <c r="E316" s="74">
        <v>0.78</v>
      </c>
      <c r="F316" s="74"/>
      <c r="G316" s="74">
        <f>((D316/0.12)*E316)*C316</f>
        <v>7.8000000000000007</v>
      </c>
      <c r="H316" s="74">
        <f>G316*0.154</f>
        <v>1.2012</v>
      </c>
      <c r="K316" s="143"/>
    </row>
    <row r="317" spans="1:11" x14ac:dyDescent="0.25">
      <c r="B317" s="74" t="s">
        <v>1186</v>
      </c>
      <c r="C317" s="74">
        <v>1</v>
      </c>
      <c r="D317" s="74"/>
      <c r="E317" s="74">
        <v>1.58</v>
      </c>
      <c r="F317" s="74"/>
      <c r="G317" s="74">
        <f t="shared" ref="G317:G338" si="26">((D317/0.12)*E317)*C317</f>
        <v>0</v>
      </c>
      <c r="H317" s="74">
        <f t="shared" ref="H317:H338" si="27">G317*0.154</f>
        <v>0</v>
      </c>
    </row>
    <row r="318" spans="1:11" x14ac:dyDescent="0.25">
      <c r="B318" s="74" t="s">
        <v>1146</v>
      </c>
      <c r="C318" s="74">
        <v>1</v>
      </c>
      <c r="D318" s="74">
        <v>0.6</v>
      </c>
      <c r="E318" s="74">
        <v>0.78</v>
      </c>
      <c r="F318" s="74"/>
      <c r="G318" s="74">
        <f>((D318/0.12)*E318)*C318</f>
        <v>3.9000000000000004</v>
      </c>
      <c r="H318" s="74">
        <f t="shared" si="27"/>
        <v>0.60060000000000002</v>
      </c>
    </row>
    <row r="319" spans="1:11" x14ac:dyDescent="0.25">
      <c r="B319" s="74" t="s">
        <v>1187</v>
      </c>
      <c r="C319" s="74">
        <v>1</v>
      </c>
      <c r="D319" s="74"/>
      <c r="E319" s="74">
        <v>1.58</v>
      </c>
      <c r="F319" s="74"/>
      <c r="G319" s="74">
        <f t="shared" si="26"/>
        <v>0</v>
      </c>
      <c r="H319" s="74">
        <f t="shared" si="27"/>
        <v>0</v>
      </c>
    </row>
    <row r="320" spans="1:11" x14ac:dyDescent="0.25">
      <c r="B320" s="74" t="s">
        <v>1125</v>
      </c>
      <c r="C320" s="74">
        <v>1</v>
      </c>
      <c r="D320" s="74">
        <v>1.1000000000000001</v>
      </c>
      <c r="E320" s="74">
        <v>0.78</v>
      </c>
      <c r="F320" s="74"/>
      <c r="G320" s="74">
        <f>((D320/0.12)*E320)*C320</f>
        <v>7.1500000000000012</v>
      </c>
      <c r="H320" s="74">
        <f t="shared" si="27"/>
        <v>1.1011000000000002</v>
      </c>
    </row>
    <row r="321" spans="2:8" x14ac:dyDescent="0.25">
      <c r="B321" s="74" t="s">
        <v>1126</v>
      </c>
      <c r="C321" s="74">
        <v>1</v>
      </c>
      <c r="D321" s="74">
        <v>1.4</v>
      </c>
      <c r="E321" s="74">
        <v>0.78</v>
      </c>
      <c r="F321" s="74"/>
      <c r="G321" s="74">
        <f t="shared" si="26"/>
        <v>9.1</v>
      </c>
      <c r="H321" s="74">
        <f t="shared" si="27"/>
        <v>1.4014</v>
      </c>
    </row>
    <row r="322" spans="2:8" x14ac:dyDescent="0.25">
      <c r="B322" s="74" t="s">
        <v>1127</v>
      </c>
      <c r="C322" s="74">
        <v>1</v>
      </c>
      <c r="D322" s="74">
        <v>0.5</v>
      </c>
      <c r="E322" s="74">
        <v>0.78</v>
      </c>
      <c r="F322" s="74"/>
      <c r="G322" s="74">
        <f>((D322/0.12)*E322)*C322</f>
        <v>3.2500000000000004</v>
      </c>
      <c r="H322" s="74">
        <f t="shared" si="27"/>
        <v>0.50050000000000006</v>
      </c>
    </row>
    <row r="323" spans="2:8" x14ac:dyDescent="0.25">
      <c r="B323" s="74" t="s">
        <v>1128</v>
      </c>
      <c r="C323" s="74">
        <v>1</v>
      </c>
      <c r="D323" s="74">
        <v>1.05</v>
      </c>
      <c r="E323" s="74">
        <v>0.78</v>
      </c>
      <c r="F323" s="74"/>
      <c r="G323" s="74">
        <f t="shared" si="26"/>
        <v>6.8250000000000002</v>
      </c>
      <c r="H323" s="74">
        <f t="shared" si="27"/>
        <v>1.05105</v>
      </c>
    </row>
    <row r="324" spans="2:8" x14ac:dyDescent="0.25">
      <c r="B324" s="74" t="s">
        <v>1129</v>
      </c>
      <c r="C324" s="74">
        <v>1</v>
      </c>
      <c r="D324" s="74">
        <v>0.35</v>
      </c>
      <c r="E324" s="74">
        <v>0.78</v>
      </c>
      <c r="F324" s="74"/>
      <c r="G324" s="74">
        <f t="shared" si="26"/>
        <v>2.2749999999999999</v>
      </c>
      <c r="H324" s="74">
        <f t="shared" si="27"/>
        <v>0.35034999999999999</v>
      </c>
    </row>
    <row r="325" spans="2:8" x14ac:dyDescent="0.25">
      <c r="B325" s="74" t="s">
        <v>1130</v>
      </c>
      <c r="C325" s="74">
        <v>1</v>
      </c>
      <c r="D325" s="74">
        <v>1</v>
      </c>
      <c r="E325" s="74">
        <v>0.78</v>
      </c>
      <c r="F325" s="74"/>
      <c r="G325" s="74">
        <f t="shared" si="26"/>
        <v>6.5000000000000009</v>
      </c>
      <c r="H325" s="74">
        <f t="shared" si="27"/>
        <v>1.0010000000000001</v>
      </c>
    </row>
    <row r="326" spans="2:8" x14ac:dyDescent="0.25">
      <c r="B326" s="74" t="s">
        <v>1131</v>
      </c>
      <c r="C326" s="74">
        <v>1</v>
      </c>
      <c r="D326" s="74">
        <v>1.1000000000000001</v>
      </c>
      <c r="E326" s="74">
        <v>0.78</v>
      </c>
      <c r="F326" s="74"/>
      <c r="G326" s="74">
        <f t="shared" si="26"/>
        <v>7.1500000000000012</v>
      </c>
      <c r="H326" s="74">
        <f t="shared" si="27"/>
        <v>1.1011000000000002</v>
      </c>
    </row>
    <row r="327" spans="2:8" x14ac:dyDescent="0.25">
      <c r="B327" s="74" t="s">
        <v>1132</v>
      </c>
      <c r="C327" s="74">
        <v>1</v>
      </c>
      <c r="D327" s="74">
        <v>1.1499999999999999</v>
      </c>
      <c r="E327" s="74">
        <v>0.78</v>
      </c>
      <c r="F327" s="74"/>
      <c r="G327" s="74">
        <f t="shared" si="26"/>
        <v>7.4749999999999996</v>
      </c>
      <c r="H327" s="74">
        <f t="shared" si="27"/>
        <v>1.1511499999999999</v>
      </c>
    </row>
    <row r="328" spans="2:8" x14ac:dyDescent="0.25">
      <c r="B328" s="74" t="s">
        <v>1133</v>
      </c>
      <c r="C328" s="74">
        <v>1</v>
      </c>
      <c r="D328" s="74">
        <v>1</v>
      </c>
      <c r="E328" s="74">
        <v>0.78</v>
      </c>
      <c r="F328" s="74"/>
      <c r="G328" s="74">
        <f t="shared" si="26"/>
        <v>6.5000000000000009</v>
      </c>
      <c r="H328" s="74">
        <f t="shared" si="27"/>
        <v>1.0010000000000001</v>
      </c>
    </row>
    <row r="329" spans="2:8" x14ac:dyDescent="0.25">
      <c r="B329" s="74" t="s">
        <v>1134</v>
      </c>
      <c r="C329" s="74">
        <v>1</v>
      </c>
      <c r="D329" s="74">
        <v>1.5</v>
      </c>
      <c r="E329" s="74">
        <v>0.78</v>
      </c>
      <c r="F329" s="74"/>
      <c r="G329" s="74">
        <f t="shared" si="26"/>
        <v>9.75</v>
      </c>
      <c r="H329" s="74">
        <f t="shared" si="27"/>
        <v>1.5015000000000001</v>
      </c>
    </row>
    <row r="330" spans="2:8" x14ac:dyDescent="0.25">
      <c r="B330" s="74" t="s">
        <v>1135</v>
      </c>
      <c r="C330" s="74">
        <v>1</v>
      </c>
      <c r="D330" s="74">
        <v>0.4</v>
      </c>
      <c r="E330" s="74">
        <v>0.78</v>
      </c>
      <c r="F330" s="74"/>
      <c r="G330" s="74">
        <f t="shared" si="26"/>
        <v>2.6</v>
      </c>
      <c r="H330" s="74">
        <f t="shared" si="27"/>
        <v>0.40040000000000003</v>
      </c>
    </row>
    <row r="331" spans="2:8" x14ac:dyDescent="0.25">
      <c r="B331" s="74" t="s">
        <v>1136</v>
      </c>
      <c r="C331" s="74">
        <v>3</v>
      </c>
      <c r="D331" s="74"/>
      <c r="E331" s="74">
        <v>1.58</v>
      </c>
      <c r="F331" s="74"/>
      <c r="G331" s="74">
        <f t="shared" si="26"/>
        <v>0</v>
      </c>
      <c r="H331" s="74">
        <f t="shared" si="27"/>
        <v>0</v>
      </c>
    </row>
    <row r="332" spans="2:8" x14ac:dyDescent="0.25">
      <c r="B332" s="74" t="s">
        <v>1137</v>
      </c>
      <c r="C332" s="74">
        <v>4</v>
      </c>
      <c r="D332" s="74"/>
      <c r="E332" s="74">
        <v>1.58</v>
      </c>
      <c r="F332" s="74"/>
      <c r="G332" s="74">
        <f t="shared" si="26"/>
        <v>0</v>
      </c>
      <c r="H332" s="74">
        <f t="shared" si="27"/>
        <v>0</v>
      </c>
    </row>
    <row r="333" spans="2:8" x14ac:dyDescent="0.25">
      <c r="B333" s="74" t="s">
        <v>1138</v>
      </c>
      <c r="C333" s="74">
        <v>1</v>
      </c>
      <c r="D333" s="74">
        <v>0.65</v>
      </c>
      <c r="E333" s="74">
        <v>0.78</v>
      </c>
      <c r="F333" s="74"/>
      <c r="G333" s="74">
        <f t="shared" si="26"/>
        <v>4.2250000000000005</v>
      </c>
      <c r="H333" s="74">
        <f t="shared" si="27"/>
        <v>0.65065000000000006</v>
      </c>
    </row>
    <row r="334" spans="2:8" x14ac:dyDescent="0.25">
      <c r="B334" s="74" t="s">
        <v>1139</v>
      </c>
      <c r="C334" s="74">
        <v>1</v>
      </c>
      <c r="D334" s="74">
        <v>1.3</v>
      </c>
      <c r="E334" s="74">
        <v>0.78</v>
      </c>
      <c r="F334" s="74"/>
      <c r="G334" s="74">
        <f t="shared" si="26"/>
        <v>8.4500000000000011</v>
      </c>
      <c r="H334" s="74">
        <f t="shared" si="27"/>
        <v>1.3013000000000001</v>
      </c>
    </row>
    <row r="335" spans="2:8" x14ac:dyDescent="0.25">
      <c r="B335" s="74" t="s">
        <v>1140</v>
      </c>
      <c r="C335" s="74">
        <v>1</v>
      </c>
      <c r="D335" s="74">
        <v>1.6</v>
      </c>
      <c r="E335" s="74">
        <v>0.78</v>
      </c>
      <c r="F335" s="74"/>
      <c r="G335" s="74">
        <f t="shared" si="26"/>
        <v>10.4</v>
      </c>
      <c r="H335" s="74">
        <f t="shared" si="27"/>
        <v>1.6016000000000001</v>
      </c>
    </row>
    <row r="336" spans="2:8" x14ac:dyDescent="0.25">
      <c r="B336" s="74" t="s">
        <v>1141</v>
      </c>
      <c r="C336" s="74">
        <v>1</v>
      </c>
      <c r="D336" s="74">
        <v>1.2</v>
      </c>
      <c r="E336" s="74">
        <v>0.78</v>
      </c>
      <c r="F336" s="74"/>
      <c r="G336" s="74">
        <f t="shared" si="26"/>
        <v>7.8000000000000007</v>
      </c>
      <c r="H336" s="74">
        <f t="shared" si="27"/>
        <v>1.2012</v>
      </c>
    </row>
    <row r="337" spans="2:11" x14ac:dyDescent="0.25">
      <c r="B337" s="74" t="s">
        <v>1142</v>
      </c>
      <c r="C337" s="74">
        <v>1</v>
      </c>
      <c r="D337" s="74">
        <v>0.9</v>
      </c>
      <c r="E337" s="74">
        <v>0.78</v>
      </c>
      <c r="F337" s="74"/>
      <c r="G337" s="74">
        <f t="shared" si="26"/>
        <v>5.8500000000000005</v>
      </c>
      <c r="H337" s="74">
        <f t="shared" si="27"/>
        <v>0.90090000000000003</v>
      </c>
    </row>
    <row r="338" spans="2:11" x14ac:dyDescent="0.25">
      <c r="B338" s="74" t="s">
        <v>1143</v>
      </c>
      <c r="C338" s="74">
        <v>1</v>
      </c>
      <c r="D338" s="74">
        <v>0.95</v>
      </c>
      <c r="E338" s="74">
        <v>0.78</v>
      </c>
      <c r="F338" s="74"/>
      <c r="G338" s="74">
        <f t="shared" si="26"/>
        <v>6.1750000000000007</v>
      </c>
      <c r="H338" s="74">
        <f t="shared" si="27"/>
        <v>0.95095000000000007</v>
      </c>
    </row>
    <row r="339" spans="2:11" x14ac:dyDescent="0.25">
      <c r="B339" s="74"/>
      <c r="C339" s="74"/>
      <c r="D339" s="74"/>
      <c r="E339" s="74"/>
      <c r="F339" s="74"/>
      <c r="G339" s="74"/>
      <c r="H339" s="74"/>
    </row>
    <row r="340" spans="2:11" x14ac:dyDescent="0.25">
      <c r="B340" s="135" t="s">
        <v>1188</v>
      </c>
      <c r="C340" s="74"/>
      <c r="D340" s="144" t="s">
        <v>1183</v>
      </c>
      <c r="E340" s="145" t="s">
        <v>1184</v>
      </c>
      <c r="F340" s="146"/>
      <c r="G340" s="74"/>
      <c r="H340" s="74"/>
    </row>
    <row r="341" spans="2:11" x14ac:dyDescent="0.25">
      <c r="B341" s="74" t="s">
        <v>1138</v>
      </c>
      <c r="C341" s="74">
        <v>1</v>
      </c>
      <c r="D341" s="74">
        <v>1.5</v>
      </c>
      <c r="E341" s="74">
        <v>0.98</v>
      </c>
      <c r="F341" s="74"/>
      <c r="G341" s="74">
        <f t="shared" ref="G341:G379" si="28">((D341/0.12)*E341)*C341</f>
        <v>12.25</v>
      </c>
      <c r="H341" s="74">
        <f t="shared" ref="H341:H379" si="29">G341*0.154</f>
        <v>1.8865000000000001</v>
      </c>
      <c r="J341" s="143"/>
      <c r="K341" s="143"/>
    </row>
    <row r="342" spans="2:11" x14ac:dyDescent="0.25">
      <c r="B342" s="74" t="s">
        <v>1125</v>
      </c>
      <c r="C342" s="74">
        <v>1</v>
      </c>
      <c r="D342" s="74">
        <v>1.1000000000000001</v>
      </c>
      <c r="E342" s="74">
        <v>1.18</v>
      </c>
      <c r="F342" s="74"/>
      <c r="G342" s="74">
        <f t="shared" si="28"/>
        <v>10.816666666666668</v>
      </c>
      <c r="H342" s="74">
        <f t="shared" si="29"/>
        <v>1.6657666666666668</v>
      </c>
      <c r="K342" s="143"/>
    </row>
    <row r="343" spans="2:11" x14ac:dyDescent="0.25">
      <c r="B343" s="74" t="s">
        <v>1126</v>
      </c>
      <c r="C343" s="74">
        <v>1</v>
      </c>
      <c r="D343" s="74">
        <v>1.6</v>
      </c>
      <c r="E343" s="74">
        <v>1.18</v>
      </c>
      <c r="F343" s="74"/>
      <c r="G343" s="74">
        <f t="shared" si="28"/>
        <v>15.733333333333333</v>
      </c>
      <c r="H343" s="74">
        <f t="shared" si="29"/>
        <v>2.4229333333333334</v>
      </c>
      <c r="K343" s="143"/>
    </row>
    <row r="344" spans="2:11" x14ac:dyDescent="0.25">
      <c r="B344" s="74" t="s">
        <v>1127</v>
      </c>
      <c r="C344" s="74">
        <v>1</v>
      </c>
      <c r="D344" s="74">
        <v>1.1000000000000001</v>
      </c>
      <c r="E344" s="74">
        <v>1.18</v>
      </c>
      <c r="F344" s="74"/>
      <c r="G344" s="74">
        <f t="shared" si="28"/>
        <v>10.816666666666668</v>
      </c>
      <c r="H344" s="74">
        <f t="shared" si="29"/>
        <v>1.6657666666666668</v>
      </c>
      <c r="K344" s="143"/>
    </row>
    <row r="345" spans="2:11" x14ac:dyDescent="0.25">
      <c r="B345" s="74" t="s">
        <v>1145</v>
      </c>
      <c r="C345" s="74">
        <v>2</v>
      </c>
      <c r="D345" s="74">
        <v>1.2</v>
      </c>
      <c r="E345" s="74">
        <v>1.18</v>
      </c>
      <c r="F345" s="74"/>
      <c r="G345" s="74">
        <f t="shared" si="28"/>
        <v>23.599999999999998</v>
      </c>
      <c r="H345" s="74">
        <f t="shared" si="29"/>
        <v>3.6343999999999994</v>
      </c>
      <c r="K345" s="143"/>
    </row>
    <row r="346" spans="2:11" x14ac:dyDescent="0.25">
      <c r="B346" s="74" t="s">
        <v>1131</v>
      </c>
      <c r="C346" s="74">
        <v>1</v>
      </c>
      <c r="D346" s="74">
        <v>1.65</v>
      </c>
      <c r="E346" s="74">
        <v>1.58</v>
      </c>
      <c r="F346" s="74"/>
      <c r="G346" s="74">
        <f t="shared" si="28"/>
        <v>21.725000000000001</v>
      </c>
      <c r="H346" s="74">
        <f t="shared" si="29"/>
        <v>3.34565</v>
      </c>
      <c r="K346" s="143"/>
    </row>
    <row r="347" spans="2:11" x14ac:dyDescent="0.25">
      <c r="B347" s="74" t="s">
        <v>1132</v>
      </c>
      <c r="C347" s="74">
        <v>1</v>
      </c>
      <c r="D347" s="74">
        <v>1</v>
      </c>
      <c r="E347" s="74">
        <v>1.18</v>
      </c>
      <c r="F347" s="74"/>
      <c r="G347" s="74">
        <f t="shared" si="28"/>
        <v>9.8333333333333339</v>
      </c>
      <c r="H347" s="74">
        <f t="shared" si="29"/>
        <v>1.5143333333333333</v>
      </c>
      <c r="K347" s="143"/>
    </row>
    <row r="348" spans="2:11" x14ac:dyDescent="0.25">
      <c r="B348" s="74" t="s">
        <v>1133</v>
      </c>
      <c r="C348" s="74">
        <v>1</v>
      </c>
      <c r="D348" s="74">
        <v>1.1499999999999999</v>
      </c>
      <c r="E348" s="74">
        <v>1.18</v>
      </c>
      <c r="F348" s="74"/>
      <c r="G348" s="74">
        <f t="shared" si="28"/>
        <v>11.308333333333332</v>
      </c>
      <c r="H348" s="74">
        <f t="shared" si="29"/>
        <v>1.7414833333333331</v>
      </c>
      <c r="K348" s="143"/>
    </row>
    <row r="349" spans="2:11" x14ac:dyDescent="0.25">
      <c r="B349" s="74" t="s">
        <v>1139</v>
      </c>
      <c r="C349" s="74">
        <v>1</v>
      </c>
      <c r="D349" s="74">
        <v>1.1000000000000001</v>
      </c>
      <c r="E349" s="74">
        <v>1.18</v>
      </c>
      <c r="F349" s="74"/>
      <c r="G349" s="74">
        <f t="shared" si="28"/>
        <v>10.816666666666668</v>
      </c>
      <c r="H349" s="74">
        <f t="shared" si="29"/>
        <v>1.6657666666666668</v>
      </c>
      <c r="K349" s="143"/>
    </row>
    <row r="350" spans="2:11" x14ac:dyDescent="0.25">
      <c r="B350" s="74" t="s">
        <v>1140</v>
      </c>
      <c r="C350" s="74">
        <v>1</v>
      </c>
      <c r="D350" s="74">
        <v>1.37</v>
      </c>
      <c r="E350" s="74">
        <v>1.48</v>
      </c>
      <c r="F350" s="74"/>
      <c r="G350" s="74">
        <f t="shared" si="28"/>
        <v>16.896666666666668</v>
      </c>
      <c r="H350" s="74">
        <f t="shared" si="29"/>
        <v>2.6020866666666667</v>
      </c>
      <c r="K350" s="143"/>
    </row>
    <row r="351" spans="2:11" x14ac:dyDescent="0.25">
      <c r="B351" s="74" t="s">
        <v>1146</v>
      </c>
      <c r="C351" s="74">
        <v>1</v>
      </c>
      <c r="D351" s="74">
        <v>1.25</v>
      </c>
      <c r="E351" s="74">
        <v>1.48</v>
      </c>
      <c r="F351" s="74"/>
      <c r="G351" s="74">
        <f t="shared" si="28"/>
        <v>15.416666666666668</v>
      </c>
      <c r="H351" s="74">
        <f t="shared" si="29"/>
        <v>2.374166666666667</v>
      </c>
      <c r="K351" s="143"/>
    </row>
    <row r="352" spans="2:11" x14ac:dyDescent="0.25">
      <c r="B352" s="74" t="s">
        <v>1141</v>
      </c>
      <c r="C352" s="74">
        <v>1</v>
      </c>
      <c r="D352" s="74">
        <v>0.95</v>
      </c>
      <c r="E352" s="74">
        <v>1.18</v>
      </c>
      <c r="F352" s="74"/>
      <c r="G352" s="74">
        <f t="shared" si="28"/>
        <v>9.3416666666666668</v>
      </c>
      <c r="H352" s="74">
        <f t="shared" si="29"/>
        <v>1.4386166666666667</v>
      </c>
      <c r="K352" s="143"/>
    </row>
    <row r="353" spans="2:11" x14ac:dyDescent="0.25">
      <c r="B353" s="74" t="s">
        <v>1142</v>
      </c>
      <c r="C353" s="74">
        <v>1</v>
      </c>
      <c r="D353" s="74">
        <v>1</v>
      </c>
      <c r="E353" s="74">
        <v>1.18</v>
      </c>
      <c r="F353" s="74"/>
      <c r="G353" s="74">
        <f t="shared" si="28"/>
        <v>9.8333333333333339</v>
      </c>
      <c r="H353" s="74">
        <f t="shared" si="29"/>
        <v>1.5143333333333333</v>
      </c>
      <c r="K353" s="143"/>
    </row>
    <row r="354" spans="2:11" x14ac:dyDescent="0.25">
      <c r="B354" s="74" t="s">
        <v>1147</v>
      </c>
      <c r="C354" s="74">
        <v>1</v>
      </c>
      <c r="D354" s="74">
        <v>1.4</v>
      </c>
      <c r="E354" s="74">
        <v>1.18</v>
      </c>
      <c r="F354" s="74"/>
      <c r="G354" s="74">
        <f t="shared" si="28"/>
        <v>13.766666666666666</v>
      </c>
      <c r="H354" s="74">
        <f t="shared" si="29"/>
        <v>2.1200666666666663</v>
      </c>
      <c r="K354" s="143"/>
    </row>
    <row r="355" spans="2:11" x14ac:dyDescent="0.25">
      <c r="B355" s="74" t="s">
        <v>1148</v>
      </c>
      <c r="C355" s="74">
        <v>1</v>
      </c>
      <c r="D355" s="74">
        <v>1.4</v>
      </c>
      <c r="E355" s="74">
        <v>1.08</v>
      </c>
      <c r="F355" s="74"/>
      <c r="G355" s="74">
        <f t="shared" si="28"/>
        <v>12.6</v>
      </c>
      <c r="H355" s="74">
        <f t="shared" si="29"/>
        <v>1.9403999999999999</v>
      </c>
      <c r="K355" s="143"/>
    </row>
    <row r="356" spans="2:11" x14ac:dyDescent="0.25">
      <c r="B356" s="74" t="s">
        <v>1143</v>
      </c>
      <c r="C356" s="74">
        <v>1</v>
      </c>
      <c r="D356" s="74">
        <v>1.05</v>
      </c>
      <c r="E356" s="74">
        <v>1.18</v>
      </c>
      <c r="F356" s="74"/>
      <c r="G356" s="74">
        <f t="shared" si="28"/>
        <v>10.324999999999999</v>
      </c>
      <c r="H356" s="74">
        <f t="shared" si="29"/>
        <v>1.59005</v>
      </c>
      <c r="K356" s="143"/>
    </row>
    <row r="357" spans="2:11" x14ac:dyDescent="0.25">
      <c r="B357" s="74" t="s">
        <v>1149</v>
      </c>
      <c r="C357" s="74">
        <v>1</v>
      </c>
      <c r="D357" s="74">
        <v>1</v>
      </c>
      <c r="E357" s="74">
        <v>1.18</v>
      </c>
      <c r="F357" s="74"/>
      <c r="G357" s="74">
        <f t="shared" si="28"/>
        <v>9.8333333333333339</v>
      </c>
      <c r="H357" s="74">
        <f t="shared" si="29"/>
        <v>1.5143333333333333</v>
      </c>
      <c r="K357" s="143"/>
    </row>
    <row r="358" spans="2:11" x14ac:dyDescent="0.25">
      <c r="B358" s="74" t="s">
        <v>1150</v>
      </c>
      <c r="C358" s="74">
        <v>1</v>
      </c>
      <c r="D358" s="74">
        <v>1.05</v>
      </c>
      <c r="E358" s="74">
        <v>1.18</v>
      </c>
      <c r="F358" s="74"/>
      <c r="G358" s="74">
        <f t="shared" si="28"/>
        <v>10.324999999999999</v>
      </c>
      <c r="H358" s="74">
        <f t="shared" si="29"/>
        <v>1.59005</v>
      </c>
      <c r="K358" s="143"/>
    </row>
    <row r="359" spans="2:11" x14ac:dyDescent="0.25">
      <c r="B359" s="74" t="s">
        <v>1151</v>
      </c>
      <c r="C359" s="74">
        <v>1</v>
      </c>
      <c r="D359" s="74">
        <v>0.9</v>
      </c>
      <c r="E359" s="74">
        <v>1.28</v>
      </c>
      <c r="F359" s="74"/>
      <c r="G359" s="74">
        <f t="shared" si="28"/>
        <v>9.6000000000000014</v>
      </c>
      <c r="H359" s="74">
        <f t="shared" si="29"/>
        <v>1.4784000000000002</v>
      </c>
      <c r="K359" s="143"/>
    </row>
    <row r="360" spans="2:11" x14ac:dyDescent="0.25">
      <c r="B360" s="74" t="s">
        <v>1152</v>
      </c>
      <c r="C360" s="74">
        <v>1</v>
      </c>
      <c r="D360" s="74">
        <v>0.9</v>
      </c>
      <c r="E360" s="74">
        <v>1.28</v>
      </c>
      <c r="F360" s="74"/>
      <c r="G360" s="74">
        <f t="shared" si="28"/>
        <v>9.6000000000000014</v>
      </c>
      <c r="H360" s="74">
        <f t="shared" si="29"/>
        <v>1.4784000000000002</v>
      </c>
      <c r="K360" s="143"/>
    </row>
    <row r="361" spans="2:11" x14ac:dyDescent="0.25">
      <c r="B361" s="74" t="s">
        <v>1153</v>
      </c>
      <c r="C361" s="74">
        <v>1</v>
      </c>
      <c r="D361" s="74">
        <v>1.1000000000000001</v>
      </c>
      <c r="E361" s="74">
        <v>1.28</v>
      </c>
      <c r="F361" s="74"/>
      <c r="G361" s="74">
        <f t="shared" si="28"/>
        <v>11.733333333333334</v>
      </c>
      <c r="H361" s="74">
        <f t="shared" si="29"/>
        <v>1.8069333333333335</v>
      </c>
      <c r="K361" s="143"/>
    </row>
    <row r="362" spans="2:11" x14ac:dyDescent="0.25">
      <c r="B362" s="74" t="s">
        <v>1154</v>
      </c>
      <c r="C362" s="74">
        <v>1</v>
      </c>
      <c r="D362" s="74">
        <v>0.9</v>
      </c>
      <c r="E362" s="74">
        <v>1.28</v>
      </c>
      <c r="F362" s="74"/>
      <c r="G362" s="74">
        <f t="shared" si="28"/>
        <v>9.6000000000000014</v>
      </c>
      <c r="H362" s="74">
        <f t="shared" si="29"/>
        <v>1.4784000000000002</v>
      </c>
      <c r="K362" s="143"/>
    </row>
    <row r="363" spans="2:11" x14ac:dyDescent="0.25">
      <c r="B363" s="74" t="s">
        <v>1155</v>
      </c>
      <c r="C363" s="74">
        <v>1</v>
      </c>
      <c r="D363" s="74">
        <v>0.8</v>
      </c>
      <c r="E363" s="74">
        <v>1.28</v>
      </c>
      <c r="F363" s="74"/>
      <c r="G363" s="74">
        <f t="shared" si="28"/>
        <v>8.5333333333333332</v>
      </c>
      <c r="H363" s="74">
        <f t="shared" si="29"/>
        <v>1.3141333333333334</v>
      </c>
      <c r="K363" s="143"/>
    </row>
    <row r="364" spans="2:11" x14ac:dyDescent="0.25">
      <c r="B364" s="74" t="s">
        <v>1156</v>
      </c>
      <c r="C364" s="74">
        <v>1</v>
      </c>
      <c r="D364" s="74">
        <v>0.95</v>
      </c>
      <c r="E364" s="74">
        <v>1.08</v>
      </c>
      <c r="F364" s="74"/>
      <c r="G364" s="74">
        <f t="shared" si="28"/>
        <v>8.5500000000000007</v>
      </c>
      <c r="H364" s="74">
        <f t="shared" si="29"/>
        <v>1.3167</v>
      </c>
      <c r="K364" s="143"/>
    </row>
    <row r="365" spans="2:11" x14ac:dyDescent="0.25">
      <c r="B365" s="74" t="s">
        <v>1157</v>
      </c>
      <c r="C365" s="74">
        <v>1</v>
      </c>
      <c r="D365" s="74">
        <v>0.6</v>
      </c>
      <c r="E365" s="74">
        <v>1.18</v>
      </c>
      <c r="F365" s="74"/>
      <c r="G365" s="74">
        <f t="shared" si="28"/>
        <v>5.8999999999999995</v>
      </c>
      <c r="H365" s="74">
        <f t="shared" si="29"/>
        <v>0.90859999999999985</v>
      </c>
      <c r="K365" s="143"/>
    </row>
    <row r="366" spans="2:11" x14ac:dyDescent="0.25">
      <c r="B366" s="74" t="s">
        <v>1158</v>
      </c>
      <c r="C366" s="74">
        <v>1</v>
      </c>
      <c r="D366" s="74">
        <v>0.9</v>
      </c>
      <c r="E366" s="74">
        <v>1.08</v>
      </c>
      <c r="F366" s="74"/>
      <c r="G366" s="74">
        <f t="shared" si="28"/>
        <v>8.1000000000000014</v>
      </c>
      <c r="H366" s="74">
        <f t="shared" si="29"/>
        <v>1.2474000000000003</v>
      </c>
      <c r="K366" s="143"/>
    </row>
    <row r="367" spans="2:11" x14ac:dyDescent="0.25">
      <c r="B367" s="74" t="s">
        <v>1159</v>
      </c>
      <c r="C367" s="74">
        <v>1</v>
      </c>
      <c r="D367" s="74">
        <v>1.1000000000000001</v>
      </c>
      <c r="E367" s="74">
        <v>1.08</v>
      </c>
      <c r="F367" s="74"/>
      <c r="G367" s="74">
        <f t="shared" si="28"/>
        <v>9.9000000000000021</v>
      </c>
      <c r="H367" s="74">
        <f t="shared" si="29"/>
        <v>1.5246000000000004</v>
      </c>
      <c r="K367" s="143"/>
    </row>
    <row r="368" spans="2:11" x14ac:dyDescent="0.25">
      <c r="B368" s="74" t="s">
        <v>1189</v>
      </c>
      <c r="C368" s="74">
        <v>1</v>
      </c>
      <c r="D368" s="74">
        <v>1.1499999999999999</v>
      </c>
      <c r="E368" s="74">
        <v>1.08</v>
      </c>
      <c r="F368" s="74"/>
      <c r="G368" s="74">
        <f t="shared" si="28"/>
        <v>10.35</v>
      </c>
      <c r="H368" s="74">
        <f t="shared" si="29"/>
        <v>1.5938999999999999</v>
      </c>
      <c r="K368" s="143"/>
    </row>
    <row r="369" spans="1:11" x14ac:dyDescent="0.25">
      <c r="B369" s="74" t="s">
        <v>1190</v>
      </c>
      <c r="C369" s="74">
        <v>1</v>
      </c>
      <c r="D369" s="74">
        <v>1.1499999999999999</v>
      </c>
      <c r="E369" s="74">
        <v>1.18</v>
      </c>
      <c r="F369" s="74"/>
      <c r="G369" s="74">
        <f t="shared" si="28"/>
        <v>11.308333333333332</v>
      </c>
      <c r="H369" s="74">
        <f t="shared" si="29"/>
        <v>1.7414833333333331</v>
      </c>
      <c r="K369" s="143"/>
    </row>
    <row r="370" spans="1:11" x14ac:dyDescent="0.25">
      <c r="B370" s="74" t="s">
        <v>1161</v>
      </c>
      <c r="C370" s="74">
        <v>1</v>
      </c>
      <c r="D370" s="74">
        <v>1.3</v>
      </c>
      <c r="E370" s="74">
        <v>1.08</v>
      </c>
      <c r="F370" s="74"/>
      <c r="G370" s="74">
        <f t="shared" si="28"/>
        <v>11.700000000000001</v>
      </c>
      <c r="H370" s="74">
        <f t="shared" si="29"/>
        <v>1.8018000000000001</v>
      </c>
      <c r="K370" s="143"/>
    </row>
    <row r="371" spans="1:11" x14ac:dyDescent="0.25">
      <c r="B371" s="74" t="s">
        <v>1162</v>
      </c>
      <c r="C371" s="74">
        <v>1</v>
      </c>
      <c r="D371" s="74">
        <v>0.9</v>
      </c>
      <c r="E371" s="74">
        <v>1.18</v>
      </c>
      <c r="F371" s="74"/>
      <c r="G371" s="74">
        <f t="shared" si="28"/>
        <v>8.8500000000000014</v>
      </c>
      <c r="H371" s="74">
        <f t="shared" si="29"/>
        <v>1.3629000000000002</v>
      </c>
      <c r="K371" s="143"/>
    </row>
    <row r="372" spans="1:11" x14ac:dyDescent="0.25">
      <c r="B372" s="74" t="s">
        <v>1163</v>
      </c>
      <c r="C372" s="74">
        <v>1</v>
      </c>
      <c r="D372" s="74">
        <v>1.1499999999999999</v>
      </c>
      <c r="E372" s="74">
        <v>1.18</v>
      </c>
      <c r="F372" s="74"/>
      <c r="G372" s="74">
        <f t="shared" si="28"/>
        <v>11.308333333333332</v>
      </c>
      <c r="H372" s="74">
        <f t="shared" si="29"/>
        <v>1.7414833333333331</v>
      </c>
      <c r="K372" s="143"/>
    </row>
    <row r="373" spans="1:11" x14ac:dyDescent="0.25">
      <c r="B373" s="74" t="s">
        <v>1164</v>
      </c>
      <c r="C373" s="74">
        <v>1</v>
      </c>
      <c r="D373" s="74">
        <v>1.1000000000000001</v>
      </c>
      <c r="E373" s="74">
        <v>0.98</v>
      </c>
      <c r="F373" s="74"/>
      <c r="G373" s="74">
        <f t="shared" si="28"/>
        <v>8.9833333333333343</v>
      </c>
      <c r="H373" s="74">
        <f t="shared" si="29"/>
        <v>1.3834333333333335</v>
      </c>
      <c r="K373" s="143"/>
    </row>
    <row r="374" spans="1:11" x14ac:dyDescent="0.25">
      <c r="B374" s="74" t="s">
        <v>1165</v>
      </c>
      <c r="C374" s="74">
        <v>1</v>
      </c>
      <c r="D374" s="74">
        <v>0.85</v>
      </c>
      <c r="E374" s="74">
        <v>1.18</v>
      </c>
      <c r="F374" s="74"/>
      <c r="G374" s="74">
        <f t="shared" si="28"/>
        <v>8.3583333333333325</v>
      </c>
      <c r="H374" s="74">
        <f t="shared" si="29"/>
        <v>1.2871833333333331</v>
      </c>
      <c r="K374" s="143"/>
    </row>
    <row r="375" spans="1:11" x14ac:dyDescent="0.25">
      <c r="B375" s="74" t="s">
        <v>1167</v>
      </c>
      <c r="C375" s="74">
        <v>2</v>
      </c>
      <c r="D375" s="74">
        <v>1.1000000000000001</v>
      </c>
      <c r="E375" s="74">
        <v>0.78</v>
      </c>
      <c r="F375" s="74"/>
      <c r="G375" s="74">
        <f t="shared" si="28"/>
        <v>14.300000000000002</v>
      </c>
      <c r="H375" s="74">
        <f t="shared" si="29"/>
        <v>2.2022000000000004</v>
      </c>
      <c r="K375" s="143"/>
    </row>
    <row r="376" spans="1:11" x14ac:dyDescent="0.25">
      <c r="B376" s="74" t="s">
        <v>1168</v>
      </c>
      <c r="C376" s="74">
        <v>1</v>
      </c>
      <c r="D376" s="74">
        <v>1.65</v>
      </c>
      <c r="E376" s="74">
        <v>1.28</v>
      </c>
      <c r="F376" s="74"/>
      <c r="G376" s="74">
        <f t="shared" si="28"/>
        <v>17.600000000000001</v>
      </c>
      <c r="H376" s="74">
        <f t="shared" si="29"/>
        <v>2.7104000000000004</v>
      </c>
      <c r="K376" s="143"/>
    </row>
    <row r="377" spans="1:11" x14ac:dyDescent="0.25">
      <c r="B377" s="74" t="s">
        <v>1169</v>
      </c>
      <c r="C377" s="74">
        <v>1</v>
      </c>
      <c r="D377" s="74">
        <v>1.1000000000000001</v>
      </c>
      <c r="E377" s="74">
        <v>1.08</v>
      </c>
      <c r="F377" s="74"/>
      <c r="G377" s="74">
        <f t="shared" si="28"/>
        <v>9.9000000000000021</v>
      </c>
      <c r="H377" s="74">
        <f t="shared" si="29"/>
        <v>1.5246000000000004</v>
      </c>
      <c r="K377" s="143"/>
    </row>
    <row r="378" spans="1:11" x14ac:dyDescent="0.25">
      <c r="B378" s="74" t="s">
        <v>1170</v>
      </c>
      <c r="C378" s="74">
        <v>1</v>
      </c>
      <c r="D378" s="74">
        <v>1</v>
      </c>
      <c r="E378" s="74">
        <v>1.08</v>
      </c>
      <c r="F378" s="74"/>
      <c r="G378" s="74">
        <f t="shared" si="28"/>
        <v>9.0000000000000018</v>
      </c>
      <c r="H378" s="74">
        <f t="shared" si="29"/>
        <v>1.3860000000000003</v>
      </c>
      <c r="K378" s="143"/>
    </row>
    <row r="379" spans="1:11" x14ac:dyDescent="0.25">
      <c r="B379" s="74" t="s">
        <v>1171</v>
      </c>
      <c r="C379" s="74">
        <v>2</v>
      </c>
      <c r="D379" s="74">
        <v>1.2</v>
      </c>
      <c r="E379" s="74">
        <v>1.08</v>
      </c>
      <c r="F379" s="74"/>
      <c r="G379" s="74">
        <f t="shared" si="28"/>
        <v>21.6</v>
      </c>
      <c r="H379" s="74">
        <f t="shared" si="29"/>
        <v>3.3264</v>
      </c>
      <c r="K379" s="143"/>
    </row>
    <row r="380" spans="1:11" x14ac:dyDescent="0.25">
      <c r="B380" s="136"/>
      <c r="C380" s="136"/>
      <c r="D380" s="136"/>
      <c r="E380" s="136"/>
      <c r="F380" s="136"/>
      <c r="G380" s="136"/>
      <c r="H380" s="136"/>
    </row>
    <row r="381" spans="1:11" x14ac:dyDescent="0.25">
      <c r="A381" s="86" t="str">
        <f>'[1]BM_02.'!A45</f>
        <v xml:space="preserve"> 4.7 </v>
      </c>
      <c r="B381" s="266" t="str">
        <f>'[1]BM_02.'!B45</f>
        <v>ARMAÇÃO DE BLOCO, VIGA BALDRAME OU SAPATA UTILIZANDO AÇO CA-50 DE 10 MM - MONTAGEM. AF_06/2017</v>
      </c>
      <c r="C381" s="266"/>
      <c r="D381" s="266"/>
      <c r="E381" s="266"/>
      <c r="F381" s="266"/>
      <c r="G381" s="266"/>
      <c r="H381" s="87">
        <f>SUM(H384:H483)</f>
        <v>1205.0873800000002</v>
      </c>
      <c r="I381" s="134" t="s">
        <v>128</v>
      </c>
    </row>
    <row r="382" spans="1:11" x14ac:dyDescent="0.25">
      <c r="B382" s="136"/>
      <c r="C382" s="136"/>
      <c r="D382" s="136"/>
      <c r="E382" s="136"/>
      <c r="F382" s="136"/>
      <c r="G382" s="136"/>
      <c r="H382" s="136"/>
    </row>
    <row r="383" spans="1:11" x14ac:dyDescent="0.25">
      <c r="B383" s="135" t="s">
        <v>1177</v>
      </c>
      <c r="C383" s="74"/>
      <c r="D383" s="74"/>
      <c r="E383" s="74"/>
      <c r="F383" s="74"/>
      <c r="G383" s="74"/>
      <c r="H383" s="74"/>
    </row>
    <row r="384" spans="1:11" x14ac:dyDescent="0.25">
      <c r="B384" s="74" t="s">
        <v>1191</v>
      </c>
      <c r="C384" s="74">
        <v>1</v>
      </c>
      <c r="D384" s="74">
        <f>6*2.33</f>
        <v>13.98</v>
      </c>
      <c r="E384" s="74">
        <f>10*1.48</f>
        <v>14.8</v>
      </c>
      <c r="F384" s="146"/>
      <c r="G384" s="74">
        <f>(D384+E384)*C384</f>
        <v>28.78</v>
      </c>
      <c r="H384" s="74">
        <f>G384*0.617</f>
        <v>17.757260000000002</v>
      </c>
    </row>
    <row r="385" spans="2:8" x14ac:dyDescent="0.25">
      <c r="B385" s="74" t="s">
        <v>1192</v>
      </c>
      <c r="C385" s="74">
        <v>1</v>
      </c>
      <c r="D385" s="74">
        <f>(10*1.59)+(10*1.61)</f>
        <v>32</v>
      </c>
      <c r="E385" s="74">
        <f>(6*2.39)+(6*2.4)</f>
        <v>28.74</v>
      </c>
      <c r="F385" s="146"/>
      <c r="G385" s="74">
        <f t="shared" ref="G385:G390" si="30">(D385+E385)*C385</f>
        <v>60.739999999999995</v>
      </c>
      <c r="H385" s="74">
        <f t="shared" ref="H385:H390" si="31">G385*0.617</f>
        <v>37.476579999999998</v>
      </c>
    </row>
    <row r="386" spans="2:8" x14ac:dyDescent="0.25">
      <c r="B386" s="74" t="s">
        <v>1193</v>
      </c>
      <c r="C386" s="74">
        <v>10</v>
      </c>
      <c r="D386" s="74">
        <f>4*1.23</f>
        <v>4.92</v>
      </c>
      <c r="E386" s="74">
        <f>4*1.08</f>
        <v>4.32</v>
      </c>
      <c r="F386" s="146"/>
      <c r="G386" s="74">
        <f t="shared" si="30"/>
        <v>92.4</v>
      </c>
      <c r="H386" s="74">
        <f t="shared" si="31"/>
        <v>57.010800000000003</v>
      </c>
    </row>
    <row r="387" spans="2:8" x14ac:dyDescent="0.25">
      <c r="B387" s="74" t="s">
        <v>1194</v>
      </c>
      <c r="C387" s="74">
        <v>1</v>
      </c>
      <c r="D387" s="74">
        <f>4*1.08</f>
        <v>4.32</v>
      </c>
      <c r="E387" s="74">
        <f>4*1.23</f>
        <v>4.92</v>
      </c>
      <c r="F387" s="146"/>
      <c r="G387" s="74">
        <f t="shared" si="30"/>
        <v>9.24</v>
      </c>
      <c r="H387" s="74">
        <f t="shared" si="31"/>
        <v>5.7010800000000001</v>
      </c>
    </row>
    <row r="388" spans="2:8" x14ac:dyDescent="0.25">
      <c r="B388" s="74" t="s">
        <v>1195</v>
      </c>
      <c r="C388" s="74">
        <v>3</v>
      </c>
      <c r="D388" s="74">
        <f>4*1.53</f>
        <v>6.12</v>
      </c>
      <c r="E388" s="74">
        <f>6*1.18</f>
        <v>7.08</v>
      </c>
      <c r="F388" s="146"/>
      <c r="G388" s="74">
        <f t="shared" si="30"/>
        <v>39.599999999999994</v>
      </c>
      <c r="H388" s="74">
        <f t="shared" si="31"/>
        <v>24.433199999999996</v>
      </c>
    </row>
    <row r="389" spans="2:8" x14ac:dyDescent="0.25">
      <c r="B389" s="74" t="s">
        <v>1196</v>
      </c>
      <c r="C389" s="74">
        <v>4</v>
      </c>
      <c r="D389" s="74">
        <f>6*1.18</f>
        <v>7.08</v>
      </c>
      <c r="E389" s="74">
        <f>4*1.53</f>
        <v>6.12</v>
      </c>
      <c r="F389" s="146"/>
      <c r="G389" s="74">
        <f t="shared" si="30"/>
        <v>52.8</v>
      </c>
      <c r="H389" s="74">
        <f t="shared" si="31"/>
        <v>32.577599999999997</v>
      </c>
    </row>
    <row r="390" spans="2:8" x14ac:dyDescent="0.25">
      <c r="B390" s="74" t="s">
        <v>1197</v>
      </c>
      <c r="C390" s="74">
        <v>6</v>
      </c>
      <c r="D390" s="74">
        <f>4*1.08</f>
        <v>4.32</v>
      </c>
      <c r="E390" s="74">
        <f>4*1.23</f>
        <v>4.92</v>
      </c>
      <c r="F390" s="146"/>
      <c r="G390" s="74">
        <f t="shared" si="30"/>
        <v>55.44</v>
      </c>
      <c r="H390" s="74">
        <f t="shared" si="31"/>
        <v>34.206479999999999</v>
      </c>
    </row>
    <row r="391" spans="2:8" x14ac:dyDescent="0.25">
      <c r="B391" s="74"/>
      <c r="C391" s="74"/>
      <c r="D391" s="74"/>
      <c r="E391" s="74"/>
      <c r="F391" s="146"/>
      <c r="G391" s="74"/>
      <c r="H391" s="74"/>
    </row>
    <row r="392" spans="2:8" x14ac:dyDescent="0.25">
      <c r="B392" s="135" t="s">
        <v>1182</v>
      </c>
      <c r="C392" s="74"/>
      <c r="D392" s="145" t="s">
        <v>1198</v>
      </c>
      <c r="E392" s="145" t="s">
        <v>1199</v>
      </c>
      <c r="F392" s="146"/>
      <c r="G392" s="74"/>
      <c r="H392" s="74"/>
    </row>
    <row r="393" spans="2:8" x14ac:dyDescent="0.25">
      <c r="B393" s="74" t="s">
        <v>1185</v>
      </c>
      <c r="C393" s="74">
        <v>1</v>
      </c>
      <c r="D393" s="74">
        <f>0.3+0.3+1.2+0.4+0.5</f>
        <v>2.6999999999999997</v>
      </c>
      <c r="E393" s="74">
        <v>4</v>
      </c>
      <c r="F393" s="146"/>
      <c r="G393" s="74">
        <f>(D393*E393)*C393</f>
        <v>10.799999999999999</v>
      </c>
      <c r="H393" s="74">
        <f t="shared" ref="H393:H415" si="32">G393*0.617</f>
        <v>6.6635999999999989</v>
      </c>
    </row>
    <row r="394" spans="2:8" x14ac:dyDescent="0.25">
      <c r="B394" s="74" t="s">
        <v>1186</v>
      </c>
      <c r="C394" s="74">
        <v>1</v>
      </c>
      <c r="D394" s="74"/>
      <c r="E394" s="74">
        <v>8</v>
      </c>
      <c r="F394" s="146"/>
      <c r="G394" s="74">
        <f>(D394*E394)*C394</f>
        <v>0</v>
      </c>
      <c r="H394" s="74">
        <f t="shared" si="32"/>
        <v>0</v>
      </c>
    </row>
    <row r="395" spans="2:8" x14ac:dyDescent="0.25">
      <c r="B395" s="74" t="s">
        <v>1146</v>
      </c>
      <c r="C395" s="74">
        <v>1</v>
      </c>
      <c r="D395" s="74">
        <f>0.3+0.3+0.6+0.4+0.5</f>
        <v>2.1</v>
      </c>
      <c r="E395" s="74">
        <v>4</v>
      </c>
      <c r="F395" s="146"/>
      <c r="G395" s="74">
        <f t="shared" ref="G395:G415" si="33">(D395*E395)*C395</f>
        <v>8.4</v>
      </c>
      <c r="H395" s="74">
        <f t="shared" si="32"/>
        <v>5.1828000000000003</v>
      </c>
    </row>
    <row r="396" spans="2:8" x14ac:dyDescent="0.25">
      <c r="B396" s="74" t="s">
        <v>1187</v>
      </c>
      <c r="C396" s="74">
        <v>1</v>
      </c>
      <c r="D396" s="74"/>
      <c r="E396" s="74">
        <v>8</v>
      </c>
      <c r="F396" s="146"/>
      <c r="G396" s="74">
        <f t="shared" si="33"/>
        <v>0</v>
      </c>
      <c r="H396" s="74">
        <f t="shared" si="32"/>
        <v>0</v>
      </c>
    </row>
    <row r="397" spans="2:8" x14ac:dyDescent="0.25">
      <c r="B397" s="74" t="s">
        <v>1125</v>
      </c>
      <c r="C397" s="74">
        <v>1</v>
      </c>
      <c r="D397" s="74">
        <f>0.3+0.3+1.1+0.4+0.5</f>
        <v>2.6</v>
      </c>
      <c r="E397" s="74">
        <v>4</v>
      </c>
      <c r="F397" s="146"/>
      <c r="G397" s="74">
        <f t="shared" si="33"/>
        <v>10.4</v>
      </c>
      <c r="H397" s="74">
        <f t="shared" si="32"/>
        <v>6.4168000000000003</v>
      </c>
    </row>
    <row r="398" spans="2:8" x14ac:dyDescent="0.25">
      <c r="B398" s="74" t="s">
        <v>1126</v>
      </c>
      <c r="C398" s="74">
        <v>1</v>
      </c>
      <c r="D398" s="74">
        <f>0.3+0.3+1.4+0.4+0.5</f>
        <v>2.9</v>
      </c>
      <c r="E398" s="74">
        <v>4</v>
      </c>
      <c r="F398" s="146"/>
      <c r="G398" s="74">
        <f t="shared" si="33"/>
        <v>11.6</v>
      </c>
      <c r="H398" s="74">
        <f t="shared" si="32"/>
        <v>7.1571999999999996</v>
      </c>
    </row>
    <row r="399" spans="2:8" x14ac:dyDescent="0.25">
      <c r="B399" s="74" t="s">
        <v>1127</v>
      </c>
      <c r="C399" s="74">
        <v>1</v>
      </c>
      <c r="D399" s="74">
        <f>0.3+0.3+0.5+0.4+0.5</f>
        <v>2</v>
      </c>
      <c r="E399" s="74">
        <v>4</v>
      </c>
      <c r="F399" s="146"/>
      <c r="G399" s="74">
        <f t="shared" si="33"/>
        <v>8</v>
      </c>
      <c r="H399" s="74">
        <f t="shared" si="32"/>
        <v>4.9359999999999999</v>
      </c>
    </row>
    <row r="400" spans="2:8" x14ac:dyDescent="0.25">
      <c r="B400" s="74" t="s">
        <v>1128</v>
      </c>
      <c r="C400" s="74">
        <v>1</v>
      </c>
      <c r="D400" s="74">
        <f>0.3+0.3+1.05+0.4+0.5</f>
        <v>2.5499999999999998</v>
      </c>
      <c r="E400" s="74">
        <v>4</v>
      </c>
      <c r="F400" s="146"/>
      <c r="G400" s="74">
        <f t="shared" si="33"/>
        <v>10.199999999999999</v>
      </c>
      <c r="H400" s="74">
        <f t="shared" si="32"/>
        <v>6.2933999999999992</v>
      </c>
    </row>
    <row r="401" spans="2:8" x14ac:dyDescent="0.25">
      <c r="B401" s="74" t="s">
        <v>1129</v>
      </c>
      <c r="C401" s="74">
        <v>1</v>
      </c>
      <c r="D401" s="74">
        <f>0.3+0.3+0.35+0.4+0.5</f>
        <v>1.85</v>
      </c>
      <c r="E401" s="74">
        <v>4</v>
      </c>
      <c r="F401" s="146"/>
      <c r="G401" s="74">
        <f t="shared" si="33"/>
        <v>7.4</v>
      </c>
      <c r="H401" s="74">
        <f t="shared" si="32"/>
        <v>4.5658000000000003</v>
      </c>
    </row>
    <row r="402" spans="2:8" x14ac:dyDescent="0.25">
      <c r="B402" s="74" t="s">
        <v>1130</v>
      </c>
      <c r="C402" s="74">
        <v>1</v>
      </c>
      <c r="D402" s="74">
        <f>0.3+0.3+1+0.4+0.5</f>
        <v>2.5</v>
      </c>
      <c r="E402" s="74">
        <v>4</v>
      </c>
      <c r="F402" s="146"/>
      <c r="G402" s="74">
        <f t="shared" si="33"/>
        <v>10</v>
      </c>
      <c r="H402" s="74">
        <f t="shared" si="32"/>
        <v>6.17</v>
      </c>
    </row>
    <row r="403" spans="2:8" x14ac:dyDescent="0.25">
      <c r="B403" s="74" t="s">
        <v>1131</v>
      </c>
      <c r="C403" s="74">
        <v>1</v>
      </c>
      <c r="D403" s="74">
        <f>0.3+0.3+1.1+0.4+0.5</f>
        <v>2.6</v>
      </c>
      <c r="E403" s="74">
        <v>4</v>
      </c>
      <c r="F403" s="146"/>
      <c r="G403" s="74">
        <f t="shared" si="33"/>
        <v>10.4</v>
      </c>
      <c r="H403" s="74">
        <f t="shared" si="32"/>
        <v>6.4168000000000003</v>
      </c>
    </row>
    <row r="404" spans="2:8" x14ac:dyDescent="0.25">
      <c r="B404" s="74" t="s">
        <v>1132</v>
      </c>
      <c r="C404" s="74">
        <v>1</v>
      </c>
      <c r="D404" s="74">
        <f>0.3+0.3+1.15+0.4+0.5</f>
        <v>2.65</v>
      </c>
      <c r="E404" s="74">
        <v>4</v>
      </c>
      <c r="F404" s="146"/>
      <c r="G404" s="74">
        <f t="shared" si="33"/>
        <v>10.6</v>
      </c>
      <c r="H404" s="74">
        <f t="shared" si="32"/>
        <v>6.5401999999999996</v>
      </c>
    </row>
    <row r="405" spans="2:8" x14ac:dyDescent="0.25">
      <c r="B405" s="74" t="s">
        <v>1133</v>
      </c>
      <c r="C405" s="74">
        <v>1</v>
      </c>
      <c r="D405" s="74">
        <f>0.3+0.3+1+0.4+0.5</f>
        <v>2.5</v>
      </c>
      <c r="E405" s="74">
        <v>4</v>
      </c>
      <c r="F405" s="146"/>
      <c r="G405" s="74">
        <f t="shared" si="33"/>
        <v>10</v>
      </c>
      <c r="H405" s="74">
        <f t="shared" si="32"/>
        <v>6.17</v>
      </c>
    </row>
    <row r="406" spans="2:8" x14ac:dyDescent="0.25">
      <c r="B406" s="74" t="s">
        <v>1134</v>
      </c>
      <c r="C406" s="74">
        <v>1</v>
      </c>
      <c r="D406" s="74">
        <f>0.3+0.3+1.5+0.4+0.5</f>
        <v>3</v>
      </c>
      <c r="E406" s="74">
        <v>4</v>
      </c>
      <c r="F406" s="146"/>
      <c r="G406" s="74">
        <f t="shared" si="33"/>
        <v>12</v>
      </c>
      <c r="H406" s="74">
        <f t="shared" si="32"/>
        <v>7.4039999999999999</v>
      </c>
    </row>
    <row r="407" spans="2:8" x14ac:dyDescent="0.25">
      <c r="B407" s="74" t="s">
        <v>1135</v>
      </c>
      <c r="C407" s="74">
        <v>1</v>
      </c>
      <c r="D407" s="74">
        <f>0.3+0.3+0.4+0.4+0.5</f>
        <v>1.9</v>
      </c>
      <c r="E407" s="74">
        <v>4</v>
      </c>
      <c r="F407" s="146"/>
      <c r="G407" s="74">
        <f t="shared" si="33"/>
        <v>7.6</v>
      </c>
      <c r="H407" s="74">
        <f t="shared" si="32"/>
        <v>4.6891999999999996</v>
      </c>
    </row>
    <row r="408" spans="2:8" x14ac:dyDescent="0.25">
      <c r="B408" s="74" t="s">
        <v>1136</v>
      </c>
      <c r="C408" s="74">
        <v>3</v>
      </c>
      <c r="D408" s="74"/>
      <c r="E408" s="74">
        <v>8</v>
      </c>
      <c r="F408" s="146"/>
      <c r="G408" s="74">
        <f t="shared" si="33"/>
        <v>0</v>
      </c>
      <c r="H408" s="74">
        <f t="shared" si="32"/>
        <v>0</v>
      </c>
    </row>
    <row r="409" spans="2:8" x14ac:dyDescent="0.25">
      <c r="B409" s="74" t="s">
        <v>1137</v>
      </c>
      <c r="C409" s="74">
        <v>4</v>
      </c>
      <c r="D409" s="74"/>
      <c r="E409" s="74">
        <v>8</v>
      </c>
      <c r="F409" s="146"/>
      <c r="G409" s="74">
        <f t="shared" si="33"/>
        <v>0</v>
      </c>
      <c r="H409" s="74">
        <f t="shared" si="32"/>
        <v>0</v>
      </c>
    </row>
    <row r="410" spans="2:8" x14ac:dyDescent="0.25">
      <c r="B410" s="74" t="s">
        <v>1138</v>
      </c>
      <c r="C410" s="74">
        <v>1</v>
      </c>
      <c r="D410" s="74">
        <f>0.3+0.3+0.65+0.4+0.5</f>
        <v>2.15</v>
      </c>
      <c r="E410" s="74">
        <v>4</v>
      </c>
      <c r="F410" s="146"/>
      <c r="G410" s="74">
        <f t="shared" si="33"/>
        <v>8.6</v>
      </c>
      <c r="H410" s="74">
        <f t="shared" si="32"/>
        <v>5.3061999999999996</v>
      </c>
    </row>
    <row r="411" spans="2:8" x14ac:dyDescent="0.25">
      <c r="B411" s="74" t="s">
        <v>1139</v>
      </c>
      <c r="C411" s="74">
        <v>1</v>
      </c>
      <c r="D411" s="74">
        <f>0.3+0.3+1.3+0.4+0.5</f>
        <v>2.8</v>
      </c>
      <c r="E411" s="74">
        <v>4</v>
      </c>
      <c r="F411" s="146"/>
      <c r="G411" s="74">
        <f t="shared" si="33"/>
        <v>11.2</v>
      </c>
      <c r="H411" s="74">
        <f t="shared" si="32"/>
        <v>6.9103999999999992</v>
      </c>
    </row>
    <row r="412" spans="2:8" x14ac:dyDescent="0.25">
      <c r="B412" s="74" t="s">
        <v>1140</v>
      </c>
      <c r="C412" s="74">
        <v>1</v>
      </c>
      <c r="D412" s="74">
        <f>0.3+0.3+1.6+0.4+0.5</f>
        <v>3.1</v>
      </c>
      <c r="E412" s="74">
        <v>4</v>
      </c>
      <c r="F412" s="146"/>
      <c r="G412" s="74">
        <f t="shared" si="33"/>
        <v>12.4</v>
      </c>
      <c r="H412" s="74">
        <f t="shared" si="32"/>
        <v>7.6508000000000003</v>
      </c>
    </row>
    <row r="413" spans="2:8" x14ac:dyDescent="0.25">
      <c r="B413" s="74" t="s">
        <v>1141</v>
      </c>
      <c r="C413" s="74">
        <v>1</v>
      </c>
      <c r="D413" s="74">
        <f t="shared" ref="D413" si="34">0.3+0.3+1.2+0.4+0.5</f>
        <v>2.6999999999999997</v>
      </c>
      <c r="E413" s="74">
        <v>4</v>
      </c>
      <c r="F413" s="146"/>
      <c r="G413" s="74">
        <f t="shared" si="33"/>
        <v>10.799999999999999</v>
      </c>
      <c r="H413" s="74">
        <f t="shared" si="32"/>
        <v>6.6635999999999989</v>
      </c>
    </row>
    <row r="414" spans="2:8" x14ac:dyDescent="0.25">
      <c r="B414" s="74" t="s">
        <v>1142</v>
      </c>
      <c r="C414" s="74">
        <v>1</v>
      </c>
      <c r="D414" s="74">
        <f>0.3+0.3+0.9+0.4+0.5</f>
        <v>2.4</v>
      </c>
      <c r="E414" s="74">
        <v>4</v>
      </c>
      <c r="F414" s="146"/>
      <c r="G414" s="74">
        <f t="shared" si="33"/>
        <v>9.6</v>
      </c>
      <c r="H414" s="74">
        <f t="shared" si="32"/>
        <v>5.9231999999999996</v>
      </c>
    </row>
    <row r="415" spans="2:8" x14ac:dyDescent="0.25">
      <c r="B415" s="74" t="s">
        <v>1143</v>
      </c>
      <c r="C415" s="74">
        <v>1</v>
      </c>
      <c r="D415" s="74">
        <f>0.3+0.3+0.95+0.4+0.5</f>
        <v>2.4499999999999997</v>
      </c>
      <c r="E415" s="74">
        <v>4</v>
      </c>
      <c r="F415" s="146"/>
      <c r="G415" s="74">
        <f t="shared" si="33"/>
        <v>9.7999999999999989</v>
      </c>
      <c r="H415" s="74">
        <f t="shared" si="32"/>
        <v>6.0465999999999989</v>
      </c>
    </row>
    <row r="416" spans="2:8" x14ac:dyDescent="0.25">
      <c r="B416" s="74"/>
      <c r="C416" s="74"/>
      <c r="D416" s="74"/>
      <c r="E416" s="74"/>
      <c r="F416" s="146"/>
      <c r="G416" s="74"/>
      <c r="H416" s="74"/>
    </row>
    <row r="417" spans="2:8" x14ac:dyDescent="0.25">
      <c r="B417" s="135" t="s">
        <v>1178</v>
      </c>
      <c r="C417" s="74"/>
      <c r="D417" s="74"/>
      <c r="E417" s="74"/>
      <c r="F417" s="146"/>
      <c r="G417" s="74"/>
      <c r="H417" s="74"/>
    </row>
    <row r="418" spans="2:8" x14ac:dyDescent="0.25">
      <c r="B418" s="74" t="s">
        <v>1138</v>
      </c>
      <c r="C418" s="74">
        <v>1</v>
      </c>
      <c r="D418" s="74">
        <f>5*1.07</f>
        <v>5.3500000000000005</v>
      </c>
      <c r="E418" s="74">
        <f>6*1.02</f>
        <v>6.12</v>
      </c>
      <c r="F418" s="146"/>
      <c r="G418" s="74">
        <f>(D418+E418)*C418</f>
        <v>11.47</v>
      </c>
      <c r="H418" s="74">
        <f>G418*0.617</f>
        <v>7.0769900000000003</v>
      </c>
    </row>
    <row r="419" spans="2:8" x14ac:dyDescent="0.25">
      <c r="B419" s="74" t="s">
        <v>1125</v>
      </c>
      <c r="C419" s="74">
        <v>1</v>
      </c>
      <c r="D419" s="74">
        <f>5*1.28</f>
        <v>6.4</v>
      </c>
      <c r="E419" s="74">
        <f>5*1.43</f>
        <v>7.1499999999999995</v>
      </c>
      <c r="F419" s="146"/>
      <c r="G419" s="74">
        <f t="shared" ref="G419:G456" si="35">(D419+E419)*C419</f>
        <v>13.55</v>
      </c>
      <c r="H419" s="74">
        <f t="shared" ref="H419:H456" si="36">G419*0.617</f>
        <v>8.3603500000000004</v>
      </c>
    </row>
    <row r="420" spans="2:8" x14ac:dyDescent="0.25">
      <c r="B420" s="74" t="s">
        <v>1126</v>
      </c>
      <c r="C420" s="74">
        <v>1</v>
      </c>
      <c r="D420" s="74">
        <f>7*1.48</f>
        <v>10.36</v>
      </c>
      <c r="E420" s="74">
        <f>6*1.43</f>
        <v>8.58</v>
      </c>
      <c r="F420" s="146"/>
      <c r="G420" s="74">
        <f t="shared" si="35"/>
        <v>18.939999999999998</v>
      </c>
      <c r="H420" s="74">
        <f t="shared" si="36"/>
        <v>11.685979999999999</v>
      </c>
    </row>
    <row r="421" spans="2:8" x14ac:dyDescent="0.25">
      <c r="B421" s="74" t="s">
        <v>1127</v>
      </c>
      <c r="C421" s="74">
        <v>1</v>
      </c>
      <c r="D421" s="74">
        <f>7*1.18</f>
        <v>8.26</v>
      </c>
      <c r="E421" s="74">
        <f>7*1.63</f>
        <v>11.41</v>
      </c>
      <c r="F421" s="146"/>
      <c r="G421" s="74">
        <f t="shared" si="35"/>
        <v>19.670000000000002</v>
      </c>
      <c r="H421" s="74">
        <f t="shared" si="36"/>
        <v>12.13639</v>
      </c>
    </row>
    <row r="422" spans="2:8" x14ac:dyDescent="0.25">
      <c r="B422" s="74" t="s">
        <v>1145</v>
      </c>
      <c r="C422" s="74">
        <v>2</v>
      </c>
      <c r="D422" s="74">
        <f>5*1.28</f>
        <v>6.4</v>
      </c>
      <c r="E422" s="74">
        <f>5*1.43</f>
        <v>7.1499999999999995</v>
      </c>
      <c r="F422" s="146"/>
      <c r="G422" s="74">
        <f t="shared" si="35"/>
        <v>27.1</v>
      </c>
      <c r="H422" s="74">
        <f t="shared" si="36"/>
        <v>16.720700000000001</v>
      </c>
    </row>
    <row r="423" spans="2:8" x14ac:dyDescent="0.25">
      <c r="B423" s="74" t="s">
        <v>1131</v>
      </c>
      <c r="C423" s="74">
        <v>1</v>
      </c>
      <c r="D423" s="74">
        <f>15*2.12</f>
        <v>31.8</v>
      </c>
      <c r="E423" s="74">
        <f>14*1.47</f>
        <v>20.58</v>
      </c>
      <c r="F423" s="146"/>
      <c r="G423" s="74">
        <f t="shared" si="35"/>
        <v>52.379999999999995</v>
      </c>
      <c r="H423" s="74">
        <f t="shared" si="36"/>
        <v>32.318459999999995</v>
      </c>
    </row>
    <row r="424" spans="2:8" x14ac:dyDescent="0.25">
      <c r="B424" s="74" t="s">
        <v>1132</v>
      </c>
      <c r="C424" s="74">
        <v>1</v>
      </c>
      <c r="D424" s="74">
        <f>7*1.63</f>
        <v>11.41</v>
      </c>
      <c r="E424" s="74">
        <f>7*1.18</f>
        <v>8.26</v>
      </c>
      <c r="F424" s="146"/>
      <c r="G424" s="74">
        <f t="shared" si="35"/>
        <v>19.670000000000002</v>
      </c>
      <c r="H424" s="74">
        <f t="shared" si="36"/>
        <v>12.13639</v>
      </c>
    </row>
    <row r="425" spans="2:8" x14ac:dyDescent="0.25">
      <c r="B425" s="74" t="s">
        <v>1133</v>
      </c>
      <c r="C425" s="74">
        <v>1</v>
      </c>
      <c r="D425" s="74">
        <f>6*1.28</f>
        <v>7.68</v>
      </c>
      <c r="E425" s="74">
        <f>6*1.53</f>
        <v>9.18</v>
      </c>
      <c r="F425" s="146"/>
      <c r="G425" s="74">
        <f t="shared" si="35"/>
        <v>16.86</v>
      </c>
      <c r="H425" s="74">
        <f t="shared" si="36"/>
        <v>10.402619999999999</v>
      </c>
    </row>
    <row r="426" spans="2:8" x14ac:dyDescent="0.25">
      <c r="B426" s="74" t="s">
        <v>1139</v>
      </c>
      <c r="C426" s="74">
        <v>1</v>
      </c>
      <c r="D426" s="74">
        <f>8*1.63</f>
        <v>13.04</v>
      </c>
      <c r="E426" s="74">
        <f>6*1.63</f>
        <v>9.7799999999999994</v>
      </c>
      <c r="F426" s="146"/>
      <c r="G426" s="74">
        <f t="shared" si="35"/>
        <v>22.82</v>
      </c>
      <c r="H426" s="74">
        <f t="shared" si="36"/>
        <v>14.079940000000001</v>
      </c>
    </row>
    <row r="427" spans="2:8" x14ac:dyDescent="0.25">
      <c r="B427" s="74" t="s">
        <v>1140</v>
      </c>
      <c r="C427" s="74">
        <v>1</v>
      </c>
      <c r="D427" s="74">
        <f>19*1.92</f>
        <v>36.479999999999997</v>
      </c>
      <c r="E427" s="74">
        <f>19*1.92</f>
        <v>36.479999999999997</v>
      </c>
      <c r="F427" s="146"/>
      <c r="G427" s="74">
        <f t="shared" si="35"/>
        <v>72.959999999999994</v>
      </c>
      <c r="H427" s="74">
        <f t="shared" si="36"/>
        <v>45.016319999999993</v>
      </c>
    </row>
    <row r="428" spans="2:8" x14ac:dyDescent="0.25">
      <c r="B428" s="74" t="s">
        <v>1146</v>
      </c>
      <c r="C428" s="74">
        <v>1</v>
      </c>
      <c r="D428" s="74">
        <f>23*2.32</f>
        <v>53.36</v>
      </c>
      <c r="E428" s="74">
        <f>23*2.32</f>
        <v>53.36</v>
      </c>
      <c r="F428" s="146"/>
      <c r="G428" s="74">
        <f t="shared" si="35"/>
        <v>106.72</v>
      </c>
      <c r="H428" s="74">
        <f t="shared" si="36"/>
        <v>65.846239999999995</v>
      </c>
    </row>
    <row r="429" spans="2:8" x14ac:dyDescent="0.25">
      <c r="B429" s="74" t="s">
        <v>1141</v>
      </c>
      <c r="C429" s="74">
        <v>1</v>
      </c>
      <c r="D429" s="146"/>
      <c r="E429" s="74">
        <f>10*1.73</f>
        <v>17.3</v>
      </c>
      <c r="F429" s="146"/>
      <c r="G429" s="74">
        <f t="shared" si="35"/>
        <v>17.3</v>
      </c>
      <c r="H429" s="74">
        <f t="shared" si="36"/>
        <v>10.674100000000001</v>
      </c>
    </row>
    <row r="430" spans="2:8" x14ac:dyDescent="0.25">
      <c r="B430" s="74" t="s">
        <v>1142</v>
      </c>
      <c r="C430" s="74">
        <v>1</v>
      </c>
      <c r="D430" s="146"/>
      <c r="E430" s="74">
        <f>12*1.43</f>
        <v>17.16</v>
      </c>
      <c r="F430" s="146"/>
      <c r="G430" s="74">
        <f t="shared" si="35"/>
        <v>17.16</v>
      </c>
      <c r="H430" s="74">
        <f t="shared" si="36"/>
        <v>10.587719999999999</v>
      </c>
    </row>
    <row r="431" spans="2:8" x14ac:dyDescent="0.25">
      <c r="B431" s="74" t="s">
        <v>1147</v>
      </c>
      <c r="C431" s="74">
        <v>1</v>
      </c>
      <c r="D431" s="74">
        <f>12*1.38</f>
        <v>16.559999999999999</v>
      </c>
      <c r="E431" s="146"/>
      <c r="F431" s="146"/>
      <c r="G431" s="74">
        <f t="shared" si="35"/>
        <v>16.559999999999999</v>
      </c>
      <c r="H431" s="74">
        <f t="shared" si="36"/>
        <v>10.217519999999999</v>
      </c>
    </row>
    <row r="432" spans="2:8" x14ac:dyDescent="0.25">
      <c r="B432" s="74" t="s">
        <v>1148</v>
      </c>
      <c r="C432" s="74">
        <v>1</v>
      </c>
      <c r="D432" s="74">
        <f>6*1.63</f>
        <v>9.7799999999999994</v>
      </c>
      <c r="E432" s="74">
        <f>6*1.23</f>
        <v>7.38</v>
      </c>
      <c r="F432" s="146"/>
      <c r="G432" s="74">
        <f t="shared" si="35"/>
        <v>17.16</v>
      </c>
      <c r="H432" s="74">
        <f t="shared" si="36"/>
        <v>10.587719999999999</v>
      </c>
    </row>
    <row r="433" spans="2:8" x14ac:dyDescent="0.25">
      <c r="B433" s="74" t="s">
        <v>1143</v>
      </c>
      <c r="C433" s="74">
        <v>1</v>
      </c>
      <c r="D433" s="74">
        <f>7*1.18</f>
        <v>8.26</v>
      </c>
      <c r="E433" s="74">
        <f>7*1.63</f>
        <v>11.41</v>
      </c>
      <c r="F433" s="146"/>
      <c r="G433" s="74">
        <f t="shared" si="35"/>
        <v>19.670000000000002</v>
      </c>
      <c r="H433" s="74">
        <f t="shared" si="36"/>
        <v>12.13639</v>
      </c>
    </row>
    <row r="434" spans="2:8" x14ac:dyDescent="0.25">
      <c r="B434" s="74" t="s">
        <v>1149</v>
      </c>
      <c r="C434" s="74">
        <v>1</v>
      </c>
      <c r="D434" s="74">
        <f>9*1.58</f>
        <v>14.22</v>
      </c>
      <c r="E434" s="74">
        <f>8*1.73</f>
        <v>13.84</v>
      </c>
      <c r="F434" s="146"/>
      <c r="G434" s="74">
        <f t="shared" si="35"/>
        <v>28.060000000000002</v>
      </c>
      <c r="H434" s="74">
        <f t="shared" si="36"/>
        <v>17.313020000000002</v>
      </c>
    </row>
    <row r="435" spans="2:8" x14ac:dyDescent="0.25">
      <c r="B435" s="74" t="s">
        <v>1150</v>
      </c>
      <c r="C435" s="74">
        <v>1</v>
      </c>
      <c r="D435" s="74">
        <f>9*1.58</f>
        <v>14.22</v>
      </c>
      <c r="E435" s="74">
        <f>8*1.73</f>
        <v>13.84</v>
      </c>
      <c r="F435" s="146"/>
      <c r="G435" s="74">
        <f t="shared" si="35"/>
        <v>28.060000000000002</v>
      </c>
      <c r="H435" s="74">
        <f t="shared" si="36"/>
        <v>17.313020000000002</v>
      </c>
    </row>
    <row r="436" spans="2:8" x14ac:dyDescent="0.25">
      <c r="B436" s="74" t="s">
        <v>1151</v>
      </c>
      <c r="C436" s="74">
        <v>1</v>
      </c>
      <c r="D436" s="74">
        <f>6*1.99</f>
        <v>11.94</v>
      </c>
      <c r="E436" s="74">
        <f>12*1.33</f>
        <v>15.96</v>
      </c>
      <c r="F436" s="146"/>
      <c r="G436" s="74">
        <f t="shared" si="35"/>
        <v>27.9</v>
      </c>
      <c r="H436" s="74">
        <f t="shared" si="36"/>
        <v>17.214299999999998</v>
      </c>
    </row>
    <row r="437" spans="2:8" x14ac:dyDescent="0.25">
      <c r="B437" s="74" t="s">
        <v>1152</v>
      </c>
      <c r="C437" s="74">
        <v>1</v>
      </c>
      <c r="D437" s="146"/>
      <c r="E437" s="74">
        <f>24*1.62</f>
        <v>38.880000000000003</v>
      </c>
      <c r="F437" s="146"/>
      <c r="G437" s="74">
        <f t="shared" si="35"/>
        <v>38.880000000000003</v>
      </c>
      <c r="H437" s="74">
        <f t="shared" si="36"/>
        <v>23.988960000000002</v>
      </c>
    </row>
    <row r="438" spans="2:8" x14ac:dyDescent="0.25">
      <c r="B438" s="74" t="s">
        <v>1153</v>
      </c>
      <c r="C438" s="74">
        <v>1</v>
      </c>
      <c r="D438" s="74">
        <f>12*1.43</f>
        <v>17.16</v>
      </c>
      <c r="E438" s="146"/>
      <c r="F438" s="146"/>
      <c r="G438" s="74">
        <f t="shared" si="35"/>
        <v>17.16</v>
      </c>
      <c r="H438" s="74">
        <f t="shared" si="36"/>
        <v>10.587719999999999</v>
      </c>
    </row>
    <row r="439" spans="2:8" x14ac:dyDescent="0.25">
      <c r="B439" s="74" t="s">
        <v>1154</v>
      </c>
      <c r="C439" s="74">
        <v>1</v>
      </c>
      <c r="D439" s="74">
        <f>15*2.22</f>
        <v>33.300000000000004</v>
      </c>
      <c r="E439" s="74">
        <f>11*1.79</f>
        <v>19.690000000000001</v>
      </c>
      <c r="F439" s="146"/>
      <c r="G439" s="74">
        <f t="shared" si="35"/>
        <v>52.990000000000009</v>
      </c>
      <c r="H439" s="74">
        <f t="shared" si="36"/>
        <v>32.694830000000003</v>
      </c>
    </row>
    <row r="440" spans="2:8" x14ac:dyDescent="0.25">
      <c r="B440" s="74" t="s">
        <v>1155</v>
      </c>
      <c r="C440" s="74">
        <v>1</v>
      </c>
      <c r="D440" s="74">
        <f>15*2.22</f>
        <v>33.300000000000004</v>
      </c>
      <c r="E440" s="74">
        <f>11*1.79</f>
        <v>19.690000000000001</v>
      </c>
      <c r="F440" s="146"/>
      <c r="G440" s="74">
        <f t="shared" si="35"/>
        <v>52.990000000000009</v>
      </c>
      <c r="H440" s="74">
        <f t="shared" si="36"/>
        <v>32.694830000000003</v>
      </c>
    </row>
    <row r="441" spans="2:8" x14ac:dyDescent="0.25">
      <c r="B441" s="74" t="s">
        <v>1156</v>
      </c>
      <c r="C441" s="74">
        <v>1</v>
      </c>
      <c r="D441" s="74">
        <f>5*1.23</f>
        <v>6.15</v>
      </c>
      <c r="E441" s="74">
        <f>4*1.43</f>
        <v>5.72</v>
      </c>
      <c r="F441" s="146"/>
      <c r="G441" s="74">
        <f t="shared" si="35"/>
        <v>11.870000000000001</v>
      </c>
      <c r="H441" s="74">
        <f t="shared" si="36"/>
        <v>7.3237900000000007</v>
      </c>
    </row>
    <row r="442" spans="2:8" x14ac:dyDescent="0.25">
      <c r="B442" s="74" t="s">
        <v>1157</v>
      </c>
      <c r="C442" s="74">
        <v>1</v>
      </c>
      <c r="D442" s="74">
        <f>6*1.94</f>
        <v>11.64</v>
      </c>
      <c r="E442" s="74">
        <f>11*1.33</f>
        <v>14.63</v>
      </c>
      <c r="F442" s="146"/>
      <c r="G442" s="74">
        <f t="shared" si="35"/>
        <v>26.270000000000003</v>
      </c>
      <c r="H442" s="74">
        <f t="shared" si="36"/>
        <v>16.208590000000001</v>
      </c>
    </row>
    <row r="443" spans="2:8" x14ac:dyDescent="0.25">
      <c r="B443" s="74" t="s">
        <v>1158</v>
      </c>
      <c r="C443" s="74">
        <v>1</v>
      </c>
      <c r="D443" s="74">
        <f>6*1.63</f>
        <v>9.7799999999999994</v>
      </c>
      <c r="E443" s="74">
        <f>7*1.13</f>
        <v>7.9099999999999993</v>
      </c>
      <c r="F443" s="146"/>
      <c r="G443" s="74">
        <f t="shared" si="35"/>
        <v>17.689999999999998</v>
      </c>
      <c r="H443" s="74">
        <f t="shared" si="36"/>
        <v>10.914729999999999</v>
      </c>
    </row>
    <row r="444" spans="2:8" x14ac:dyDescent="0.25">
      <c r="B444" s="74" t="s">
        <v>1159</v>
      </c>
      <c r="C444" s="74">
        <v>1</v>
      </c>
      <c r="D444" s="74">
        <f>4*1.43</f>
        <v>5.72</v>
      </c>
      <c r="E444" s="74">
        <f>5*1.23</f>
        <v>6.15</v>
      </c>
      <c r="F444" s="146"/>
      <c r="G444" s="74">
        <f t="shared" si="35"/>
        <v>11.870000000000001</v>
      </c>
      <c r="H444" s="74">
        <f t="shared" si="36"/>
        <v>7.3237900000000007</v>
      </c>
    </row>
    <row r="445" spans="2:8" x14ac:dyDescent="0.25">
      <c r="B445" s="74" t="s">
        <v>1160</v>
      </c>
      <c r="C445" s="74">
        <v>2</v>
      </c>
      <c r="D445" s="74">
        <f>9*2.13</f>
        <v>19.169999999999998</v>
      </c>
      <c r="E445" s="74">
        <f>9*2.13</f>
        <v>19.169999999999998</v>
      </c>
      <c r="F445" s="146"/>
      <c r="G445" s="74">
        <f t="shared" si="35"/>
        <v>76.679999999999993</v>
      </c>
      <c r="H445" s="74">
        <f t="shared" si="36"/>
        <v>47.311559999999993</v>
      </c>
    </row>
    <row r="446" spans="2:8" x14ac:dyDescent="0.25">
      <c r="B446" s="74" t="s">
        <v>1161</v>
      </c>
      <c r="C446" s="74">
        <v>1</v>
      </c>
      <c r="D446" s="146"/>
      <c r="E446" s="74">
        <f>8*1.23</f>
        <v>9.84</v>
      </c>
      <c r="F446" s="146"/>
      <c r="G446" s="74">
        <f t="shared" si="35"/>
        <v>9.84</v>
      </c>
      <c r="H446" s="74">
        <f t="shared" si="36"/>
        <v>6.0712799999999998</v>
      </c>
    </row>
    <row r="447" spans="2:8" x14ac:dyDescent="0.25">
      <c r="B447" s="74" t="s">
        <v>1162</v>
      </c>
      <c r="C447" s="74">
        <v>1</v>
      </c>
      <c r="D447" s="74">
        <f>11*1.33</f>
        <v>14.63</v>
      </c>
      <c r="E447" s="146"/>
      <c r="F447" s="146"/>
      <c r="G447" s="74">
        <f t="shared" si="35"/>
        <v>14.63</v>
      </c>
      <c r="H447" s="74">
        <f t="shared" si="36"/>
        <v>9.0267099999999996</v>
      </c>
    </row>
    <row r="448" spans="2:8" x14ac:dyDescent="0.25">
      <c r="B448" s="74" t="s">
        <v>1163</v>
      </c>
      <c r="C448" s="74">
        <v>1</v>
      </c>
      <c r="D448" s="74">
        <f>7*1.52</f>
        <v>10.64</v>
      </c>
      <c r="E448" s="74">
        <f>8*1.28</f>
        <v>10.24</v>
      </c>
      <c r="F448" s="146"/>
      <c r="G448" s="74">
        <f t="shared" si="35"/>
        <v>20.880000000000003</v>
      </c>
      <c r="H448" s="74">
        <f t="shared" si="36"/>
        <v>12.882960000000001</v>
      </c>
    </row>
    <row r="449" spans="2:8" x14ac:dyDescent="0.25">
      <c r="B449" s="74" t="s">
        <v>1164</v>
      </c>
      <c r="C449" s="74">
        <v>1</v>
      </c>
      <c r="D449" s="74">
        <f>4*1.43</f>
        <v>5.72</v>
      </c>
      <c r="E449" s="74">
        <f>5*1.18</f>
        <v>5.8999999999999995</v>
      </c>
      <c r="F449" s="146"/>
      <c r="G449" s="74">
        <f t="shared" si="35"/>
        <v>11.62</v>
      </c>
      <c r="H449" s="74">
        <f t="shared" si="36"/>
        <v>7.1695399999999996</v>
      </c>
    </row>
    <row r="450" spans="2:8" x14ac:dyDescent="0.25">
      <c r="B450" s="74" t="s">
        <v>1165</v>
      </c>
      <c r="C450" s="74">
        <v>1</v>
      </c>
      <c r="D450" s="146"/>
      <c r="E450" s="74">
        <f>11*1.28</f>
        <v>14.08</v>
      </c>
      <c r="F450" s="146"/>
      <c r="G450" s="74">
        <f t="shared" si="35"/>
        <v>14.08</v>
      </c>
      <c r="H450" s="74">
        <f t="shared" si="36"/>
        <v>8.68736</v>
      </c>
    </row>
    <row r="451" spans="2:8" x14ac:dyDescent="0.25">
      <c r="B451" s="74" t="s">
        <v>1166</v>
      </c>
      <c r="C451" s="74">
        <v>1</v>
      </c>
      <c r="D451" s="74">
        <f>6*1.08</f>
        <v>6.48</v>
      </c>
      <c r="E451" s="74">
        <f>6*1.08</f>
        <v>6.48</v>
      </c>
      <c r="F451" s="146"/>
      <c r="G451" s="74">
        <f t="shared" si="35"/>
        <v>12.96</v>
      </c>
      <c r="H451" s="74">
        <f t="shared" si="36"/>
        <v>7.9963200000000008</v>
      </c>
    </row>
    <row r="452" spans="2:8" x14ac:dyDescent="0.25">
      <c r="B452" s="74" t="s">
        <v>1167</v>
      </c>
      <c r="C452" s="74">
        <v>2</v>
      </c>
      <c r="D452" s="74">
        <f>4*1.33</f>
        <v>5.32</v>
      </c>
      <c r="E452" s="74">
        <f>5*1.18</f>
        <v>5.8999999999999995</v>
      </c>
      <c r="F452" s="146"/>
      <c r="G452" s="74">
        <f t="shared" si="35"/>
        <v>22.439999999999998</v>
      </c>
      <c r="H452" s="74">
        <f t="shared" si="36"/>
        <v>13.845479999999998</v>
      </c>
    </row>
    <row r="453" spans="2:8" x14ac:dyDescent="0.25">
      <c r="B453" s="74" t="s">
        <v>1168</v>
      </c>
      <c r="C453" s="74">
        <v>1</v>
      </c>
      <c r="D453" s="74">
        <f>5*1.43</f>
        <v>7.1499999999999995</v>
      </c>
      <c r="E453" s="74">
        <f>5*1.33</f>
        <v>6.65</v>
      </c>
      <c r="F453" s="146"/>
      <c r="G453" s="74">
        <f t="shared" si="35"/>
        <v>13.8</v>
      </c>
      <c r="H453" s="74">
        <f t="shared" si="36"/>
        <v>8.5145999999999997</v>
      </c>
    </row>
    <row r="454" spans="2:8" x14ac:dyDescent="0.25">
      <c r="B454" s="74" t="s">
        <v>1169</v>
      </c>
      <c r="C454" s="74">
        <v>1</v>
      </c>
      <c r="D454" s="74">
        <f>4*1.43</f>
        <v>5.72</v>
      </c>
      <c r="E454" s="74">
        <f>5*1.23</f>
        <v>6.15</v>
      </c>
      <c r="F454" s="146"/>
      <c r="G454" s="74">
        <f t="shared" si="35"/>
        <v>11.870000000000001</v>
      </c>
      <c r="H454" s="74">
        <f t="shared" si="36"/>
        <v>7.3237900000000007</v>
      </c>
    </row>
    <row r="455" spans="2:8" x14ac:dyDescent="0.25">
      <c r="B455" s="74" t="s">
        <v>1170</v>
      </c>
      <c r="C455" s="74">
        <v>1</v>
      </c>
      <c r="D455" s="74">
        <f>4*1.43</f>
        <v>5.72</v>
      </c>
      <c r="E455" s="74">
        <f>5*1.23</f>
        <v>6.15</v>
      </c>
      <c r="F455" s="146"/>
      <c r="G455" s="74">
        <f t="shared" si="35"/>
        <v>11.870000000000001</v>
      </c>
      <c r="H455" s="74">
        <f t="shared" si="36"/>
        <v>7.3237900000000007</v>
      </c>
    </row>
    <row r="456" spans="2:8" x14ac:dyDescent="0.25">
      <c r="B456" s="74" t="s">
        <v>1171</v>
      </c>
      <c r="C456" s="74">
        <v>2</v>
      </c>
      <c r="D456" s="74">
        <f>4*1.02</f>
        <v>4.08</v>
      </c>
      <c r="E456" s="74">
        <f>5*0.82</f>
        <v>4.0999999999999996</v>
      </c>
      <c r="F456" s="146"/>
      <c r="G456" s="74">
        <f t="shared" si="35"/>
        <v>16.36</v>
      </c>
      <c r="H456" s="74">
        <f t="shared" si="36"/>
        <v>10.09412</v>
      </c>
    </row>
    <row r="457" spans="2:8" x14ac:dyDescent="0.25">
      <c r="B457" s="74"/>
      <c r="C457" s="74"/>
      <c r="D457" s="74"/>
      <c r="E457" s="74"/>
      <c r="F457" s="146"/>
      <c r="G457" s="74"/>
      <c r="H457" s="74"/>
    </row>
    <row r="458" spans="2:8" x14ac:dyDescent="0.25">
      <c r="B458" s="135" t="s">
        <v>1188</v>
      </c>
      <c r="C458" s="74"/>
      <c r="D458" s="145" t="s">
        <v>1198</v>
      </c>
      <c r="E458" s="145" t="s">
        <v>1199</v>
      </c>
      <c r="F458" s="146"/>
      <c r="G458" s="74"/>
      <c r="H458" s="74"/>
    </row>
    <row r="459" spans="2:8" x14ac:dyDescent="0.25">
      <c r="B459" s="74" t="s">
        <v>1138</v>
      </c>
      <c r="C459" s="74">
        <v>1</v>
      </c>
      <c r="D459" s="74">
        <f>0.3+0.3+1.5+0.4+0.5</f>
        <v>3</v>
      </c>
      <c r="E459" s="74">
        <v>4</v>
      </c>
      <c r="F459" s="146"/>
      <c r="G459" s="74">
        <f>(D459*E459)*C459</f>
        <v>12</v>
      </c>
      <c r="H459" s="74">
        <f t="shared" ref="H459:H483" si="37">G459*0.617</f>
        <v>7.4039999999999999</v>
      </c>
    </row>
    <row r="460" spans="2:8" x14ac:dyDescent="0.25">
      <c r="B460" s="74" t="s">
        <v>1125</v>
      </c>
      <c r="C460" s="74">
        <v>1</v>
      </c>
      <c r="D460" s="74">
        <f>0.3+0.3+1.1+0.4+0.5</f>
        <v>2.6</v>
      </c>
      <c r="E460" s="74">
        <v>4</v>
      </c>
      <c r="F460" s="146"/>
      <c r="G460" s="74">
        <f t="shared" ref="G460:G483" si="38">(D460*E460)*C460</f>
        <v>10.4</v>
      </c>
      <c r="H460" s="74">
        <f t="shared" si="37"/>
        <v>6.4168000000000003</v>
      </c>
    </row>
    <row r="461" spans="2:8" x14ac:dyDescent="0.25">
      <c r="B461" s="74" t="s">
        <v>1145</v>
      </c>
      <c r="C461" s="74">
        <v>2</v>
      </c>
      <c r="D461" s="74">
        <f>0.3+0.3+1.2+0.4+0.5</f>
        <v>2.6999999999999997</v>
      </c>
      <c r="E461" s="74">
        <v>6</v>
      </c>
      <c r="F461" s="146"/>
      <c r="G461" s="74">
        <f t="shared" si="38"/>
        <v>32.4</v>
      </c>
      <c r="H461" s="74">
        <f t="shared" si="37"/>
        <v>19.9908</v>
      </c>
    </row>
    <row r="462" spans="2:8" x14ac:dyDescent="0.25">
      <c r="B462" s="74" t="s">
        <v>1132</v>
      </c>
      <c r="C462" s="74">
        <v>1</v>
      </c>
      <c r="D462" s="74">
        <f>0.3+0.3+1+0.4+0.5</f>
        <v>2.5</v>
      </c>
      <c r="E462" s="74">
        <v>6</v>
      </c>
      <c r="F462" s="146"/>
      <c r="G462" s="74">
        <f t="shared" si="38"/>
        <v>15</v>
      </c>
      <c r="H462" s="74">
        <f t="shared" si="37"/>
        <v>9.254999999999999</v>
      </c>
    </row>
    <row r="463" spans="2:8" x14ac:dyDescent="0.25">
      <c r="B463" s="74" t="s">
        <v>1133</v>
      </c>
      <c r="C463" s="74">
        <v>1</v>
      </c>
      <c r="D463" s="74">
        <f t="shared" ref="D463:D476" si="39">0.3+0.3+1.15+0.4+0.5</f>
        <v>2.65</v>
      </c>
      <c r="E463" s="74">
        <v>6</v>
      </c>
      <c r="F463" s="146"/>
      <c r="G463" s="74">
        <f t="shared" si="38"/>
        <v>15.899999999999999</v>
      </c>
      <c r="H463" s="74">
        <f t="shared" si="37"/>
        <v>9.8102999999999998</v>
      </c>
    </row>
    <row r="464" spans="2:8" x14ac:dyDescent="0.25">
      <c r="B464" s="74" t="s">
        <v>1139</v>
      </c>
      <c r="C464" s="74">
        <v>1</v>
      </c>
      <c r="D464" s="74">
        <f>0.3+0.3+1.1+0.4+0.5</f>
        <v>2.6</v>
      </c>
      <c r="E464" s="74">
        <v>6</v>
      </c>
      <c r="F464" s="146"/>
      <c r="G464" s="74">
        <f t="shared" si="38"/>
        <v>15.600000000000001</v>
      </c>
      <c r="H464" s="74">
        <f t="shared" si="37"/>
        <v>9.6252000000000013</v>
      </c>
    </row>
    <row r="465" spans="2:8" x14ac:dyDescent="0.25">
      <c r="B465" s="74" t="s">
        <v>1140</v>
      </c>
      <c r="C465" s="74">
        <v>1</v>
      </c>
      <c r="D465" s="74">
        <f>0.3+0.3+1.37+0.4+0.5</f>
        <v>2.87</v>
      </c>
      <c r="E465" s="74">
        <v>4</v>
      </c>
      <c r="F465" s="146"/>
      <c r="G465" s="74">
        <f t="shared" si="38"/>
        <v>11.48</v>
      </c>
      <c r="H465" s="74">
        <f t="shared" si="37"/>
        <v>7.0831600000000003</v>
      </c>
    </row>
    <row r="466" spans="2:8" x14ac:dyDescent="0.25">
      <c r="B466" s="74" t="s">
        <v>1146</v>
      </c>
      <c r="C466" s="74">
        <v>1</v>
      </c>
      <c r="D466" s="74">
        <f>0.3+0.3+1.25+0.4+0.5</f>
        <v>2.75</v>
      </c>
      <c r="E466" s="74">
        <v>4</v>
      </c>
      <c r="F466" s="146"/>
      <c r="G466" s="74">
        <f t="shared" si="38"/>
        <v>11</v>
      </c>
      <c r="H466" s="74">
        <f t="shared" si="37"/>
        <v>6.7869999999999999</v>
      </c>
    </row>
    <row r="467" spans="2:8" x14ac:dyDescent="0.25">
      <c r="B467" s="74" t="s">
        <v>1141</v>
      </c>
      <c r="C467" s="74">
        <v>1</v>
      </c>
      <c r="D467" s="74">
        <f>0.3+0.3+0.95+0.4+0.5</f>
        <v>2.4499999999999997</v>
      </c>
      <c r="E467" s="74">
        <v>12</v>
      </c>
      <c r="F467" s="146"/>
      <c r="G467" s="74">
        <f t="shared" si="38"/>
        <v>29.4</v>
      </c>
      <c r="H467" s="74">
        <f t="shared" si="37"/>
        <v>18.139799999999997</v>
      </c>
    </row>
    <row r="468" spans="2:8" x14ac:dyDescent="0.25">
      <c r="B468" s="74" t="s">
        <v>1142</v>
      </c>
      <c r="C468" s="74">
        <v>1</v>
      </c>
      <c r="D468" s="74">
        <f>0.3+0.3+1+0.4+0.5</f>
        <v>2.5</v>
      </c>
      <c r="E468" s="74">
        <v>6</v>
      </c>
      <c r="F468" s="146"/>
      <c r="G468" s="74">
        <f t="shared" si="38"/>
        <v>15</v>
      </c>
      <c r="H468" s="74">
        <f t="shared" si="37"/>
        <v>9.254999999999999</v>
      </c>
    </row>
    <row r="469" spans="2:8" x14ac:dyDescent="0.25">
      <c r="B469" s="74" t="s">
        <v>1149</v>
      </c>
      <c r="C469" s="74">
        <v>1</v>
      </c>
      <c r="D469" s="74">
        <f>0.3+0.3+1+0.4+0.5</f>
        <v>2.5</v>
      </c>
      <c r="E469" s="74">
        <v>6</v>
      </c>
      <c r="F469" s="146"/>
      <c r="G469" s="74">
        <f t="shared" si="38"/>
        <v>15</v>
      </c>
      <c r="H469" s="74">
        <f t="shared" si="37"/>
        <v>9.254999999999999</v>
      </c>
    </row>
    <row r="470" spans="2:8" x14ac:dyDescent="0.25">
      <c r="B470" s="74" t="s">
        <v>1151</v>
      </c>
      <c r="C470" s="74">
        <v>1</v>
      </c>
      <c r="D470" s="74">
        <f>0.3+0.3+0.9+0.4+0.5</f>
        <v>2.4</v>
      </c>
      <c r="E470" s="74">
        <v>4</v>
      </c>
      <c r="F470" s="146"/>
      <c r="G470" s="74">
        <f t="shared" si="38"/>
        <v>9.6</v>
      </c>
      <c r="H470" s="74">
        <f t="shared" si="37"/>
        <v>5.9231999999999996</v>
      </c>
    </row>
    <row r="471" spans="2:8" x14ac:dyDescent="0.25">
      <c r="B471" s="74" t="s">
        <v>1153</v>
      </c>
      <c r="C471" s="74">
        <v>1</v>
      </c>
      <c r="D471" s="74">
        <f>0.3+0.3+1.1+0.4+0.5</f>
        <v>2.6</v>
      </c>
      <c r="E471" s="74">
        <v>4</v>
      </c>
      <c r="F471" s="146"/>
      <c r="G471" s="74">
        <f t="shared" si="38"/>
        <v>10.4</v>
      </c>
      <c r="H471" s="74">
        <f t="shared" si="37"/>
        <v>6.4168000000000003</v>
      </c>
    </row>
    <row r="472" spans="2:8" x14ac:dyDescent="0.25">
      <c r="B472" s="74" t="s">
        <v>1155</v>
      </c>
      <c r="C472" s="74">
        <v>1</v>
      </c>
      <c r="D472" s="74">
        <f>0.3+0.3+0.8+0.4+0.5</f>
        <v>2.2999999999999998</v>
      </c>
      <c r="E472" s="74">
        <v>8</v>
      </c>
      <c r="F472" s="146"/>
      <c r="G472" s="74">
        <f t="shared" si="38"/>
        <v>18.399999999999999</v>
      </c>
      <c r="H472" s="74">
        <f t="shared" si="37"/>
        <v>11.352799999999998</v>
      </c>
    </row>
    <row r="473" spans="2:8" x14ac:dyDescent="0.25">
      <c r="B473" s="74" t="s">
        <v>1156</v>
      </c>
      <c r="C473" s="74">
        <v>1</v>
      </c>
      <c r="D473" s="74">
        <f>0.3+0.3+0.95+0.4+0.5</f>
        <v>2.4499999999999997</v>
      </c>
      <c r="E473" s="74">
        <v>6</v>
      </c>
      <c r="F473" s="146"/>
      <c r="G473" s="74">
        <f t="shared" si="38"/>
        <v>14.7</v>
      </c>
      <c r="H473" s="74">
        <f t="shared" si="37"/>
        <v>9.0698999999999987</v>
      </c>
    </row>
    <row r="474" spans="2:8" x14ac:dyDescent="0.25">
      <c r="B474" s="74" t="s">
        <v>1157</v>
      </c>
      <c r="C474" s="74">
        <v>1</v>
      </c>
      <c r="D474" s="74">
        <f>0.3+0.3+0.6+0.4+0.5</f>
        <v>2.1</v>
      </c>
      <c r="E474" s="74">
        <v>6</v>
      </c>
      <c r="F474" s="146"/>
      <c r="G474" s="74">
        <f t="shared" si="38"/>
        <v>12.600000000000001</v>
      </c>
      <c r="H474" s="74">
        <f t="shared" si="37"/>
        <v>7.7742000000000004</v>
      </c>
    </row>
    <row r="475" spans="2:8" x14ac:dyDescent="0.25">
      <c r="B475" s="74" t="s">
        <v>1189</v>
      </c>
      <c r="C475" s="74">
        <v>1</v>
      </c>
      <c r="D475" s="74">
        <f t="shared" si="39"/>
        <v>2.65</v>
      </c>
      <c r="E475" s="74">
        <v>4</v>
      </c>
      <c r="F475" s="146"/>
      <c r="G475" s="74">
        <f t="shared" si="38"/>
        <v>10.6</v>
      </c>
      <c r="H475" s="74">
        <f t="shared" si="37"/>
        <v>6.5401999999999996</v>
      </c>
    </row>
    <row r="476" spans="2:8" x14ac:dyDescent="0.25">
      <c r="B476" s="74" t="s">
        <v>1190</v>
      </c>
      <c r="C476" s="74">
        <v>1</v>
      </c>
      <c r="D476" s="74">
        <f t="shared" si="39"/>
        <v>2.65</v>
      </c>
      <c r="E476" s="74">
        <v>6</v>
      </c>
      <c r="F476" s="146"/>
      <c r="G476" s="74">
        <f t="shared" si="38"/>
        <v>15.899999999999999</v>
      </c>
      <c r="H476" s="74">
        <f t="shared" si="37"/>
        <v>9.8102999999999998</v>
      </c>
    </row>
    <row r="477" spans="2:8" x14ac:dyDescent="0.25">
      <c r="B477" s="74" t="s">
        <v>1161</v>
      </c>
      <c r="C477" s="74">
        <v>1</v>
      </c>
      <c r="D477" s="74">
        <f>0.3+0.3+1.3+0.4+0.5</f>
        <v>2.8</v>
      </c>
      <c r="E477" s="74">
        <v>4</v>
      </c>
      <c r="F477" s="146"/>
      <c r="G477" s="74">
        <f t="shared" si="38"/>
        <v>11.2</v>
      </c>
      <c r="H477" s="74">
        <f t="shared" si="37"/>
        <v>6.9103999999999992</v>
      </c>
    </row>
    <row r="478" spans="2:8" x14ac:dyDescent="0.25">
      <c r="B478" s="74" t="s">
        <v>1162</v>
      </c>
      <c r="C478" s="74">
        <v>1</v>
      </c>
      <c r="D478" s="74">
        <f>0.3+0.3+0.9+0.4+0.5</f>
        <v>2.4</v>
      </c>
      <c r="E478" s="74">
        <v>6</v>
      </c>
      <c r="F478" s="146"/>
      <c r="G478" s="74">
        <f t="shared" si="38"/>
        <v>14.399999999999999</v>
      </c>
      <c r="H478" s="74">
        <f t="shared" si="37"/>
        <v>8.8847999999999985</v>
      </c>
    </row>
    <row r="479" spans="2:8" x14ac:dyDescent="0.25">
      <c r="B479" s="74" t="s">
        <v>1163</v>
      </c>
      <c r="C479" s="74">
        <v>1</v>
      </c>
      <c r="D479" s="74">
        <f>0.3+0.3+1.15+0.4+0.5</f>
        <v>2.65</v>
      </c>
      <c r="E479" s="74">
        <v>6</v>
      </c>
      <c r="F479" s="146"/>
      <c r="G479" s="74">
        <f t="shared" si="38"/>
        <v>15.899999999999999</v>
      </c>
      <c r="H479" s="74">
        <f t="shared" si="37"/>
        <v>9.8102999999999998</v>
      </c>
    </row>
    <row r="480" spans="2:8" x14ac:dyDescent="0.25">
      <c r="B480" s="74" t="s">
        <v>1165</v>
      </c>
      <c r="C480" s="74">
        <v>1</v>
      </c>
      <c r="D480" s="74">
        <f>0.3+0.3+0.85+0.4+0.5</f>
        <v>2.35</v>
      </c>
      <c r="E480" s="74">
        <v>6</v>
      </c>
      <c r="F480" s="146"/>
      <c r="G480" s="74">
        <f t="shared" si="38"/>
        <v>14.100000000000001</v>
      </c>
      <c r="H480" s="74">
        <f t="shared" si="37"/>
        <v>8.6997</v>
      </c>
    </row>
    <row r="481" spans="1:9" x14ac:dyDescent="0.25">
      <c r="B481" s="74" t="s">
        <v>1168</v>
      </c>
      <c r="C481" s="74">
        <v>1</v>
      </c>
      <c r="D481" s="74">
        <f>0.3+0.3+1.65+0.4+0.5</f>
        <v>3.15</v>
      </c>
      <c r="E481" s="74">
        <v>8</v>
      </c>
      <c r="F481" s="146"/>
      <c r="G481" s="74">
        <f t="shared" si="38"/>
        <v>25.2</v>
      </c>
      <c r="H481" s="74">
        <f t="shared" si="37"/>
        <v>15.548399999999999</v>
      </c>
    </row>
    <row r="482" spans="1:9" x14ac:dyDescent="0.25">
      <c r="B482" s="74" t="s">
        <v>1170</v>
      </c>
      <c r="C482" s="74">
        <v>1</v>
      </c>
      <c r="D482" s="74">
        <f>0.3+0.3+1+0.4+0.5</f>
        <v>2.5</v>
      </c>
      <c r="E482" s="74">
        <v>6</v>
      </c>
      <c r="F482" s="74"/>
      <c r="G482" s="74">
        <f t="shared" si="38"/>
        <v>15</v>
      </c>
      <c r="H482" s="74">
        <f t="shared" si="37"/>
        <v>9.254999999999999</v>
      </c>
    </row>
    <row r="483" spans="1:9" x14ac:dyDescent="0.25">
      <c r="B483" s="74" t="s">
        <v>1171</v>
      </c>
      <c r="C483" s="74">
        <v>2</v>
      </c>
      <c r="D483" s="74">
        <f>0.3+0.3+1.2+0.4+0.5</f>
        <v>2.6999999999999997</v>
      </c>
      <c r="E483" s="74">
        <v>6</v>
      </c>
      <c r="F483" s="74"/>
      <c r="G483" s="74">
        <f t="shared" si="38"/>
        <v>32.4</v>
      </c>
      <c r="H483" s="74">
        <f t="shared" si="37"/>
        <v>19.9908</v>
      </c>
    </row>
    <row r="484" spans="1:9" x14ac:dyDescent="0.25">
      <c r="B484" s="136"/>
      <c r="C484" s="136"/>
      <c r="D484" s="136"/>
      <c r="E484" s="136"/>
      <c r="F484" s="136"/>
      <c r="G484" s="136"/>
      <c r="H484" s="136"/>
    </row>
    <row r="485" spans="1:9" x14ac:dyDescent="0.25">
      <c r="A485" s="86" t="s">
        <v>1200</v>
      </c>
      <c r="B485" s="266" t="str">
        <f>'[1]BM_02.'!B46</f>
        <v>ARMAÇÃO DE BLOCO, VIGA BALDRAME OU SAPATA UTILIZANDO AÇO CA-50 DE 12,5 MM - MONTAGEM. AF_06/2017</v>
      </c>
      <c r="C485" s="266"/>
      <c r="D485" s="266"/>
      <c r="E485" s="266"/>
      <c r="F485" s="266"/>
      <c r="G485" s="266"/>
      <c r="H485" s="87">
        <f>SUM(H488:H518)</f>
        <v>381.13000000000005</v>
      </c>
      <c r="I485" s="134" t="s">
        <v>128</v>
      </c>
    </row>
    <row r="486" spans="1:9" x14ac:dyDescent="0.25">
      <c r="B486" s="136"/>
      <c r="C486" s="136"/>
      <c r="D486" s="136"/>
      <c r="E486" s="136"/>
      <c r="F486" s="136"/>
      <c r="G486" s="136"/>
      <c r="H486" s="136"/>
    </row>
    <row r="487" spans="1:9" x14ac:dyDescent="0.25">
      <c r="B487" s="135" t="s">
        <v>1178</v>
      </c>
      <c r="C487" s="74"/>
      <c r="D487" s="74"/>
      <c r="E487" s="74"/>
      <c r="F487" s="74"/>
      <c r="G487" s="74"/>
      <c r="H487" s="74"/>
    </row>
    <row r="488" spans="1:9" x14ac:dyDescent="0.25">
      <c r="B488" s="74" t="s">
        <v>1141</v>
      </c>
      <c r="C488" s="74">
        <v>1</v>
      </c>
      <c r="D488" s="146">
        <f>8*1.79</f>
        <v>14.32</v>
      </c>
      <c r="E488" s="146"/>
      <c r="F488" s="74"/>
      <c r="G488" s="74">
        <f>D488*C488</f>
        <v>14.32</v>
      </c>
      <c r="H488" s="74">
        <f>G488*1</f>
        <v>14.32</v>
      </c>
    </row>
    <row r="489" spans="1:9" x14ac:dyDescent="0.25">
      <c r="B489" s="74" t="s">
        <v>1142</v>
      </c>
      <c r="C489" s="74">
        <v>1</v>
      </c>
      <c r="D489" s="146">
        <f>6*1.77</f>
        <v>10.620000000000001</v>
      </c>
      <c r="E489" s="146"/>
      <c r="F489" s="74"/>
      <c r="G489" s="74">
        <f t="shared" ref="G489:G495" si="40">D489*C489</f>
        <v>10.620000000000001</v>
      </c>
      <c r="H489" s="74">
        <f t="shared" ref="H489:H495" si="41">G489*1</f>
        <v>10.620000000000001</v>
      </c>
    </row>
    <row r="490" spans="1:9" x14ac:dyDescent="0.25">
      <c r="B490" s="74" t="s">
        <v>1147</v>
      </c>
      <c r="C490" s="74">
        <v>1</v>
      </c>
      <c r="D490" s="146">
        <f>6*1.99</f>
        <v>11.94</v>
      </c>
      <c r="E490" s="146"/>
      <c r="F490" s="74"/>
      <c r="G490" s="74">
        <f t="shared" si="40"/>
        <v>11.94</v>
      </c>
      <c r="H490" s="74">
        <f t="shared" si="41"/>
        <v>11.94</v>
      </c>
    </row>
    <row r="491" spans="1:9" x14ac:dyDescent="0.25">
      <c r="B491" s="74" t="s">
        <v>1152</v>
      </c>
      <c r="C491" s="74">
        <v>1</v>
      </c>
      <c r="D491" s="146">
        <f>16*2.42</f>
        <v>38.72</v>
      </c>
      <c r="E491" s="146"/>
      <c r="F491" s="74"/>
      <c r="G491" s="74">
        <f t="shared" si="40"/>
        <v>38.72</v>
      </c>
      <c r="H491" s="74">
        <f t="shared" si="41"/>
        <v>38.72</v>
      </c>
    </row>
    <row r="492" spans="1:9" x14ac:dyDescent="0.25">
      <c r="B492" s="74" t="s">
        <v>1153</v>
      </c>
      <c r="C492" s="74">
        <v>1</v>
      </c>
      <c r="D492" s="146">
        <f>6*1.82</f>
        <v>10.92</v>
      </c>
      <c r="E492" s="146"/>
      <c r="F492" s="74"/>
      <c r="G492" s="74">
        <f t="shared" si="40"/>
        <v>10.92</v>
      </c>
      <c r="H492" s="74">
        <f t="shared" si="41"/>
        <v>10.92</v>
      </c>
    </row>
    <row r="493" spans="1:9" x14ac:dyDescent="0.25">
      <c r="B493" s="74" t="s">
        <v>1161</v>
      </c>
      <c r="C493" s="74">
        <v>1</v>
      </c>
      <c r="D493" s="146">
        <f>5*1.79</f>
        <v>8.9499999999999993</v>
      </c>
      <c r="E493" s="146"/>
      <c r="F493" s="74"/>
      <c r="G493" s="74">
        <f t="shared" si="40"/>
        <v>8.9499999999999993</v>
      </c>
      <c r="H493" s="74">
        <f t="shared" si="41"/>
        <v>8.9499999999999993</v>
      </c>
    </row>
    <row r="494" spans="1:9" x14ac:dyDescent="0.25">
      <c r="B494" s="74" t="s">
        <v>1162</v>
      </c>
      <c r="C494" s="74">
        <v>1</v>
      </c>
      <c r="D494" s="146">
        <f>6*1.94</f>
        <v>11.64</v>
      </c>
      <c r="E494" s="146"/>
      <c r="F494" s="74"/>
      <c r="G494" s="74">
        <f t="shared" si="40"/>
        <v>11.64</v>
      </c>
      <c r="H494" s="74">
        <f t="shared" si="41"/>
        <v>11.64</v>
      </c>
    </row>
    <row r="495" spans="1:9" x14ac:dyDescent="0.25">
      <c r="B495" s="74" t="s">
        <v>1165</v>
      </c>
      <c r="C495" s="74">
        <v>1</v>
      </c>
      <c r="D495" s="146">
        <f>6*1.89</f>
        <v>11.34</v>
      </c>
      <c r="E495" s="146"/>
      <c r="F495" s="74"/>
      <c r="G495" s="74">
        <f t="shared" si="40"/>
        <v>11.34</v>
      </c>
      <c r="H495" s="74">
        <f t="shared" si="41"/>
        <v>11.34</v>
      </c>
    </row>
    <row r="496" spans="1:9" x14ac:dyDescent="0.25">
      <c r="B496" s="74"/>
      <c r="C496" s="74"/>
      <c r="D496" s="74"/>
      <c r="E496" s="74"/>
      <c r="F496" s="74"/>
      <c r="G496" s="74"/>
      <c r="H496" s="74"/>
    </row>
    <row r="497" spans="2:10" x14ac:dyDescent="0.25">
      <c r="B497" s="135" t="s">
        <v>1188</v>
      </c>
      <c r="C497" s="74"/>
      <c r="D497" s="74"/>
      <c r="E497" s="74"/>
      <c r="F497" s="74"/>
      <c r="G497" s="74"/>
      <c r="H497" s="74"/>
    </row>
    <row r="498" spans="2:10" x14ac:dyDescent="0.25">
      <c r="B498" s="74"/>
      <c r="C498" s="74"/>
      <c r="D498" s="145" t="s">
        <v>1198</v>
      </c>
      <c r="E498" s="145" t="s">
        <v>1199</v>
      </c>
      <c r="F498" s="146"/>
      <c r="G498" s="74"/>
      <c r="H498" s="74"/>
    </row>
    <row r="499" spans="2:10" x14ac:dyDescent="0.25">
      <c r="B499" s="74" t="s">
        <v>1125</v>
      </c>
      <c r="C499" s="74">
        <v>1</v>
      </c>
      <c r="D499" s="74">
        <f>0.3+0.3+1.1+0.4+0.5</f>
        <v>2.6</v>
      </c>
      <c r="E499" s="74">
        <v>2</v>
      </c>
      <c r="F499" s="74"/>
      <c r="G499" s="74">
        <f>(D499*E499)*C499</f>
        <v>5.2</v>
      </c>
      <c r="H499" s="74">
        <f>G499*1</f>
        <v>5.2</v>
      </c>
    </row>
    <row r="500" spans="2:10" x14ac:dyDescent="0.25">
      <c r="B500" s="74" t="s">
        <v>1127</v>
      </c>
      <c r="C500" s="74">
        <v>1</v>
      </c>
      <c r="D500" s="74">
        <f>0.3+0.3+1.1+0.4+0.5</f>
        <v>2.6</v>
      </c>
      <c r="E500" s="74">
        <v>12</v>
      </c>
      <c r="F500" s="74"/>
      <c r="G500" s="74">
        <f t="shared" ref="G500:G518" si="42">(D500*E500)*C500</f>
        <v>31.200000000000003</v>
      </c>
      <c r="H500" s="74">
        <f t="shared" ref="H500:H518" si="43">G500*1</f>
        <v>31.200000000000003</v>
      </c>
    </row>
    <row r="501" spans="2:10" x14ac:dyDescent="0.25">
      <c r="B501" s="74" t="s">
        <v>1131</v>
      </c>
      <c r="C501" s="74">
        <v>1</v>
      </c>
      <c r="D501" s="74">
        <f>0.3+0.3+1.6+0.4+0.5</f>
        <v>3.1</v>
      </c>
      <c r="E501" s="74">
        <v>14</v>
      </c>
      <c r="F501" s="74"/>
      <c r="G501" s="74">
        <f t="shared" si="42"/>
        <v>43.4</v>
      </c>
      <c r="H501" s="74">
        <f t="shared" si="43"/>
        <v>43.4</v>
      </c>
    </row>
    <row r="502" spans="2:10" x14ac:dyDescent="0.25">
      <c r="B502" s="74" t="s">
        <v>1140</v>
      </c>
      <c r="C502" s="74">
        <v>1</v>
      </c>
      <c r="D502" s="74">
        <f>0.3+0.3+1.37+0.4+0.5</f>
        <v>2.87</v>
      </c>
      <c r="E502" s="74">
        <v>4</v>
      </c>
      <c r="F502" s="74"/>
      <c r="G502" s="74">
        <f t="shared" si="42"/>
        <v>11.48</v>
      </c>
      <c r="H502" s="74">
        <f t="shared" si="43"/>
        <v>11.48</v>
      </c>
    </row>
    <row r="503" spans="2:10" x14ac:dyDescent="0.25">
      <c r="B503" s="74" t="s">
        <v>1146</v>
      </c>
      <c r="C503" s="74">
        <v>1</v>
      </c>
      <c r="D503" s="74">
        <f>0.3+0.3+1.25+0.4+0.5</f>
        <v>2.75</v>
      </c>
      <c r="E503" s="74">
        <v>4</v>
      </c>
      <c r="F503" s="74"/>
      <c r="G503" s="74">
        <f t="shared" si="42"/>
        <v>11</v>
      </c>
      <c r="H503" s="74">
        <f t="shared" si="43"/>
        <v>11</v>
      </c>
      <c r="J503" s="147"/>
    </row>
    <row r="504" spans="2:10" x14ac:dyDescent="0.25">
      <c r="B504" s="74" t="s">
        <v>1147</v>
      </c>
      <c r="C504" s="74">
        <v>1</v>
      </c>
      <c r="D504" s="74">
        <f>0.3+0.3+1.25+0.4+0.5</f>
        <v>2.75</v>
      </c>
      <c r="E504" s="74">
        <v>2</v>
      </c>
      <c r="F504" s="74"/>
      <c r="G504" s="74">
        <f t="shared" si="42"/>
        <v>5.5</v>
      </c>
      <c r="H504" s="74">
        <f t="shared" si="43"/>
        <v>5.5</v>
      </c>
      <c r="J504" s="148"/>
    </row>
    <row r="505" spans="2:10" x14ac:dyDescent="0.25">
      <c r="B505" s="74" t="s">
        <v>1148</v>
      </c>
      <c r="C505" s="74">
        <v>1</v>
      </c>
      <c r="D505" s="74">
        <f>0.3+0.3+1.4+0.4+0.5</f>
        <v>2.9</v>
      </c>
      <c r="E505" s="74">
        <v>6</v>
      </c>
      <c r="F505" s="74"/>
      <c r="G505" s="74">
        <f t="shared" si="42"/>
        <v>17.399999999999999</v>
      </c>
      <c r="H505" s="74">
        <f t="shared" si="43"/>
        <v>17.399999999999999</v>
      </c>
      <c r="J505" s="149"/>
    </row>
    <row r="506" spans="2:10" x14ac:dyDescent="0.25">
      <c r="B506" s="74" t="s">
        <v>1143</v>
      </c>
      <c r="C506" s="74">
        <v>1</v>
      </c>
      <c r="D506" s="74">
        <f>0.3+0.3+1.05+0.4+0.5</f>
        <v>2.5499999999999998</v>
      </c>
      <c r="E506" s="74">
        <v>6</v>
      </c>
      <c r="F506" s="74"/>
      <c r="G506" s="74">
        <f t="shared" si="42"/>
        <v>15.299999999999999</v>
      </c>
      <c r="H506" s="74">
        <f t="shared" si="43"/>
        <v>15.299999999999999</v>
      </c>
      <c r="J506" s="149"/>
    </row>
    <row r="507" spans="2:10" x14ac:dyDescent="0.25">
      <c r="B507" s="74" t="s">
        <v>1150</v>
      </c>
      <c r="C507" s="74">
        <v>1</v>
      </c>
      <c r="D507" s="74">
        <f>0.3+0.3+1.05+0.4+0.5</f>
        <v>2.5499999999999998</v>
      </c>
      <c r="E507" s="74">
        <v>6</v>
      </c>
      <c r="F507" s="74"/>
      <c r="G507" s="74">
        <f t="shared" si="42"/>
        <v>15.299999999999999</v>
      </c>
      <c r="H507" s="74">
        <f t="shared" si="43"/>
        <v>15.299999999999999</v>
      </c>
      <c r="J507" s="149"/>
    </row>
    <row r="508" spans="2:10" x14ac:dyDescent="0.25">
      <c r="B508" s="74" t="s">
        <v>1151</v>
      </c>
      <c r="C508" s="74">
        <v>1</v>
      </c>
      <c r="D508" s="74">
        <f>0.3+0.3+0.95+0.4+0.5</f>
        <v>2.4499999999999997</v>
      </c>
      <c r="E508" s="74">
        <v>2</v>
      </c>
      <c r="F508" s="74"/>
      <c r="G508" s="74">
        <f t="shared" si="42"/>
        <v>4.8999999999999995</v>
      </c>
      <c r="H508" s="74">
        <f t="shared" si="43"/>
        <v>4.8999999999999995</v>
      </c>
      <c r="J508" s="149"/>
    </row>
    <row r="509" spans="2:10" x14ac:dyDescent="0.25">
      <c r="B509" s="74" t="s">
        <v>1152</v>
      </c>
      <c r="C509" s="74">
        <v>1</v>
      </c>
      <c r="D509" s="74">
        <f>0.3+0.3+0.9+0.4+0.5</f>
        <v>2.4</v>
      </c>
      <c r="E509" s="74">
        <v>4</v>
      </c>
      <c r="F509" s="74"/>
      <c r="G509" s="74">
        <f t="shared" si="42"/>
        <v>9.6</v>
      </c>
      <c r="H509" s="74">
        <f t="shared" si="43"/>
        <v>9.6</v>
      </c>
      <c r="J509" s="149"/>
    </row>
    <row r="510" spans="2:10" x14ac:dyDescent="0.25">
      <c r="B510" s="74" t="s">
        <v>1153</v>
      </c>
      <c r="C510" s="74">
        <v>1</v>
      </c>
      <c r="D510" s="74">
        <f>0.3+0.3+1.1+0.4+0.5</f>
        <v>2.6</v>
      </c>
      <c r="E510" s="74">
        <v>2</v>
      </c>
      <c r="F510" s="74"/>
      <c r="G510" s="74">
        <f t="shared" si="42"/>
        <v>5.2</v>
      </c>
      <c r="H510" s="74">
        <f t="shared" si="43"/>
        <v>5.2</v>
      </c>
      <c r="J510" s="149"/>
    </row>
    <row r="511" spans="2:10" x14ac:dyDescent="0.25">
      <c r="B511" s="74" t="s">
        <v>1154</v>
      </c>
      <c r="C511" s="74">
        <v>1</v>
      </c>
      <c r="D511" s="74">
        <f>0.3+0.3+0.9+0.4+0.5</f>
        <v>2.4</v>
      </c>
      <c r="E511" s="74">
        <v>6</v>
      </c>
      <c r="F511" s="74"/>
      <c r="G511" s="74">
        <f t="shared" si="42"/>
        <v>14.399999999999999</v>
      </c>
      <c r="H511" s="74">
        <f t="shared" si="43"/>
        <v>14.399999999999999</v>
      </c>
      <c r="J511" s="149"/>
    </row>
    <row r="512" spans="2:10" x14ac:dyDescent="0.25">
      <c r="B512" s="74" t="s">
        <v>1158</v>
      </c>
      <c r="C512" s="74">
        <v>1</v>
      </c>
      <c r="D512" s="74">
        <f>0.3+0.3+0.9+0.4+0.5</f>
        <v>2.4</v>
      </c>
      <c r="E512" s="74">
        <v>8</v>
      </c>
      <c r="F512" s="74"/>
      <c r="G512" s="74">
        <f t="shared" si="42"/>
        <v>19.2</v>
      </c>
      <c r="H512" s="74">
        <f t="shared" si="43"/>
        <v>19.2</v>
      </c>
      <c r="J512" s="149"/>
    </row>
    <row r="513" spans="1:10" x14ac:dyDescent="0.25">
      <c r="B513" s="74" t="s">
        <v>1159</v>
      </c>
      <c r="C513" s="74">
        <v>1</v>
      </c>
      <c r="D513" s="74">
        <f>0.3+0.3+1.1+0.4+0.5</f>
        <v>2.6</v>
      </c>
      <c r="E513" s="74">
        <v>2</v>
      </c>
      <c r="F513" s="74"/>
      <c r="G513" s="74">
        <f t="shared" si="42"/>
        <v>5.2</v>
      </c>
      <c r="H513" s="74">
        <f t="shared" si="43"/>
        <v>5.2</v>
      </c>
      <c r="J513" s="149"/>
    </row>
    <row r="514" spans="1:10" x14ac:dyDescent="0.25">
      <c r="B514" s="74" t="s">
        <v>1189</v>
      </c>
      <c r="C514" s="74">
        <v>1</v>
      </c>
      <c r="D514" s="74">
        <f t="shared" ref="D514" si="44">0.3+0.3+1.15+0.4+0.5</f>
        <v>2.65</v>
      </c>
      <c r="E514" s="74">
        <v>2</v>
      </c>
      <c r="F514" s="74"/>
      <c r="G514" s="74">
        <f t="shared" si="42"/>
        <v>5.3</v>
      </c>
      <c r="H514" s="74">
        <f t="shared" si="43"/>
        <v>5.3</v>
      </c>
      <c r="J514" s="149"/>
    </row>
    <row r="515" spans="1:10" x14ac:dyDescent="0.25">
      <c r="B515" s="74" t="s">
        <v>1161</v>
      </c>
      <c r="C515" s="74">
        <v>1</v>
      </c>
      <c r="D515" s="74">
        <f>0.3+0.3+1.3+0.4+0.5</f>
        <v>2.8</v>
      </c>
      <c r="E515" s="74">
        <v>2</v>
      </c>
      <c r="F515" s="74"/>
      <c r="G515" s="74">
        <f t="shared" si="42"/>
        <v>5.6</v>
      </c>
      <c r="H515" s="74">
        <f t="shared" si="43"/>
        <v>5.6</v>
      </c>
      <c r="J515" s="149"/>
    </row>
    <row r="516" spans="1:10" x14ac:dyDescent="0.25">
      <c r="B516" s="74" t="s">
        <v>1164</v>
      </c>
      <c r="C516" s="74">
        <v>1</v>
      </c>
      <c r="D516" s="74">
        <f>0.3+0.3+1.1+0.4+0.5</f>
        <v>2.6</v>
      </c>
      <c r="E516" s="74">
        <v>6</v>
      </c>
      <c r="F516" s="74"/>
      <c r="G516" s="74">
        <f t="shared" si="42"/>
        <v>15.600000000000001</v>
      </c>
      <c r="H516" s="74">
        <f t="shared" si="43"/>
        <v>15.600000000000001</v>
      </c>
      <c r="J516" s="149"/>
    </row>
    <row r="517" spans="1:10" x14ac:dyDescent="0.25">
      <c r="B517" s="74" t="s">
        <v>1168</v>
      </c>
      <c r="C517" s="74">
        <v>1</v>
      </c>
      <c r="D517" s="74">
        <f>0.3+0.3+1.65+0.4+0.5</f>
        <v>3.15</v>
      </c>
      <c r="E517" s="74">
        <v>2</v>
      </c>
      <c r="F517" s="74"/>
      <c r="G517" s="74">
        <f t="shared" si="42"/>
        <v>6.3</v>
      </c>
      <c r="H517" s="74">
        <f t="shared" si="43"/>
        <v>6.3</v>
      </c>
      <c r="J517" s="149"/>
    </row>
    <row r="518" spans="1:10" x14ac:dyDescent="0.25">
      <c r="B518" s="74" t="s">
        <v>1169</v>
      </c>
      <c r="C518" s="74">
        <v>1</v>
      </c>
      <c r="D518" s="74">
        <f>0.3+0.3+1.1+0.4+0.5</f>
        <v>2.6</v>
      </c>
      <c r="E518" s="74">
        <v>6</v>
      </c>
      <c r="F518" s="74"/>
      <c r="G518" s="74">
        <f t="shared" si="42"/>
        <v>15.600000000000001</v>
      </c>
      <c r="H518" s="74">
        <f t="shared" si="43"/>
        <v>15.600000000000001</v>
      </c>
      <c r="J518" s="149"/>
    </row>
    <row r="519" spans="1:10" x14ac:dyDescent="0.25">
      <c r="B519" s="136"/>
      <c r="C519" s="136"/>
      <c r="D519" s="136"/>
      <c r="E519" s="136"/>
      <c r="F519" s="136"/>
      <c r="G519" s="136"/>
      <c r="H519" s="136"/>
      <c r="J519" s="149"/>
    </row>
    <row r="520" spans="1:10" x14ac:dyDescent="0.25">
      <c r="A520" s="86" t="s">
        <v>1201</v>
      </c>
      <c r="B520" s="266" t="str">
        <f>'[1]BM_02.'!B47</f>
        <v>ARMAÇÃO DE BLOCO, VIGA BALDRAME OU SAPATA UTILIZANDO AÇO CA-50 DE 16 MM - MONTAGEM. AF_06/2017</v>
      </c>
      <c r="C520" s="266"/>
      <c r="D520" s="266"/>
      <c r="E520" s="266"/>
      <c r="F520" s="266"/>
      <c r="G520" s="266"/>
      <c r="H520" s="87">
        <f>SUM(H523:H527)</f>
        <v>92.470799999999997</v>
      </c>
      <c r="I520" s="150" t="s">
        <v>128</v>
      </c>
      <c r="J520" s="149"/>
    </row>
    <row r="521" spans="1:10" x14ac:dyDescent="0.25">
      <c r="B521" s="136"/>
      <c r="C521" s="136"/>
      <c r="D521" s="136"/>
      <c r="E521" s="136"/>
      <c r="F521" s="136"/>
      <c r="G521" s="136"/>
      <c r="H521" s="136"/>
      <c r="J521" s="149"/>
    </row>
    <row r="522" spans="1:10" x14ac:dyDescent="0.25">
      <c r="B522" s="135" t="s">
        <v>1188</v>
      </c>
      <c r="C522" s="74"/>
      <c r="D522" s="145" t="s">
        <v>1198</v>
      </c>
      <c r="E522" s="145" t="s">
        <v>1199</v>
      </c>
      <c r="F522" s="146"/>
      <c r="G522" s="74"/>
      <c r="H522" s="74"/>
      <c r="J522" s="149"/>
    </row>
    <row r="523" spans="1:10" x14ac:dyDescent="0.25">
      <c r="B523" s="74" t="s">
        <v>1126</v>
      </c>
      <c r="C523" s="74">
        <v>1</v>
      </c>
      <c r="D523" s="74">
        <f>0.3+0.3+1.6+0.4+0.5</f>
        <v>3.1</v>
      </c>
      <c r="E523" s="74">
        <v>4</v>
      </c>
      <c r="F523" s="74"/>
      <c r="G523" s="74">
        <f>(D523*E523)*C523</f>
        <v>12.4</v>
      </c>
      <c r="H523" s="74">
        <f>G523*1.578</f>
        <v>19.5672</v>
      </c>
      <c r="J523" s="149"/>
    </row>
    <row r="524" spans="1:10" x14ac:dyDescent="0.25">
      <c r="B524" s="74" t="s">
        <v>1147</v>
      </c>
      <c r="C524" s="74">
        <v>1</v>
      </c>
      <c r="D524" s="74">
        <f>0.3+0.3+1.4+0.4+0.5</f>
        <v>2.9</v>
      </c>
      <c r="E524" s="74">
        <v>2</v>
      </c>
      <c r="F524" s="74"/>
      <c r="G524" s="74">
        <f t="shared" ref="G524:G527" si="45">(D524*E524)*C524</f>
        <v>5.8</v>
      </c>
      <c r="H524" s="74">
        <f t="shared" ref="H524:H527" si="46">G524*1.578</f>
        <v>9.1524000000000001</v>
      </c>
      <c r="J524" s="149"/>
    </row>
    <row r="525" spans="1:10" x14ac:dyDescent="0.25">
      <c r="B525" s="74" t="s">
        <v>1152</v>
      </c>
      <c r="C525" s="74">
        <v>1</v>
      </c>
      <c r="D525" s="74">
        <f>0.3+0.3+0.9+0.4+0.5</f>
        <v>2.4</v>
      </c>
      <c r="E525" s="74">
        <v>4</v>
      </c>
      <c r="F525" s="74"/>
      <c r="G525" s="74">
        <f t="shared" si="45"/>
        <v>9.6</v>
      </c>
      <c r="H525" s="74">
        <f t="shared" si="46"/>
        <v>15.1488</v>
      </c>
      <c r="J525" s="149"/>
    </row>
    <row r="526" spans="1:10" x14ac:dyDescent="0.25">
      <c r="B526" s="74" t="s">
        <v>1159</v>
      </c>
      <c r="C526" s="74">
        <v>1</v>
      </c>
      <c r="D526" s="74">
        <f>0.3+0.3+1.1+0.4+0.5</f>
        <v>2.6</v>
      </c>
      <c r="E526" s="74">
        <v>4</v>
      </c>
      <c r="F526" s="74"/>
      <c r="G526" s="74">
        <f t="shared" si="45"/>
        <v>10.4</v>
      </c>
      <c r="H526" s="74">
        <f t="shared" si="46"/>
        <v>16.411200000000001</v>
      </c>
      <c r="J526" s="149"/>
    </row>
    <row r="527" spans="1:10" x14ac:dyDescent="0.25">
      <c r="B527" s="74" t="s">
        <v>1167</v>
      </c>
      <c r="C527" s="74">
        <v>2</v>
      </c>
      <c r="D527" s="74">
        <f>0.3+0.3+1.05+0.4+0.5</f>
        <v>2.5499999999999998</v>
      </c>
      <c r="E527" s="74">
        <v>4</v>
      </c>
      <c r="F527" s="74"/>
      <c r="G527" s="74">
        <f t="shared" si="45"/>
        <v>20.399999999999999</v>
      </c>
      <c r="H527" s="74">
        <f t="shared" si="46"/>
        <v>32.191200000000002</v>
      </c>
      <c r="J527" s="149"/>
    </row>
    <row r="528" spans="1:10" x14ac:dyDescent="0.25">
      <c r="B528" s="74"/>
      <c r="C528" s="74"/>
      <c r="D528" s="74"/>
      <c r="E528" s="74"/>
      <c r="F528" s="74"/>
      <c r="G528" s="74"/>
      <c r="H528" s="74"/>
      <c r="J528" s="149"/>
    </row>
    <row r="529" spans="1:10" x14ac:dyDescent="0.25">
      <c r="B529" s="136"/>
      <c r="C529" s="136"/>
      <c r="D529" s="136"/>
      <c r="E529" s="136"/>
      <c r="F529" s="136"/>
      <c r="G529" s="136"/>
      <c r="H529" s="136"/>
      <c r="J529" s="149"/>
    </row>
    <row r="530" spans="1:10" x14ac:dyDescent="0.25">
      <c r="A530" s="86" t="s">
        <v>1202</v>
      </c>
      <c r="B530" s="266" t="str">
        <f>'[1]BM_02.'!B48</f>
        <v>ARMAÇÃO DE BLOCO, VIGA BALDRAME OU SAPATA UTILIZANDO AÇO CA-50 DE 20 MM - MONTAGEM. AF_06/2017</v>
      </c>
      <c r="C530" s="266"/>
      <c r="D530" s="266"/>
      <c r="E530" s="266"/>
      <c r="F530" s="266"/>
      <c r="G530" s="266"/>
      <c r="H530" s="87">
        <f>SUM(H533:H534)</f>
        <v>0</v>
      </c>
      <c r="I530" s="150" t="s">
        <v>128</v>
      </c>
      <c r="J530" s="149"/>
    </row>
    <row r="531" spans="1:10" x14ac:dyDescent="0.25">
      <c r="B531" s="136"/>
      <c r="C531" s="136"/>
      <c r="D531" s="136"/>
      <c r="E531" s="136"/>
      <c r="F531" s="136"/>
      <c r="G531" s="136"/>
      <c r="H531" s="136"/>
      <c r="J531" s="149"/>
    </row>
    <row r="532" spans="1:10" x14ac:dyDescent="0.25">
      <c r="B532" s="135" t="s">
        <v>1188</v>
      </c>
      <c r="C532" s="74"/>
      <c r="D532" s="145" t="s">
        <v>1203</v>
      </c>
      <c r="E532" s="145" t="s">
        <v>1199</v>
      </c>
      <c r="F532" s="145"/>
      <c r="G532" s="136"/>
      <c r="H532" s="136"/>
      <c r="J532" s="149"/>
    </row>
    <row r="533" spans="1:10" x14ac:dyDescent="0.25">
      <c r="B533" s="74" t="s">
        <v>1131</v>
      </c>
      <c r="C533" s="74">
        <v>1</v>
      </c>
      <c r="D533" s="74"/>
      <c r="E533" s="74">
        <v>4</v>
      </c>
      <c r="F533" s="74"/>
      <c r="G533" s="74">
        <f>(D533*E533)*C533</f>
        <v>0</v>
      </c>
      <c r="H533" s="74">
        <f>G533*2.466</f>
        <v>0</v>
      </c>
      <c r="J533" s="149"/>
    </row>
    <row r="534" spans="1:10" x14ac:dyDescent="0.25">
      <c r="B534" s="74" t="s">
        <v>1147</v>
      </c>
      <c r="C534" s="74">
        <v>1</v>
      </c>
      <c r="D534" s="74"/>
      <c r="E534" s="74">
        <v>4</v>
      </c>
      <c r="F534" s="74"/>
      <c r="G534" s="74">
        <f>(D534*E534)*C534</f>
        <v>0</v>
      </c>
      <c r="H534" s="74">
        <f>G534*2.466</f>
        <v>0</v>
      </c>
      <c r="J534" s="149"/>
    </row>
    <row r="535" spans="1:10" x14ac:dyDescent="0.25">
      <c r="J535" s="149"/>
    </row>
    <row r="536" spans="1:10" ht="25.5" customHeight="1" x14ac:dyDescent="0.25">
      <c r="A536" s="86" t="s">
        <v>1204</v>
      </c>
      <c r="B536" s="270" t="str">
        <f>'[1]BM_02.'!B49</f>
        <v>FABRICAÇÃO, MONTAGEM E DESMONTAGEM DE FÔRMA PARA SAPATA, EM CHAPA DE MADEIRA COMPENSADA RESINADA, E=17 MM, 2 UTILIZAÇÕES. AF_06/2017</v>
      </c>
      <c r="C536" s="271"/>
      <c r="D536" s="271"/>
      <c r="E536" s="271"/>
      <c r="F536" s="271"/>
      <c r="G536" s="271"/>
      <c r="H536" s="272"/>
      <c r="I536" s="87">
        <f>SUM(J539:J588)</f>
        <v>82.200000000000017</v>
      </c>
      <c r="J536" s="151" t="s">
        <v>1054</v>
      </c>
    </row>
    <row r="538" spans="1:10" x14ac:dyDescent="0.25">
      <c r="B538" s="135" t="s">
        <v>1177</v>
      </c>
      <c r="C538" s="74"/>
      <c r="D538" s="74"/>
      <c r="E538" s="74"/>
      <c r="F538" s="74"/>
      <c r="G538" s="74"/>
      <c r="H538" s="74"/>
      <c r="I538" s="74"/>
      <c r="J538" s="74"/>
    </row>
    <row r="539" spans="1:10" x14ac:dyDescent="0.25">
      <c r="B539" s="74" t="s">
        <v>1123</v>
      </c>
      <c r="C539" s="74">
        <v>1</v>
      </c>
      <c r="D539" s="74">
        <v>2</v>
      </c>
      <c r="E539" s="74">
        <v>1.1499999999999999</v>
      </c>
      <c r="F539" s="74">
        <v>2</v>
      </c>
      <c r="G539" s="74">
        <v>1.1499999999999999</v>
      </c>
      <c r="H539" s="74">
        <v>0.2</v>
      </c>
      <c r="I539" s="74">
        <f>ROUND((D539+E539+F539+G539)*H539,2)</f>
        <v>1.26</v>
      </c>
      <c r="J539" s="74">
        <f>I539*C539</f>
        <v>1.26</v>
      </c>
    </row>
    <row r="540" spans="1:10" x14ac:dyDescent="0.25">
      <c r="B540" s="74" t="s">
        <v>1124</v>
      </c>
      <c r="C540" s="74">
        <v>1</v>
      </c>
      <c r="D540" s="74">
        <v>1.3</v>
      </c>
      <c r="E540" s="74">
        <v>2.1</v>
      </c>
      <c r="F540" s="74">
        <v>1.3</v>
      </c>
      <c r="G540" s="74">
        <v>2.1</v>
      </c>
      <c r="H540" s="74">
        <v>0.2</v>
      </c>
      <c r="I540" s="74">
        <f t="shared" ref="I540:I545" si="47">ROUND((D540+E540+F540+G540)*H540,2)</f>
        <v>1.36</v>
      </c>
      <c r="J540" s="74">
        <f t="shared" ref="J540:J587" si="48">I540*C540</f>
        <v>1.36</v>
      </c>
    </row>
    <row r="541" spans="1:10" x14ac:dyDescent="0.25">
      <c r="B541" s="74" t="s">
        <v>1174</v>
      </c>
      <c r="C541" s="74">
        <v>10</v>
      </c>
      <c r="D541" s="74">
        <v>0.9</v>
      </c>
      <c r="E541" s="74">
        <v>0.75</v>
      </c>
      <c r="F541" s="74">
        <v>0.9</v>
      </c>
      <c r="G541" s="74">
        <v>0.75</v>
      </c>
      <c r="H541" s="74">
        <v>0.2</v>
      </c>
      <c r="I541" s="74">
        <f t="shared" si="47"/>
        <v>0.66</v>
      </c>
      <c r="J541" s="74">
        <f t="shared" si="48"/>
        <v>6.6000000000000005</v>
      </c>
    </row>
    <row r="542" spans="1:10" x14ac:dyDescent="0.25">
      <c r="B542" s="74" t="s">
        <v>1135</v>
      </c>
      <c r="C542" s="74">
        <v>1</v>
      </c>
      <c r="D542" s="74">
        <v>0.75</v>
      </c>
      <c r="E542" s="74">
        <v>0.9</v>
      </c>
      <c r="F542" s="74">
        <v>0.75</v>
      </c>
      <c r="G542" s="74">
        <v>0.9</v>
      </c>
      <c r="H542" s="74">
        <v>0.2</v>
      </c>
      <c r="I542" s="74">
        <f t="shared" si="47"/>
        <v>0.66</v>
      </c>
      <c r="J542" s="74">
        <f t="shared" si="48"/>
        <v>0.66</v>
      </c>
    </row>
    <row r="543" spans="1:10" x14ac:dyDescent="0.25">
      <c r="B543" s="74" t="s">
        <v>1136</v>
      </c>
      <c r="C543" s="74">
        <v>3</v>
      </c>
      <c r="D543" s="74">
        <v>1.2</v>
      </c>
      <c r="E543" s="74">
        <v>0.85</v>
      </c>
      <c r="F543" s="74">
        <v>1.2</v>
      </c>
      <c r="G543" s="74">
        <v>0.85</v>
      </c>
      <c r="H543" s="74">
        <v>0.2</v>
      </c>
      <c r="I543" s="74">
        <f t="shared" si="47"/>
        <v>0.82</v>
      </c>
      <c r="J543" s="74">
        <f t="shared" si="48"/>
        <v>2.46</v>
      </c>
    </row>
    <row r="544" spans="1:10" x14ac:dyDescent="0.25">
      <c r="B544" s="74" t="s">
        <v>1137</v>
      </c>
      <c r="C544" s="74">
        <v>4</v>
      </c>
      <c r="D544" s="74">
        <v>0.85</v>
      </c>
      <c r="E544" s="74">
        <v>1.2</v>
      </c>
      <c r="F544" s="74">
        <v>0.85</v>
      </c>
      <c r="G544" s="74">
        <v>1.2</v>
      </c>
      <c r="H544" s="74">
        <v>0.2</v>
      </c>
      <c r="I544" s="74">
        <f t="shared" si="47"/>
        <v>0.82</v>
      </c>
      <c r="J544" s="74">
        <f t="shared" si="48"/>
        <v>3.28</v>
      </c>
    </row>
    <row r="545" spans="2:10" x14ac:dyDescent="0.25">
      <c r="B545" s="74" t="s">
        <v>1175</v>
      </c>
      <c r="C545" s="74">
        <v>6</v>
      </c>
      <c r="D545" s="74">
        <v>0.75</v>
      </c>
      <c r="E545" s="74">
        <v>0.9</v>
      </c>
      <c r="F545" s="74">
        <v>0.75</v>
      </c>
      <c r="G545" s="74">
        <v>0.9</v>
      </c>
      <c r="H545" s="74">
        <v>0.2</v>
      </c>
      <c r="I545" s="74">
        <f t="shared" si="47"/>
        <v>0.66</v>
      </c>
      <c r="J545" s="74">
        <f t="shared" si="48"/>
        <v>3.96</v>
      </c>
    </row>
    <row r="546" spans="2:10" x14ac:dyDescent="0.25">
      <c r="B546" s="74"/>
      <c r="C546" s="74"/>
      <c r="D546" s="74"/>
      <c r="E546" s="74"/>
      <c r="F546" s="74"/>
      <c r="G546" s="74"/>
      <c r="H546" s="74"/>
      <c r="I546" s="74"/>
      <c r="J546" s="74">
        <f t="shared" si="48"/>
        <v>0</v>
      </c>
    </row>
    <row r="547" spans="2:10" x14ac:dyDescent="0.25">
      <c r="B547" s="74"/>
      <c r="C547" s="74"/>
      <c r="D547" s="74"/>
      <c r="E547" s="74"/>
      <c r="F547" s="74"/>
      <c r="G547" s="74"/>
      <c r="H547" s="74"/>
      <c r="I547" s="74"/>
      <c r="J547" s="74"/>
    </row>
    <row r="548" spans="2:10" x14ac:dyDescent="0.25">
      <c r="B548" s="135" t="s">
        <v>1178</v>
      </c>
      <c r="C548" s="74"/>
      <c r="D548" s="74"/>
      <c r="E548" s="74"/>
      <c r="F548" s="74"/>
      <c r="G548" s="74"/>
      <c r="H548" s="74"/>
      <c r="I548" s="74"/>
      <c r="J548" s="74"/>
    </row>
    <row r="549" spans="2:10" x14ac:dyDescent="0.25">
      <c r="B549" s="74" t="s">
        <v>1138</v>
      </c>
      <c r="C549" s="74">
        <v>1</v>
      </c>
      <c r="D549" s="74">
        <v>1.1499999999999999</v>
      </c>
      <c r="E549" s="74">
        <v>1.1000000000000001</v>
      </c>
      <c r="F549" s="74">
        <v>1.1499999999999999</v>
      </c>
      <c r="G549" s="74">
        <v>1.1000000000000001</v>
      </c>
      <c r="H549" s="74">
        <v>0.25</v>
      </c>
      <c r="I549" s="74">
        <f>ROUND((D549+E549+F549+G549)*H549,2)</f>
        <v>1.1299999999999999</v>
      </c>
      <c r="J549" s="74">
        <f t="shared" si="48"/>
        <v>1.1299999999999999</v>
      </c>
    </row>
    <row r="550" spans="2:10" x14ac:dyDescent="0.25">
      <c r="B550" s="74" t="s">
        <v>1125</v>
      </c>
      <c r="C550" s="74">
        <v>1</v>
      </c>
      <c r="D550" s="74">
        <v>0.95</v>
      </c>
      <c r="E550" s="74">
        <v>1.1000000000000001</v>
      </c>
      <c r="F550" s="74">
        <v>0.95</v>
      </c>
      <c r="G550" s="74">
        <v>1.1000000000000001</v>
      </c>
      <c r="H550" s="74">
        <v>0.2</v>
      </c>
      <c r="I550" s="74">
        <f t="shared" ref="I550:I587" si="49">ROUND((D550+E550+F550+G550)*H550,2)</f>
        <v>0.82</v>
      </c>
      <c r="J550" s="74">
        <f t="shared" si="48"/>
        <v>0.82</v>
      </c>
    </row>
    <row r="551" spans="2:10" x14ac:dyDescent="0.25">
      <c r="B551" s="74" t="s">
        <v>1126</v>
      </c>
      <c r="C551" s="74">
        <v>1</v>
      </c>
      <c r="D551" s="74">
        <v>1.1499999999999999</v>
      </c>
      <c r="E551" s="74">
        <v>1.1000000000000001</v>
      </c>
      <c r="F551" s="74">
        <v>1.1499999999999999</v>
      </c>
      <c r="G551" s="74">
        <v>1.1000000000000001</v>
      </c>
      <c r="H551" s="74">
        <v>0.2</v>
      </c>
      <c r="I551" s="74">
        <f t="shared" si="49"/>
        <v>0.9</v>
      </c>
      <c r="J551" s="74">
        <f t="shared" si="48"/>
        <v>0.9</v>
      </c>
    </row>
    <row r="552" spans="2:10" x14ac:dyDescent="0.25">
      <c r="B552" s="74" t="s">
        <v>1127</v>
      </c>
      <c r="C552" s="74">
        <v>1</v>
      </c>
      <c r="D552" s="74">
        <v>1.05</v>
      </c>
      <c r="E552" s="74">
        <v>1.5</v>
      </c>
      <c r="F552" s="74">
        <v>1.05</v>
      </c>
      <c r="G552" s="74">
        <v>1.5</v>
      </c>
      <c r="H552" s="74">
        <v>0.25</v>
      </c>
      <c r="I552" s="74">
        <f t="shared" si="49"/>
        <v>1.28</v>
      </c>
      <c r="J552" s="74">
        <f t="shared" si="48"/>
        <v>1.28</v>
      </c>
    </row>
    <row r="553" spans="2:10" x14ac:dyDescent="0.25">
      <c r="B553" s="74" t="s">
        <v>1145</v>
      </c>
      <c r="C553" s="74">
        <v>2</v>
      </c>
      <c r="D553" s="74">
        <v>0.95</v>
      </c>
      <c r="E553" s="74">
        <v>1.1000000000000001</v>
      </c>
      <c r="F553" s="74">
        <v>0.95</v>
      </c>
      <c r="G553" s="74">
        <v>1.1000000000000001</v>
      </c>
      <c r="H553" s="74">
        <v>0.2</v>
      </c>
      <c r="I553" s="74">
        <f t="shared" si="49"/>
        <v>0.82</v>
      </c>
      <c r="J553" s="74">
        <f t="shared" si="48"/>
        <v>1.64</v>
      </c>
    </row>
    <row r="554" spans="2:10" x14ac:dyDescent="0.25">
      <c r="B554" s="74" t="s">
        <v>1131</v>
      </c>
      <c r="C554" s="74">
        <v>1</v>
      </c>
      <c r="D554" s="74">
        <v>2.2000000000000002</v>
      </c>
      <c r="E554" s="74">
        <v>1.55</v>
      </c>
      <c r="F554" s="74">
        <v>2.2000000000000002</v>
      </c>
      <c r="G554" s="74">
        <v>1.55</v>
      </c>
      <c r="H554" s="74">
        <v>0.3</v>
      </c>
      <c r="I554" s="74">
        <f t="shared" si="49"/>
        <v>2.25</v>
      </c>
      <c r="J554" s="74">
        <f t="shared" si="48"/>
        <v>2.25</v>
      </c>
    </row>
    <row r="555" spans="2:10" x14ac:dyDescent="0.25">
      <c r="B555" s="74" t="s">
        <v>1132</v>
      </c>
      <c r="C555" s="74">
        <v>1</v>
      </c>
      <c r="D555" s="74">
        <v>1.5</v>
      </c>
      <c r="E555" s="74">
        <v>1.05</v>
      </c>
      <c r="F555" s="74">
        <v>1.5</v>
      </c>
      <c r="G555" s="74">
        <v>1.05</v>
      </c>
      <c r="H555" s="74">
        <v>0.25</v>
      </c>
      <c r="I555" s="74">
        <f t="shared" si="49"/>
        <v>1.28</v>
      </c>
      <c r="J555" s="74">
        <f t="shared" si="48"/>
        <v>1.28</v>
      </c>
    </row>
    <row r="556" spans="2:10" x14ac:dyDescent="0.25">
      <c r="B556" s="74" t="s">
        <v>1133</v>
      </c>
      <c r="C556" s="74">
        <v>1</v>
      </c>
      <c r="D556" s="74">
        <v>0.95</v>
      </c>
      <c r="E556" s="74">
        <v>1.2</v>
      </c>
      <c r="F556" s="74">
        <v>0.95</v>
      </c>
      <c r="G556" s="74">
        <v>1.2</v>
      </c>
      <c r="H556" s="74">
        <v>0.2</v>
      </c>
      <c r="I556" s="74">
        <f t="shared" si="49"/>
        <v>0.86</v>
      </c>
      <c r="J556" s="74">
        <f t="shared" si="48"/>
        <v>0.86</v>
      </c>
    </row>
    <row r="557" spans="2:10" x14ac:dyDescent="0.25">
      <c r="B557" s="74" t="s">
        <v>1139</v>
      </c>
      <c r="C557" s="74">
        <v>1</v>
      </c>
      <c r="D557" s="74">
        <v>1.3</v>
      </c>
      <c r="E557" s="74">
        <v>1.3</v>
      </c>
      <c r="F557" s="74">
        <v>1.3</v>
      </c>
      <c r="G557" s="74">
        <v>1.3</v>
      </c>
      <c r="H557" s="74">
        <v>0.2</v>
      </c>
      <c r="I557" s="74">
        <f t="shared" si="49"/>
        <v>1.04</v>
      </c>
      <c r="J557" s="74">
        <f t="shared" si="48"/>
        <v>1.04</v>
      </c>
    </row>
    <row r="558" spans="2:10" x14ac:dyDescent="0.25">
      <c r="B558" s="74" t="s">
        <v>1140</v>
      </c>
      <c r="C558" s="74">
        <v>1</v>
      </c>
      <c r="D558" s="74">
        <v>2</v>
      </c>
      <c r="E558" s="74">
        <v>2</v>
      </c>
      <c r="F558" s="74">
        <v>2</v>
      </c>
      <c r="G558" s="74">
        <v>2</v>
      </c>
      <c r="H558" s="74">
        <v>0.25</v>
      </c>
      <c r="I558" s="74">
        <f t="shared" si="49"/>
        <v>2</v>
      </c>
      <c r="J558" s="74">
        <f t="shared" si="48"/>
        <v>2</v>
      </c>
    </row>
    <row r="559" spans="2:10" x14ac:dyDescent="0.25">
      <c r="B559" s="74" t="s">
        <v>1146</v>
      </c>
      <c r="C559" s="74">
        <v>1</v>
      </c>
      <c r="D559" s="74">
        <v>2.4</v>
      </c>
      <c r="E559" s="74">
        <v>2.4</v>
      </c>
      <c r="F559" s="74">
        <v>2.4</v>
      </c>
      <c r="G559" s="74">
        <v>2.4</v>
      </c>
      <c r="H559" s="74">
        <v>0.3</v>
      </c>
      <c r="I559" s="74">
        <f t="shared" si="49"/>
        <v>2.88</v>
      </c>
      <c r="J559" s="74">
        <f t="shared" si="48"/>
        <v>2.88</v>
      </c>
    </row>
    <row r="560" spans="2:10" x14ac:dyDescent="0.25">
      <c r="B560" s="74" t="s">
        <v>1141</v>
      </c>
      <c r="C560" s="74">
        <v>1</v>
      </c>
      <c r="D560" s="74">
        <v>1.6</v>
      </c>
      <c r="E560" s="74">
        <v>1.6</v>
      </c>
      <c r="F560" s="74">
        <v>1.6</v>
      </c>
      <c r="G560" s="74">
        <v>1.6</v>
      </c>
      <c r="H560" s="74">
        <v>0.25</v>
      </c>
      <c r="I560" s="74">
        <f t="shared" si="49"/>
        <v>1.6</v>
      </c>
      <c r="J560" s="74">
        <f t="shared" si="48"/>
        <v>1.6</v>
      </c>
    </row>
    <row r="561" spans="2:10" x14ac:dyDescent="0.25">
      <c r="B561" s="74" t="s">
        <v>1142</v>
      </c>
      <c r="C561" s="74">
        <v>1</v>
      </c>
      <c r="D561" s="74">
        <v>1.85</v>
      </c>
      <c r="E561" s="74">
        <v>1.3</v>
      </c>
      <c r="F561" s="74">
        <v>1.85</v>
      </c>
      <c r="G561" s="74">
        <v>1.3</v>
      </c>
      <c r="H561" s="74">
        <v>0.4</v>
      </c>
      <c r="I561" s="74">
        <f t="shared" si="49"/>
        <v>2.52</v>
      </c>
      <c r="J561" s="74">
        <f t="shared" si="48"/>
        <v>2.52</v>
      </c>
    </row>
    <row r="562" spans="2:10" x14ac:dyDescent="0.25">
      <c r="B562" s="74" t="s">
        <v>1147</v>
      </c>
      <c r="C562" s="74">
        <v>1</v>
      </c>
      <c r="D562" s="74">
        <v>1.25</v>
      </c>
      <c r="E562" s="74">
        <v>1.8</v>
      </c>
      <c r="F562" s="74">
        <v>1.25</v>
      </c>
      <c r="G562" s="74">
        <v>1.8</v>
      </c>
      <c r="H562" s="74">
        <v>0.3</v>
      </c>
      <c r="I562" s="74">
        <f t="shared" si="49"/>
        <v>1.83</v>
      </c>
      <c r="J562" s="74">
        <f t="shared" si="48"/>
        <v>1.83</v>
      </c>
    </row>
    <row r="563" spans="2:10" x14ac:dyDescent="0.25">
      <c r="B563" s="74" t="s">
        <v>1148</v>
      </c>
      <c r="C563" s="74">
        <v>1</v>
      </c>
      <c r="D563" s="74">
        <v>1.3</v>
      </c>
      <c r="E563" s="74">
        <v>0.9</v>
      </c>
      <c r="F563" s="74">
        <v>1.3</v>
      </c>
      <c r="G563" s="74">
        <v>0.9</v>
      </c>
      <c r="H563" s="74">
        <v>0.2</v>
      </c>
      <c r="I563" s="74">
        <f t="shared" si="49"/>
        <v>0.88</v>
      </c>
      <c r="J563" s="74">
        <f t="shared" si="48"/>
        <v>0.88</v>
      </c>
    </row>
    <row r="564" spans="2:10" x14ac:dyDescent="0.25">
      <c r="B564" s="74" t="s">
        <v>1143</v>
      </c>
      <c r="C564" s="74">
        <v>1</v>
      </c>
      <c r="D564" s="74">
        <v>1.05</v>
      </c>
      <c r="E564" s="74">
        <v>1.5</v>
      </c>
      <c r="F564" s="74">
        <v>1.05</v>
      </c>
      <c r="G564" s="74">
        <v>1.5</v>
      </c>
      <c r="H564" s="74">
        <v>0.25</v>
      </c>
      <c r="I564" s="74">
        <f t="shared" si="49"/>
        <v>1.28</v>
      </c>
      <c r="J564" s="74">
        <f t="shared" si="48"/>
        <v>1.28</v>
      </c>
    </row>
    <row r="565" spans="2:10" x14ac:dyDescent="0.25">
      <c r="B565" s="74" t="s">
        <v>1149</v>
      </c>
      <c r="C565" s="74">
        <v>1</v>
      </c>
      <c r="D565" s="74">
        <v>1.25</v>
      </c>
      <c r="E565" s="74">
        <v>1.4</v>
      </c>
      <c r="F565" s="74">
        <v>1.25</v>
      </c>
      <c r="G565" s="74">
        <v>1.4</v>
      </c>
      <c r="H565" s="74">
        <v>0.2</v>
      </c>
      <c r="I565" s="74">
        <f t="shared" si="49"/>
        <v>1.06</v>
      </c>
      <c r="J565" s="74">
        <f t="shared" si="48"/>
        <v>1.06</v>
      </c>
    </row>
    <row r="566" spans="2:10" x14ac:dyDescent="0.25">
      <c r="B566" s="74" t="s">
        <v>1150</v>
      </c>
      <c r="C566" s="74">
        <v>1</v>
      </c>
      <c r="D566" s="74">
        <v>1.25</v>
      </c>
      <c r="E566" s="74">
        <v>1.4</v>
      </c>
      <c r="F566" s="74">
        <v>1.25</v>
      </c>
      <c r="G566" s="74">
        <v>1.4</v>
      </c>
      <c r="H566" s="74">
        <v>0.2</v>
      </c>
      <c r="I566" s="74">
        <f t="shared" si="49"/>
        <v>1.06</v>
      </c>
      <c r="J566" s="74">
        <f t="shared" si="48"/>
        <v>1.06</v>
      </c>
    </row>
    <row r="567" spans="2:10" x14ac:dyDescent="0.25">
      <c r="B567" s="74" t="s">
        <v>1151</v>
      </c>
      <c r="C567" s="74">
        <v>1</v>
      </c>
      <c r="D567" s="74">
        <v>1.8</v>
      </c>
      <c r="E567" s="74">
        <v>1.2</v>
      </c>
      <c r="F567" s="74">
        <v>1.8</v>
      </c>
      <c r="G567" s="74">
        <v>1.2</v>
      </c>
      <c r="H567" s="74">
        <v>0.35</v>
      </c>
      <c r="I567" s="74">
        <f t="shared" si="49"/>
        <v>2.1</v>
      </c>
      <c r="J567" s="74">
        <f t="shared" si="48"/>
        <v>2.1</v>
      </c>
    </row>
    <row r="568" spans="2:10" x14ac:dyDescent="0.25">
      <c r="B568" s="74" t="s">
        <v>1152</v>
      </c>
      <c r="C568" s="74">
        <v>1</v>
      </c>
      <c r="D568" s="74">
        <v>2.5</v>
      </c>
      <c r="E568" s="74">
        <v>1.7</v>
      </c>
      <c r="F568" s="74">
        <v>2.5</v>
      </c>
      <c r="G568" s="74">
        <v>1.7</v>
      </c>
      <c r="H568" s="74">
        <v>0.45</v>
      </c>
      <c r="I568" s="74">
        <f t="shared" si="49"/>
        <v>3.78</v>
      </c>
      <c r="J568" s="74">
        <f t="shared" si="48"/>
        <v>3.78</v>
      </c>
    </row>
    <row r="569" spans="2:10" x14ac:dyDescent="0.25">
      <c r="B569" s="74" t="s">
        <v>1153</v>
      </c>
      <c r="C569" s="74">
        <v>1</v>
      </c>
      <c r="D569" s="74">
        <v>1.3</v>
      </c>
      <c r="E569" s="74">
        <v>1.9</v>
      </c>
      <c r="F569" s="74">
        <v>1.3</v>
      </c>
      <c r="G569" s="74">
        <v>1.9</v>
      </c>
      <c r="H569" s="74">
        <v>0.4</v>
      </c>
      <c r="I569" s="74">
        <f t="shared" si="49"/>
        <v>2.56</v>
      </c>
      <c r="J569" s="74">
        <f t="shared" si="48"/>
        <v>2.56</v>
      </c>
    </row>
    <row r="570" spans="2:10" x14ac:dyDescent="0.25">
      <c r="B570" s="74" t="s">
        <v>1154</v>
      </c>
      <c r="C570" s="74">
        <v>1</v>
      </c>
      <c r="D570" s="74">
        <v>2.2999999999999998</v>
      </c>
      <c r="E570" s="74">
        <v>1.6</v>
      </c>
      <c r="F570" s="74">
        <v>2.2999999999999998</v>
      </c>
      <c r="G570" s="74">
        <v>1.6</v>
      </c>
      <c r="H570" s="74">
        <v>0.4</v>
      </c>
      <c r="I570" s="74">
        <f t="shared" si="49"/>
        <v>3.12</v>
      </c>
      <c r="J570" s="74">
        <f t="shared" si="48"/>
        <v>3.12</v>
      </c>
    </row>
    <row r="571" spans="2:10" x14ac:dyDescent="0.25">
      <c r="B571" s="74" t="s">
        <v>1155</v>
      </c>
      <c r="C571" s="74">
        <v>1</v>
      </c>
      <c r="D571" s="74">
        <v>2.2999999999999998</v>
      </c>
      <c r="E571" s="74">
        <v>1.6</v>
      </c>
      <c r="F571" s="74">
        <v>2.2999999999999998</v>
      </c>
      <c r="G571" s="74">
        <v>1.6</v>
      </c>
      <c r="H571" s="74">
        <v>0.4</v>
      </c>
      <c r="I571" s="74">
        <f t="shared" si="49"/>
        <v>3.12</v>
      </c>
      <c r="J571" s="74">
        <f t="shared" si="48"/>
        <v>3.12</v>
      </c>
    </row>
    <row r="572" spans="2:10" x14ac:dyDescent="0.25">
      <c r="B572" s="74" t="s">
        <v>1156</v>
      </c>
      <c r="C572" s="74">
        <v>1</v>
      </c>
      <c r="D572" s="74">
        <v>0.9</v>
      </c>
      <c r="E572" s="74">
        <v>1.1000000000000001</v>
      </c>
      <c r="F572" s="74">
        <v>0.9</v>
      </c>
      <c r="G572" s="74">
        <v>1.1000000000000001</v>
      </c>
      <c r="H572" s="74">
        <v>0.2</v>
      </c>
      <c r="I572" s="74">
        <f t="shared" si="49"/>
        <v>0.8</v>
      </c>
      <c r="J572" s="74">
        <f t="shared" si="48"/>
        <v>0.8</v>
      </c>
    </row>
    <row r="573" spans="2:10" x14ac:dyDescent="0.25">
      <c r="B573" s="74" t="s">
        <v>1157</v>
      </c>
      <c r="C573" s="74">
        <v>1</v>
      </c>
      <c r="D573" s="74">
        <v>1.75</v>
      </c>
      <c r="E573" s="74">
        <v>1.2</v>
      </c>
      <c r="F573" s="74">
        <v>1.75</v>
      </c>
      <c r="G573" s="74">
        <v>1.2</v>
      </c>
      <c r="H573" s="74">
        <v>0.4</v>
      </c>
      <c r="I573" s="74">
        <f t="shared" si="49"/>
        <v>2.36</v>
      </c>
      <c r="J573" s="74">
        <f t="shared" si="48"/>
        <v>2.36</v>
      </c>
    </row>
    <row r="574" spans="2:10" x14ac:dyDescent="0.25">
      <c r="B574" s="74" t="s">
        <v>1158</v>
      </c>
      <c r="C574" s="74">
        <v>1</v>
      </c>
      <c r="D574" s="74">
        <v>1.5</v>
      </c>
      <c r="E574" s="74">
        <v>1</v>
      </c>
      <c r="F574" s="74">
        <v>1.5</v>
      </c>
      <c r="G574" s="74">
        <v>1</v>
      </c>
      <c r="H574" s="74">
        <v>0.25</v>
      </c>
      <c r="I574" s="74">
        <f t="shared" si="49"/>
        <v>1.25</v>
      </c>
      <c r="J574" s="74">
        <f t="shared" si="48"/>
        <v>1.25</v>
      </c>
    </row>
    <row r="575" spans="2:10" x14ac:dyDescent="0.25">
      <c r="B575" s="74" t="s">
        <v>1159</v>
      </c>
      <c r="C575" s="74">
        <v>1</v>
      </c>
      <c r="D575" s="74">
        <v>1.1000000000000001</v>
      </c>
      <c r="E575" s="74">
        <v>0.9</v>
      </c>
      <c r="F575" s="74">
        <v>1.1000000000000001</v>
      </c>
      <c r="G575" s="74">
        <v>0.9</v>
      </c>
      <c r="H575" s="74">
        <v>0.2</v>
      </c>
      <c r="I575" s="74">
        <f t="shared" si="49"/>
        <v>0.8</v>
      </c>
      <c r="J575" s="74">
        <f t="shared" si="48"/>
        <v>0.8</v>
      </c>
    </row>
    <row r="576" spans="2:10" x14ac:dyDescent="0.25">
      <c r="B576" s="74" t="s">
        <v>1160</v>
      </c>
      <c r="C576" s="74">
        <v>2</v>
      </c>
      <c r="D576" s="74">
        <v>1.8</v>
      </c>
      <c r="E576" s="74">
        <v>1.8</v>
      </c>
      <c r="F576" s="74">
        <v>1.8</v>
      </c>
      <c r="G576" s="74">
        <v>1.8</v>
      </c>
      <c r="H576" s="74">
        <v>0.2</v>
      </c>
      <c r="I576" s="74">
        <f t="shared" si="49"/>
        <v>1.44</v>
      </c>
      <c r="J576" s="74">
        <f t="shared" si="48"/>
        <v>2.88</v>
      </c>
    </row>
    <row r="577" spans="1:10" x14ac:dyDescent="0.25">
      <c r="B577" s="74" t="s">
        <v>1161</v>
      </c>
      <c r="C577" s="74">
        <v>1</v>
      </c>
      <c r="D577" s="74">
        <v>1.6</v>
      </c>
      <c r="E577" s="74">
        <v>1.1000000000000001</v>
      </c>
      <c r="F577" s="74">
        <v>1.6</v>
      </c>
      <c r="G577" s="74">
        <v>1.1000000000000001</v>
      </c>
      <c r="H577" s="74">
        <v>0.2</v>
      </c>
      <c r="I577" s="74">
        <f t="shared" si="49"/>
        <v>1.08</v>
      </c>
      <c r="J577" s="74">
        <f t="shared" si="48"/>
        <v>1.08</v>
      </c>
    </row>
    <row r="578" spans="1:10" x14ac:dyDescent="0.25">
      <c r="B578" s="74" t="s">
        <v>1162</v>
      </c>
      <c r="C578" s="74">
        <v>1</v>
      </c>
      <c r="D578" s="74">
        <v>1.2</v>
      </c>
      <c r="E578" s="74">
        <v>1.75</v>
      </c>
      <c r="F578" s="74">
        <v>1.2</v>
      </c>
      <c r="G578" s="74">
        <v>1.75</v>
      </c>
      <c r="H578" s="74">
        <v>0.25</v>
      </c>
      <c r="I578" s="74">
        <f t="shared" si="49"/>
        <v>1.48</v>
      </c>
      <c r="J578" s="74">
        <f t="shared" si="48"/>
        <v>1.48</v>
      </c>
    </row>
    <row r="579" spans="1:10" x14ac:dyDescent="0.25">
      <c r="B579" s="74" t="s">
        <v>1163</v>
      </c>
      <c r="C579" s="74">
        <v>1</v>
      </c>
      <c r="D579" s="74">
        <v>1.6</v>
      </c>
      <c r="E579" s="74">
        <v>1.1499999999999999</v>
      </c>
      <c r="F579" s="74">
        <v>1.6</v>
      </c>
      <c r="G579" s="74">
        <v>1.1499999999999999</v>
      </c>
      <c r="H579" s="74">
        <v>0.4</v>
      </c>
      <c r="I579" s="74">
        <f t="shared" si="49"/>
        <v>2.2000000000000002</v>
      </c>
      <c r="J579" s="74">
        <f t="shared" si="48"/>
        <v>2.2000000000000002</v>
      </c>
    </row>
    <row r="580" spans="1:10" x14ac:dyDescent="0.25">
      <c r="B580" s="74" t="s">
        <v>1164</v>
      </c>
      <c r="C580" s="74">
        <v>1</v>
      </c>
      <c r="D580" s="74">
        <v>1.1000000000000001</v>
      </c>
      <c r="E580" s="74">
        <v>0.85</v>
      </c>
      <c r="F580" s="74">
        <v>1.1000000000000001</v>
      </c>
      <c r="G580" s="74">
        <v>0.85</v>
      </c>
      <c r="H580" s="74">
        <v>0.25</v>
      </c>
      <c r="I580" s="74">
        <f t="shared" si="49"/>
        <v>0.98</v>
      </c>
      <c r="J580" s="74">
        <f t="shared" si="48"/>
        <v>0.98</v>
      </c>
    </row>
    <row r="581" spans="1:10" x14ac:dyDescent="0.25">
      <c r="B581" s="74" t="s">
        <v>1165</v>
      </c>
      <c r="C581" s="74">
        <v>1</v>
      </c>
      <c r="D581" s="74">
        <v>1.7</v>
      </c>
      <c r="E581" s="74">
        <v>1.1499999999999999</v>
      </c>
      <c r="F581" s="74">
        <v>1.7</v>
      </c>
      <c r="G581" s="74">
        <v>1.1499999999999999</v>
      </c>
      <c r="H581" s="74">
        <v>0.2</v>
      </c>
      <c r="I581" s="74">
        <f t="shared" si="49"/>
        <v>1.1399999999999999</v>
      </c>
      <c r="J581" s="74">
        <f t="shared" si="48"/>
        <v>1.1399999999999999</v>
      </c>
    </row>
    <row r="582" spans="1:10" x14ac:dyDescent="0.25">
      <c r="B582" s="74" t="s">
        <v>1166</v>
      </c>
      <c r="C582" s="74">
        <v>1</v>
      </c>
      <c r="D582" s="74">
        <v>0.95</v>
      </c>
      <c r="E582" s="74">
        <v>0.95</v>
      </c>
      <c r="F582" s="74">
        <v>0.95</v>
      </c>
      <c r="G582" s="74">
        <v>0.95</v>
      </c>
      <c r="H582" s="74">
        <v>0.3</v>
      </c>
      <c r="I582" s="74">
        <f t="shared" si="49"/>
        <v>1.1399999999999999</v>
      </c>
      <c r="J582" s="74">
        <f t="shared" si="48"/>
        <v>1.1399999999999999</v>
      </c>
    </row>
    <row r="583" spans="1:10" x14ac:dyDescent="0.25">
      <c r="B583" s="74" t="s">
        <v>1167</v>
      </c>
      <c r="C583" s="74">
        <v>2</v>
      </c>
      <c r="D583" s="74">
        <v>1</v>
      </c>
      <c r="E583" s="74">
        <v>0.85</v>
      </c>
      <c r="F583" s="74">
        <v>1</v>
      </c>
      <c r="G583" s="74">
        <v>0.85</v>
      </c>
      <c r="H583" s="74">
        <v>0.2</v>
      </c>
      <c r="I583" s="74">
        <f t="shared" si="49"/>
        <v>0.74</v>
      </c>
      <c r="J583" s="74">
        <f t="shared" si="48"/>
        <v>1.48</v>
      </c>
    </row>
    <row r="584" spans="1:10" x14ac:dyDescent="0.25">
      <c r="B584" s="74" t="s">
        <v>1168</v>
      </c>
      <c r="C584" s="74">
        <v>1</v>
      </c>
      <c r="D584" s="74">
        <v>1.1000000000000001</v>
      </c>
      <c r="E584" s="74">
        <v>1</v>
      </c>
      <c r="F584" s="74">
        <v>1.1000000000000001</v>
      </c>
      <c r="G584" s="74">
        <v>1</v>
      </c>
      <c r="H584" s="74">
        <v>0.2</v>
      </c>
      <c r="I584" s="74">
        <f t="shared" si="49"/>
        <v>0.84</v>
      </c>
      <c r="J584" s="74">
        <f t="shared" si="48"/>
        <v>0.84</v>
      </c>
    </row>
    <row r="585" spans="1:10" x14ac:dyDescent="0.25">
      <c r="B585" s="74" t="s">
        <v>1169</v>
      </c>
      <c r="C585" s="74">
        <v>1</v>
      </c>
      <c r="D585" s="74">
        <v>1.1000000000000001</v>
      </c>
      <c r="E585" s="74">
        <v>0.9</v>
      </c>
      <c r="F585" s="74">
        <v>1.1000000000000001</v>
      </c>
      <c r="G585" s="74">
        <v>0.9</v>
      </c>
      <c r="H585" s="74">
        <v>0.2</v>
      </c>
      <c r="I585" s="74">
        <f t="shared" si="49"/>
        <v>0.8</v>
      </c>
      <c r="J585" s="74">
        <f t="shared" si="48"/>
        <v>0.8</v>
      </c>
    </row>
    <row r="586" spans="1:10" x14ac:dyDescent="0.25">
      <c r="B586" s="74" t="s">
        <v>1170</v>
      </c>
      <c r="C586" s="74">
        <v>1</v>
      </c>
      <c r="D586" s="74">
        <v>1.1000000000000001</v>
      </c>
      <c r="E586" s="74">
        <v>0.9</v>
      </c>
      <c r="F586" s="74">
        <v>1.1000000000000001</v>
      </c>
      <c r="G586" s="74">
        <v>0.9</v>
      </c>
      <c r="H586" s="74">
        <v>0.2</v>
      </c>
      <c r="I586" s="74">
        <f t="shared" si="49"/>
        <v>0.8</v>
      </c>
      <c r="J586" s="74">
        <f t="shared" si="48"/>
        <v>0.8</v>
      </c>
    </row>
    <row r="587" spans="1:10" x14ac:dyDescent="0.25">
      <c r="B587" s="74" t="s">
        <v>1171</v>
      </c>
      <c r="C587" s="74">
        <v>2</v>
      </c>
      <c r="D587" s="74">
        <v>1.1000000000000001</v>
      </c>
      <c r="E587" s="74">
        <v>0.9</v>
      </c>
      <c r="F587" s="74">
        <v>1.1000000000000001</v>
      </c>
      <c r="G587" s="74">
        <v>0.9</v>
      </c>
      <c r="H587" s="74">
        <v>0.2</v>
      </c>
      <c r="I587" s="74">
        <f t="shared" si="49"/>
        <v>0.8</v>
      </c>
      <c r="J587" s="74">
        <f t="shared" si="48"/>
        <v>1.6</v>
      </c>
    </row>
    <row r="588" spans="1:10" x14ac:dyDescent="0.25">
      <c r="B588" s="74"/>
      <c r="C588" s="74"/>
      <c r="D588" s="74"/>
      <c r="E588" s="74"/>
      <c r="F588" s="74"/>
      <c r="G588" s="74"/>
      <c r="H588" s="74"/>
      <c r="I588" s="74"/>
      <c r="J588" s="74"/>
    </row>
    <row r="590" spans="1:10" x14ac:dyDescent="0.25">
      <c r="A590" s="139">
        <v>5</v>
      </c>
      <c r="B590" s="140" t="str">
        <f>'[1]BM_02.'!B53</f>
        <v>SUPERESTRUTURA</v>
      </c>
      <c r="C590" s="141"/>
      <c r="D590" s="141"/>
      <c r="E590" s="141"/>
      <c r="F590" s="141"/>
      <c r="G590" s="141"/>
      <c r="H590" s="141"/>
      <c r="I590" s="142"/>
    </row>
    <row r="591" spans="1:10" x14ac:dyDescent="0.25">
      <c r="B591" s="136"/>
      <c r="C591" s="136"/>
      <c r="D591" s="136"/>
      <c r="E591" s="136"/>
      <c r="F591" s="136"/>
      <c r="G591" s="136"/>
      <c r="H591" s="136"/>
    </row>
    <row r="592" spans="1:10" ht="25.5" customHeight="1" x14ac:dyDescent="0.25">
      <c r="A592" s="86" t="s">
        <v>1205</v>
      </c>
      <c r="B592" s="266" t="str">
        <f>'[1]BM_02.'!B54</f>
        <v>CONCRETO USINADO BOMBEAVEL, CLASSE DE RESISTENCIA C40, COM BRITA 0 E 1, SLUMP = 100 +/- 20 MM, INCLUI SERVICO DE BOMBEAMENTO (NBR 8953)</v>
      </c>
      <c r="C592" s="266"/>
      <c r="D592" s="266"/>
      <c r="E592" s="266"/>
      <c r="F592" s="266"/>
      <c r="G592" s="266"/>
      <c r="H592" s="87">
        <f>SUM(H594:H656)</f>
        <v>5.4799999999999995</v>
      </c>
      <c r="I592" s="134" t="s">
        <v>1053</v>
      </c>
    </row>
    <row r="593" spans="2:8" x14ac:dyDescent="0.25">
      <c r="B593" s="135" t="s">
        <v>1182</v>
      </c>
      <c r="C593" s="74"/>
      <c r="D593" s="74"/>
      <c r="E593" s="74"/>
      <c r="F593" s="74"/>
      <c r="G593" s="136"/>
      <c r="H593" s="138"/>
    </row>
    <row r="594" spans="2:8" x14ac:dyDescent="0.25">
      <c r="B594" s="74" t="s">
        <v>1185</v>
      </c>
      <c r="C594" s="74">
        <v>1</v>
      </c>
      <c r="D594" s="74">
        <v>0.3</v>
      </c>
      <c r="E594" s="74">
        <v>0.15</v>
      </c>
      <c r="F594" s="74">
        <v>1.2</v>
      </c>
      <c r="G594" s="136">
        <f>ROUND(D594*E594*F594,2)</f>
        <v>0.05</v>
      </c>
      <c r="H594" s="138">
        <f t="shared" ref="H594:H616" si="50">G594*C594</f>
        <v>0.05</v>
      </c>
    </row>
    <row r="595" spans="2:8" x14ac:dyDescent="0.25">
      <c r="B595" s="74" t="s">
        <v>1186</v>
      </c>
      <c r="C595" s="74">
        <v>1</v>
      </c>
      <c r="D595" s="74">
        <v>0.25</v>
      </c>
      <c r="E595" s="74">
        <v>0.6</v>
      </c>
      <c r="F595" s="74"/>
      <c r="G595" s="136">
        <f t="shared" ref="G595:G616" si="51">ROUND(D595*E595*F595,2)</f>
        <v>0</v>
      </c>
      <c r="H595" s="138">
        <f t="shared" si="50"/>
        <v>0</v>
      </c>
    </row>
    <row r="596" spans="2:8" x14ac:dyDescent="0.25">
      <c r="B596" s="74" t="s">
        <v>1146</v>
      </c>
      <c r="C596" s="74">
        <v>1</v>
      </c>
      <c r="D596" s="74">
        <v>0.3</v>
      </c>
      <c r="E596" s="74">
        <v>0.15</v>
      </c>
      <c r="F596" s="74">
        <v>0.6</v>
      </c>
      <c r="G596" s="136">
        <f t="shared" si="51"/>
        <v>0.03</v>
      </c>
      <c r="H596" s="138">
        <f t="shared" si="50"/>
        <v>0.03</v>
      </c>
    </row>
    <row r="597" spans="2:8" x14ac:dyDescent="0.25">
      <c r="B597" s="74" t="s">
        <v>1187</v>
      </c>
      <c r="C597" s="74">
        <v>1</v>
      </c>
      <c r="D597" s="74">
        <v>0.25</v>
      </c>
      <c r="E597" s="74">
        <v>0.6</v>
      </c>
      <c r="F597" s="74"/>
      <c r="G597" s="136">
        <f t="shared" si="51"/>
        <v>0</v>
      </c>
      <c r="H597" s="138">
        <f t="shared" si="50"/>
        <v>0</v>
      </c>
    </row>
    <row r="598" spans="2:8" x14ac:dyDescent="0.25">
      <c r="B598" s="74" t="s">
        <v>1125</v>
      </c>
      <c r="C598" s="74">
        <v>1</v>
      </c>
      <c r="D598" s="74">
        <v>0.3</v>
      </c>
      <c r="E598" s="74">
        <v>0.15</v>
      </c>
      <c r="F598" s="74">
        <v>1.1000000000000001</v>
      </c>
      <c r="G598" s="136">
        <f t="shared" si="51"/>
        <v>0.05</v>
      </c>
      <c r="H598" s="138">
        <f t="shared" si="50"/>
        <v>0.05</v>
      </c>
    </row>
    <row r="599" spans="2:8" x14ac:dyDescent="0.25">
      <c r="B599" s="74" t="s">
        <v>1126</v>
      </c>
      <c r="C599" s="74">
        <v>1</v>
      </c>
      <c r="D599" s="74">
        <v>0.3</v>
      </c>
      <c r="E599" s="74">
        <v>0.15</v>
      </c>
      <c r="F599" s="74">
        <v>1.4</v>
      </c>
      <c r="G599" s="136">
        <f t="shared" si="51"/>
        <v>0.06</v>
      </c>
      <c r="H599" s="138">
        <f t="shared" si="50"/>
        <v>0.06</v>
      </c>
    </row>
    <row r="600" spans="2:8" x14ac:dyDescent="0.25">
      <c r="B600" s="74" t="s">
        <v>1127</v>
      </c>
      <c r="C600" s="74">
        <v>1</v>
      </c>
      <c r="D600" s="74">
        <v>0.3</v>
      </c>
      <c r="E600" s="74">
        <v>0.15</v>
      </c>
      <c r="F600" s="74">
        <v>0.5</v>
      </c>
      <c r="G600" s="136">
        <f t="shared" si="51"/>
        <v>0.02</v>
      </c>
      <c r="H600" s="138">
        <f t="shared" si="50"/>
        <v>0.02</v>
      </c>
    </row>
    <row r="601" spans="2:8" x14ac:dyDescent="0.25">
      <c r="B601" s="74" t="s">
        <v>1128</v>
      </c>
      <c r="C601" s="74">
        <v>1</v>
      </c>
      <c r="D601" s="74">
        <v>0.3</v>
      </c>
      <c r="E601" s="74">
        <v>0.15</v>
      </c>
      <c r="F601" s="74">
        <v>1.05</v>
      </c>
      <c r="G601" s="136">
        <f t="shared" si="51"/>
        <v>0.05</v>
      </c>
      <c r="H601" s="138">
        <f t="shared" si="50"/>
        <v>0.05</v>
      </c>
    </row>
    <row r="602" spans="2:8" x14ac:dyDescent="0.25">
      <c r="B602" s="74" t="s">
        <v>1129</v>
      </c>
      <c r="C602" s="74">
        <v>1</v>
      </c>
      <c r="D602" s="74">
        <v>0.3</v>
      </c>
      <c r="E602" s="74">
        <v>0.15</v>
      </c>
      <c r="F602" s="74">
        <v>0.35</v>
      </c>
      <c r="G602" s="136">
        <f t="shared" si="51"/>
        <v>0.02</v>
      </c>
      <c r="H602" s="138">
        <f t="shared" si="50"/>
        <v>0.02</v>
      </c>
    </row>
    <row r="603" spans="2:8" x14ac:dyDescent="0.25">
      <c r="B603" s="74" t="s">
        <v>1130</v>
      </c>
      <c r="C603" s="74">
        <v>1</v>
      </c>
      <c r="D603" s="74">
        <v>0.3</v>
      </c>
      <c r="E603" s="74">
        <v>0.15</v>
      </c>
      <c r="F603" s="74">
        <v>1</v>
      </c>
      <c r="G603" s="136">
        <f t="shared" si="51"/>
        <v>0.05</v>
      </c>
      <c r="H603" s="138">
        <f t="shared" si="50"/>
        <v>0.05</v>
      </c>
    </row>
    <row r="604" spans="2:8" x14ac:dyDescent="0.25">
      <c r="B604" s="74" t="s">
        <v>1131</v>
      </c>
      <c r="C604" s="74">
        <v>1</v>
      </c>
      <c r="D604" s="74">
        <v>0.3</v>
      </c>
      <c r="E604" s="74">
        <v>0.15</v>
      </c>
      <c r="F604" s="74">
        <v>1.1000000000000001</v>
      </c>
      <c r="G604" s="136">
        <f t="shared" si="51"/>
        <v>0.05</v>
      </c>
      <c r="H604" s="138">
        <f t="shared" si="50"/>
        <v>0.05</v>
      </c>
    </row>
    <row r="605" spans="2:8" x14ac:dyDescent="0.25">
      <c r="B605" s="74" t="s">
        <v>1132</v>
      </c>
      <c r="C605" s="74">
        <v>1</v>
      </c>
      <c r="D605" s="74">
        <v>0.3</v>
      </c>
      <c r="E605" s="74">
        <v>0.15</v>
      </c>
      <c r="F605" s="74">
        <v>1.1499999999999999</v>
      </c>
      <c r="G605" s="136">
        <f t="shared" si="51"/>
        <v>0.05</v>
      </c>
      <c r="H605" s="138">
        <f t="shared" si="50"/>
        <v>0.05</v>
      </c>
    </row>
    <row r="606" spans="2:8" x14ac:dyDescent="0.25">
      <c r="B606" s="74" t="s">
        <v>1133</v>
      </c>
      <c r="C606" s="74">
        <v>1</v>
      </c>
      <c r="D606" s="74">
        <v>0.3</v>
      </c>
      <c r="E606" s="74">
        <v>0.15</v>
      </c>
      <c r="F606" s="74">
        <v>1</v>
      </c>
      <c r="G606" s="136">
        <f t="shared" si="51"/>
        <v>0.05</v>
      </c>
      <c r="H606" s="138">
        <f t="shared" si="50"/>
        <v>0.05</v>
      </c>
    </row>
    <row r="607" spans="2:8" x14ac:dyDescent="0.25">
      <c r="B607" s="74" t="s">
        <v>1134</v>
      </c>
      <c r="C607" s="74">
        <v>1</v>
      </c>
      <c r="D607" s="74">
        <v>0.3</v>
      </c>
      <c r="E607" s="74">
        <v>0.15</v>
      </c>
      <c r="F607" s="74">
        <v>1.5</v>
      </c>
      <c r="G607" s="136">
        <f t="shared" si="51"/>
        <v>7.0000000000000007E-2</v>
      </c>
      <c r="H607" s="138">
        <f t="shared" si="50"/>
        <v>7.0000000000000007E-2</v>
      </c>
    </row>
    <row r="608" spans="2:8" x14ac:dyDescent="0.25">
      <c r="B608" s="74" t="s">
        <v>1135</v>
      </c>
      <c r="C608" s="74">
        <v>1</v>
      </c>
      <c r="D608" s="74">
        <v>0.3</v>
      </c>
      <c r="E608" s="74">
        <v>0.15</v>
      </c>
      <c r="F608" s="74">
        <v>0.4</v>
      </c>
      <c r="G608" s="136">
        <f t="shared" si="51"/>
        <v>0.02</v>
      </c>
      <c r="H608" s="138">
        <f t="shared" si="50"/>
        <v>0.02</v>
      </c>
    </row>
    <row r="609" spans="2:8" x14ac:dyDescent="0.25">
      <c r="B609" s="74" t="s">
        <v>1136</v>
      </c>
      <c r="C609" s="74">
        <v>3</v>
      </c>
      <c r="D609" s="74">
        <v>0.25</v>
      </c>
      <c r="E609" s="74">
        <v>0.6</v>
      </c>
      <c r="F609" s="74"/>
      <c r="G609" s="136">
        <f t="shared" si="51"/>
        <v>0</v>
      </c>
      <c r="H609" s="138">
        <f t="shared" si="50"/>
        <v>0</v>
      </c>
    </row>
    <row r="610" spans="2:8" x14ac:dyDescent="0.25">
      <c r="B610" s="74" t="s">
        <v>1137</v>
      </c>
      <c r="C610" s="74">
        <v>4</v>
      </c>
      <c r="D610" s="74">
        <v>0.25</v>
      </c>
      <c r="E610" s="74">
        <v>0.6</v>
      </c>
      <c r="F610" s="74"/>
      <c r="G610" s="136">
        <f t="shared" si="51"/>
        <v>0</v>
      </c>
      <c r="H610" s="138">
        <f t="shared" si="50"/>
        <v>0</v>
      </c>
    </row>
    <row r="611" spans="2:8" x14ac:dyDescent="0.25">
      <c r="B611" s="74" t="s">
        <v>1138</v>
      </c>
      <c r="C611" s="74">
        <v>1</v>
      </c>
      <c r="D611" s="74">
        <v>0.3</v>
      </c>
      <c r="E611" s="74">
        <v>0.15</v>
      </c>
      <c r="F611" s="74">
        <v>0.65</v>
      </c>
      <c r="G611" s="136">
        <f t="shared" si="51"/>
        <v>0.03</v>
      </c>
      <c r="H611" s="138">
        <f t="shared" si="50"/>
        <v>0.03</v>
      </c>
    </row>
    <row r="612" spans="2:8" x14ac:dyDescent="0.25">
      <c r="B612" s="74" t="s">
        <v>1139</v>
      </c>
      <c r="C612" s="74">
        <v>1</v>
      </c>
      <c r="D612" s="74">
        <v>0.3</v>
      </c>
      <c r="E612" s="74">
        <v>0.15</v>
      </c>
      <c r="F612" s="74">
        <v>1.3</v>
      </c>
      <c r="G612" s="136">
        <f t="shared" si="51"/>
        <v>0.06</v>
      </c>
      <c r="H612" s="138">
        <f t="shared" si="50"/>
        <v>0.06</v>
      </c>
    </row>
    <row r="613" spans="2:8" x14ac:dyDescent="0.25">
      <c r="B613" s="74" t="s">
        <v>1140</v>
      </c>
      <c r="C613" s="74">
        <v>1</v>
      </c>
      <c r="D613" s="74">
        <v>0.3</v>
      </c>
      <c r="E613" s="74">
        <v>0.15</v>
      </c>
      <c r="F613" s="74">
        <v>1.6</v>
      </c>
      <c r="G613" s="136">
        <f t="shared" si="51"/>
        <v>7.0000000000000007E-2</v>
      </c>
      <c r="H613" s="138">
        <f t="shared" si="50"/>
        <v>7.0000000000000007E-2</v>
      </c>
    </row>
    <row r="614" spans="2:8" x14ac:dyDescent="0.25">
      <c r="B614" s="74" t="s">
        <v>1141</v>
      </c>
      <c r="C614" s="74">
        <v>1</v>
      </c>
      <c r="D614" s="74">
        <v>0.3</v>
      </c>
      <c r="E614" s="74">
        <v>0.15</v>
      </c>
      <c r="F614" s="74">
        <v>1.2</v>
      </c>
      <c r="G614" s="136">
        <f t="shared" si="51"/>
        <v>0.05</v>
      </c>
      <c r="H614" s="138">
        <f t="shared" si="50"/>
        <v>0.05</v>
      </c>
    </row>
    <row r="615" spans="2:8" x14ac:dyDescent="0.25">
      <c r="B615" s="74" t="s">
        <v>1142</v>
      </c>
      <c r="C615" s="74">
        <v>1</v>
      </c>
      <c r="D615" s="74">
        <v>0.3</v>
      </c>
      <c r="E615" s="74">
        <v>0.15</v>
      </c>
      <c r="F615" s="74">
        <v>0.9</v>
      </c>
      <c r="G615" s="136">
        <f t="shared" si="51"/>
        <v>0.04</v>
      </c>
      <c r="H615" s="138">
        <f t="shared" si="50"/>
        <v>0.04</v>
      </c>
    </row>
    <row r="616" spans="2:8" x14ac:dyDescent="0.25">
      <c r="B616" s="74" t="s">
        <v>1143</v>
      </c>
      <c r="C616" s="74">
        <v>1</v>
      </c>
      <c r="D616" s="74">
        <v>0.3</v>
      </c>
      <c r="E616" s="74">
        <v>0.15</v>
      </c>
      <c r="F616" s="74">
        <v>0.95</v>
      </c>
      <c r="G616" s="136">
        <f t="shared" si="51"/>
        <v>0.04</v>
      </c>
      <c r="H616" s="138">
        <f t="shared" si="50"/>
        <v>0.04</v>
      </c>
    </row>
    <row r="617" spans="2:8" x14ac:dyDescent="0.25">
      <c r="B617" s="135" t="s">
        <v>1188</v>
      </c>
      <c r="C617" s="74"/>
      <c r="D617" s="74"/>
      <c r="E617" s="74"/>
      <c r="F617" s="74"/>
      <c r="G617" s="136"/>
      <c r="H617" s="138"/>
    </row>
    <row r="618" spans="2:8" x14ac:dyDescent="0.25">
      <c r="B618" s="74" t="s">
        <v>1138</v>
      </c>
      <c r="C618" s="74">
        <v>1</v>
      </c>
      <c r="D618" s="74">
        <v>0.15</v>
      </c>
      <c r="E618" s="74">
        <v>0.4</v>
      </c>
      <c r="F618" s="74">
        <v>1.5</v>
      </c>
      <c r="G618" s="136">
        <f t="shared" ref="G618:G656" si="52">ROUND(D618*E618*F618,2)</f>
        <v>0.09</v>
      </c>
      <c r="H618" s="138">
        <f t="shared" ref="H618:H656" si="53">G618*C618</f>
        <v>0.09</v>
      </c>
    </row>
    <row r="619" spans="2:8" x14ac:dyDescent="0.25">
      <c r="B619" s="74" t="s">
        <v>1125</v>
      </c>
      <c r="C619" s="74">
        <v>1</v>
      </c>
      <c r="D619" s="74">
        <v>0.25</v>
      </c>
      <c r="E619" s="74">
        <v>0.4</v>
      </c>
      <c r="F619" s="74">
        <v>1.1000000000000001</v>
      </c>
      <c r="G619" s="136">
        <f t="shared" si="52"/>
        <v>0.11</v>
      </c>
      <c r="H619" s="138">
        <f t="shared" si="53"/>
        <v>0.11</v>
      </c>
    </row>
    <row r="620" spans="2:8" x14ac:dyDescent="0.25">
      <c r="B620" s="74" t="s">
        <v>1126</v>
      </c>
      <c r="C620" s="74">
        <v>1</v>
      </c>
      <c r="D620" s="74">
        <v>0.25</v>
      </c>
      <c r="E620" s="74">
        <v>0.4</v>
      </c>
      <c r="F620" s="74">
        <v>1.6</v>
      </c>
      <c r="G620" s="136">
        <f t="shared" si="52"/>
        <v>0.16</v>
      </c>
      <c r="H620" s="138">
        <f t="shared" si="53"/>
        <v>0.16</v>
      </c>
    </row>
    <row r="621" spans="2:8" x14ac:dyDescent="0.25">
      <c r="B621" s="74" t="s">
        <v>1127</v>
      </c>
      <c r="C621" s="74">
        <v>1</v>
      </c>
      <c r="D621" s="74">
        <v>0.25</v>
      </c>
      <c r="E621" s="74">
        <v>0.4</v>
      </c>
      <c r="F621" s="74">
        <v>1.1000000000000001</v>
      </c>
      <c r="G621" s="136">
        <f t="shared" si="52"/>
        <v>0.11</v>
      </c>
      <c r="H621" s="138">
        <f t="shared" si="53"/>
        <v>0.11</v>
      </c>
    </row>
    <row r="622" spans="2:8" x14ac:dyDescent="0.25">
      <c r="B622" s="74" t="s">
        <v>1145</v>
      </c>
      <c r="C622" s="74">
        <v>2</v>
      </c>
      <c r="D622" s="74">
        <v>0.25</v>
      </c>
      <c r="E622" s="74">
        <v>0.4</v>
      </c>
      <c r="F622" s="74">
        <v>1.2</v>
      </c>
      <c r="G622" s="136">
        <f t="shared" si="52"/>
        <v>0.12</v>
      </c>
      <c r="H622" s="138">
        <f t="shared" si="53"/>
        <v>0.24</v>
      </c>
    </row>
    <row r="623" spans="2:8" x14ac:dyDescent="0.25">
      <c r="B623" s="74" t="s">
        <v>1131</v>
      </c>
      <c r="C623" s="74">
        <v>1</v>
      </c>
      <c r="D623" s="74">
        <v>0.55000000000000004</v>
      </c>
      <c r="E623" s="74">
        <v>0.2</v>
      </c>
      <c r="F623" s="74">
        <v>1.65</v>
      </c>
      <c r="G623" s="136">
        <f t="shared" si="52"/>
        <v>0.18</v>
      </c>
      <c r="H623" s="138">
        <f t="shared" si="53"/>
        <v>0.18</v>
      </c>
    </row>
    <row r="624" spans="2:8" x14ac:dyDescent="0.25">
      <c r="B624" s="74" t="s">
        <v>1132</v>
      </c>
      <c r="C624" s="74">
        <v>1</v>
      </c>
      <c r="D624" s="74">
        <v>0.4</v>
      </c>
      <c r="E624" s="74">
        <v>0.25</v>
      </c>
      <c r="F624" s="74">
        <v>1</v>
      </c>
      <c r="G624" s="136">
        <f t="shared" si="52"/>
        <v>0.1</v>
      </c>
      <c r="H624" s="138">
        <f t="shared" si="53"/>
        <v>0.1</v>
      </c>
    </row>
    <row r="625" spans="2:8" x14ac:dyDescent="0.25">
      <c r="B625" s="74" t="s">
        <v>1133</v>
      </c>
      <c r="C625" s="74">
        <v>1</v>
      </c>
      <c r="D625" s="74">
        <v>0.25</v>
      </c>
      <c r="E625" s="74">
        <v>0.4</v>
      </c>
      <c r="F625" s="74">
        <v>1.1499999999999999</v>
      </c>
      <c r="G625" s="136">
        <f t="shared" si="52"/>
        <v>0.12</v>
      </c>
      <c r="H625" s="138">
        <f t="shared" si="53"/>
        <v>0.12</v>
      </c>
    </row>
    <row r="626" spans="2:8" x14ac:dyDescent="0.25">
      <c r="B626" s="74" t="s">
        <v>1139</v>
      </c>
      <c r="C626" s="74">
        <v>1</v>
      </c>
      <c r="D626" s="74">
        <v>0.25</v>
      </c>
      <c r="E626" s="74">
        <v>0.4</v>
      </c>
      <c r="F626" s="74">
        <v>1.1000000000000001</v>
      </c>
      <c r="G626" s="136">
        <f t="shared" si="52"/>
        <v>0.11</v>
      </c>
      <c r="H626" s="138">
        <f t="shared" si="53"/>
        <v>0.11</v>
      </c>
    </row>
    <row r="627" spans="2:8" x14ac:dyDescent="0.25">
      <c r="B627" s="74" t="s">
        <v>1140</v>
      </c>
      <c r="C627" s="74">
        <v>1</v>
      </c>
      <c r="D627" s="74">
        <v>0.4</v>
      </c>
      <c r="E627" s="74">
        <v>0.4</v>
      </c>
      <c r="F627" s="74">
        <v>1.37</v>
      </c>
      <c r="G627" s="136">
        <f t="shared" si="52"/>
        <v>0.22</v>
      </c>
      <c r="H627" s="138">
        <f t="shared" si="53"/>
        <v>0.22</v>
      </c>
    </row>
    <row r="628" spans="2:8" x14ac:dyDescent="0.25">
      <c r="B628" s="74" t="s">
        <v>1146</v>
      </c>
      <c r="C628" s="74">
        <v>1</v>
      </c>
      <c r="D628" s="74">
        <v>0.4</v>
      </c>
      <c r="E628" s="74">
        <v>0.4</v>
      </c>
      <c r="F628" s="74">
        <v>1.25</v>
      </c>
      <c r="G628" s="136">
        <f t="shared" si="52"/>
        <v>0.2</v>
      </c>
      <c r="H628" s="138">
        <f t="shared" si="53"/>
        <v>0.2</v>
      </c>
    </row>
    <row r="629" spans="2:8" x14ac:dyDescent="0.25">
      <c r="B629" s="74" t="s">
        <v>1141</v>
      </c>
      <c r="C629" s="74">
        <v>1</v>
      </c>
      <c r="D629" s="74">
        <v>0.25</v>
      </c>
      <c r="E629" s="74">
        <v>0.4</v>
      </c>
      <c r="F629" s="74">
        <v>0.95</v>
      </c>
      <c r="G629" s="136">
        <f t="shared" si="52"/>
        <v>0.1</v>
      </c>
      <c r="H629" s="138">
        <f t="shared" si="53"/>
        <v>0.1</v>
      </c>
    </row>
    <row r="630" spans="2:8" x14ac:dyDescent="0.25">
      <c r="B630" s="74" t="s">
        <v>1142</v>
      </c>
      <c r="C630" s="74">
        <v>1</v>
      </c>
      <c r="D630" s="74">
        <v>0.25</v>
      </c>
      <c r="E630" s="74">
        <v>0.4</v>
      </c>
      <c r="F630" s="74">
        <v>1</v>
      </c>
      <c r="G630" s="136">
        <f t="shared" si="52"/>
        <v>0.1</v>
      </c>
      <c r="H630" s="138">
        <f t="shared" si="53"/>
        <v>0.1</v>
      </c>
    </row>
    <row r="631" spans="2:8" x14ac:dyDescent="0.25">
      <c r="B631" s="74" t="s">
        <v>1147</v>
      </c>
      <c r="C631" s="74">
        <v>1</v>
      </c>
      <c r="D631" s="74">
        <v>0.25</v>
      </c>
      <c r="E631" s="74">
        <v>0.4</v>
      </c>
      <c r="F631" s="74">
        <v>1.4</v>
      </c>
      <c r="G631" s="136">
        <f t="shared" si="52"/>
        <v>0.14000000000000001</v>
      </c>
      <c r="H631" s="138">
        <f t="shared" si="53"/>
        <v>0.14000000000000001</v>
      </c>
    </row>
    <row r="632" spans="2:8" x14ac:dyDescent="0.25">
      <c r="B632" s="74" t="s">
        <v>1148</v>
      </c>
      <c r="C632" s="74">
        <v>1</v>
      </c>
      <c r="D632" s="74">
        <v>0.4</v>
      </c>
      <c r="E632" s="74">
        <v>0.2</v>
      </c>
      <c r="F632" s="74">
        <v>1.4</v>
      </c>
      <c r="G632" s="136">
        <f t="shared" si="52"/>
        <v>0.11</v>
      </c>
      <c r="H632" s="138">
        <f t="shared" si="53"/>
        <v>0.11</v>
      </c>
    </row>
    <row r="633" spans="2:8" x14ac:dyDescent="0.25">
      <c r="B633" s="74" t="s">
        <v>1143</v>
      </c>
      <c r="C633" s="74">
        <v>1</v>
      </c>
      <c r="D633" s="74">
        <v>0.25</v>
      </c>
      <c r="E633" s="74">
        <v>0.4</v>
      </c>
      <c r="F633" s="74">
        <v>1.05</v>
      </c>
      <c r="G633" s="136">
        <f t="shared" si="52"/>
        <v>0.11</v>
      </c>
      <c r="H633" s="138">
        <f t="shared" si="53"/>
        <v>0.11</v>
      </c>
    </row>
    <row r="634" spans="2:8" x14ac:dyDescent="0.25">
      <c r="B634" s="74" t="s">
        <v>1149</v>
      </c>
      <c r="C634" s="74">
        <v>1</v>
      </c>
      <c r="D634" s="74">
        <v>0.25</v>
      </c>
      <c r="E634" s="74">
        <v>0.4</v>
      </c>
      <c r="F634" s="74">
        <v>1</v>
      </c>
      <c r="G634" s="136">
        <f t="shared" si="52"/>
        <v>0.1</v>
      </c>
      <c r="H634" s="138">
        <f t="shared" si="53"/>
        <v>0.1</v>
      </c>
    </row>
    <row r="635" spans="2:8" x14ac:dyDescent="0.25">
      <c r="B635" s="74" t="s">
        <v>1150</v>
      </c>
      <c r="C635" s="74">
        <v>1</v>
      </c>
      <c r="D635" s="74">
        <v>0.25</v>
      </c>
      <c r="E635" s="74">
        <v>0.4</v>
      </c>
      <c r="F635" s="74">
        <v>1.05</v>
      </c>
      <c r="G635" s="136">
        <f t="shared" si="52"/>
        <v>0.11</v>
      </c>
      <c r="H635" s="138">
        <f t="shared" si="53"/>
        <v>0.11</v>
      </c>
    </row>
    <row r="636" spans="2:8" x14ac:dyDescent="0.25">
      <c r="B636" s="74" t="s">
        <v>1151</v>
      </c>
      <c r="C636" s="74">
        <v>1</v>
      </c>
      <c r="D636" s="74">
        <v>0.4</v>
      </c>
      <c r="E636" s="74">
        <v>0.3</v>
      </c>
      <c r="F636" s="74">
        <v>0.9</v>
      </c>
      <c r="G636" s="136">
        <f t="shared" si="52"/>
        <v>0.11</v>
      </c>
      <c r="H636" s="138">
        <f t="shared" si="53"/>
        <v>0.11</v>
      </c>
    </row>
    <row r="637" spans="2:8" x14ac:dyDescent="0.25">
      <c r="B637" s="74" t="s">
        <v>1152</v>
      </c>
      <c r="C637" s="74">
        <v>1</v>
      </c>
      <c r="D637" s="74">
        <v>0.3</v>
      </c>
      <c r="E637" s="74">
        <v>0.4</v>
      </c>
      <c r="F637" s="74">
        <v>0.9</v>
      </c>
      <c r="G637" s="136">
        <f t="shared" si="52"/>
        <v>0.11</v>
      </c>
      <c r="H637" s="138">
        <f t="shared" si="53"/>
        <v>0.11</v>
      </c>
    </row>
    <row r="638" spans="2:8" x14ac:dyDescent="0.25">
      <c r="B638" s="74" t="s">
        <v>1153</v>
      </c>
      <c r="C638" s="74">
        <v>1</v>
      </c>
      <c r="D638" s="74">
        <v>0.4</v>
      </c>
      <c r="E638" s="74">
        <v>0.3</v>
      </c>
      <c r="F638" s="74">
        <v>1.1000000000000001</v>
      </c>
      <c r="G638" s="136">
        <f t="shared" si="52"/>
        <v>0.13</v>
      </c>
      <c r="H638" s="138">
        <f t="shared" si="53"/>
        <v>0.13</v>
      </c>
    </row>
    <row r="639" spans="2:8" x14ac:dyDescent="0.25">
      <c r="B639" s="74" t="s">
        <v>1154</v>
      </c>
      <c r="C639" s="74">
        <v>1</v>
      </c>
      <c r="D639" s="74">
        <v>0.4</v>
      </c>
      <c r="E639" s="74">
        <v>0.3</v>
      </c>
      <c r="F639" s="74">
        <v>0.9</v>
      </c>
      <c r="G639" s="136">
        <f t="shared" si="52"/>
        <v>0.11</v>
      </c>
      <c r="H639" s="138">
        <f t="shared" si="53"/>
        <v>0.11</v>
      </c>
    </row>
    <row r="640" spans="2:8" x14ac:dyDescent="0.25">
      <c r="B640" s="74" t="s">
        <v>1155</v>
      </c>
      <c r="C640" s="74">
        <v>1</v>
      </c>
      <c r="D640" s="74">
        <v>0.4</v>
      </c>
      <c r="E640" s="74">
        <v>0.3</v>
      </c>
      <c r="F640" s="74">
        <v>0.8</v>
      </c>
      <c r="G640" s="136">
        <f t="shared" si="52"/>
        <v>0.1</v>
      </c>
      <c r="H640" s="138">
        <f t="shared" si="53"/>
        <v>0.1</v>
      </c>
    </row>
    <row r="641" spans="2:8" x14ac:dyDescent="0.25">
      <c r="B641" s="74" t="s">
        <v>1156</v>
      </c>
      <c r="C641" s="74">
        <v>1</v>
      </c>
      <c r="D641" s="74">
        <v>0.2</v>
      </c>
      <c r="E641" s="74">
        <v>0.4</v>
      </c>
      <c r="F641" s="74">
        <v>0.95</v>
      </c>
      <c r="G641" s="136">
        <f t="shared" si="52"/>
        <v>0.08</v>
      </c>
      <c r="H641" s="138">
        <f t="shared" si="53"/>
        <v>0.08</v>
      </c>
    </row>
    <row r="642" spans="2:8" x14ac:dyDescent="0.25">
      <c r="B642" s="74" t="s">
        <v>1157</v>
      </c>
      <c r="C642" s="74">
        <v>1</v>
      </c>
      <c r="D642" s="74">
        <v>0.25</v>
      </c>
      <c r="E642" s="74">
        <v>0.4</v>
      </c>
      <c r="F642" s="74">
        <v>0.6</v>
      </c>
      <c r="G642" s="136">
        <f t="shared" si="52"/>
        <v>0.06</v>
      </c>
      <c r="H642" s="138">
        <f t="shared" si="53"/>
        <v>0.06</v>
      </c>
    </row>
    <row r="643" spans="2:8" x14ac:dyDescent="0.25">
      <c r="B643" s="74" t="s">
        <v>1158</v>
      </c>
      <c r="C643" s="74">
        <v>1</v>
      </c>
      <c r="D643" s="74">
        <v>0.4</v>
      </c>
      <c r="E643" s="74">
        <v>0.2</v>
      </c>
      <c r="F643" s="74">
        <v>0.9</v>
      </c>
      <c r="G643" s="136">
        <f t="shared" si="52"/>
        <v>7.0000000000000007E-2</v>
      </c>
      <c r="H643" s="138">
        <f t="shared" si="53"/>
        <v>7.0000000000000007E-2</v>
      </c>
    </row>
    <row r="644" spans="2:8" x14ac:dyDescent="0.25">
      <c r="B644" s="74" t="s">
        <v>1159</v>
      </c>
      <c r="C644" s="74">
        <v>1</v>
      </c>
      <c r="D644" s="74">
        <v>0.4</v>
      </c>
      <c r="E644" s="74">
        <v>0.2</v>
      </c>
      <c r="F644" s="74">
        <v>1.1000000000000001</v>
      </c>
      <c r="G644" s="136">
        <f t="shared" si="52"/>
        <v>0.09</v>
      </c>
      <c r="H644" s="138">
        <f t="shared" si="53"/>
        <v>0.09</v>
      </c>
    </row>
    <row r="645" spans="2:8" x14ac:dyDescent="0.25">
      <c r="B645" s="74" t="s">
        <v>1189</v>
      </c>
      <c r="C645" s="74">
        <v>1</v>
      </c>
      <c r="D645" s="74">
        <v>0.4</v>
      </c>
      <c r="E645" s="74">
        <v>0.2</v>
      </c>
      <c r="F645" s="74">
        <v>1.1499999999999999</v>
      </c>
      <c r="G645" s="136">
        <f t="shared" si="52"/>
        <v>0.09</v>
      </c>
      <c r="H645" s="138">
        <f t="shared" si="53"/>
        <v>0.09</v>
      </c>
    </row>
    <row r="646" spans="2:8" x14ac:dyDescent="0.25">
      <c r="B646" s="74" t="s">
        <v>1190</v>
      </c>
      <c r="C646" s="74">
        <v>1</v>
      </c>
      <c r="D646" s="74">
        <v>0.25</v>
      </c>
      <c r="E646" s="74">
        <v>0.4</v>
      </c>
      <c r="F646" s="74">
        <v>1.1499999999999999</v>
      </c>
      <c r="G646" s="136">
        <f t="shared" si="52"/>
        <v>0.12</v>
      </c>
      <c r="H646" s="138">
        <f t="shared" si="53"/>
        <v>0.12</v>
      </c>
    </row>
    <row r="647" spans="2:8" x14ac:dyDescent="0.25">
      <c r="B647" s="74" t="s">
        <v>1161</v>
      </c>
      <c r="C647" s="74">
        <v>1</v>
      </c>
      <c r="D647" s="74">
        <v>0.4</v>
      </c>
      <c r="E647" s="74">
        <v>0.2</v>
      </c>
      <c r="F647" s="74">
        <v>1.3</v>
      </c>
      <c r="G647" s="136">
        <f t="shared" si="52"/>
        <v>0.1</v>
      </c>
      <c r="H647" s="138">
        <f t="shared" si="53"/>
        <v>0.1</v>
      </c>
    </row>
    <row r="648" spans="2:8" x14ac:dyDescent="0.25">
      <c r="B648" s="74" t="s">
        <v>1162</v>
      </c>
      <c r="C648" s="74">
        <v>1</v>
      </c>
      <c r="D648" s="74">
        <v>0.4</v>
      </c>
      <c r="E648" s="74">
        <v>0.25</v>
      </c>
      <c r="F648" s="74">
        <v>0.9</v>
      </c>
      <c r="G648" s="136">
        <f t="shared" si="52"/>
        <v>0.09</v>
      </c>
      <c r="H648" s="138">
        <f t="shared" si="53"/>
        <v>0.09</v>
      </c>
    </row>
    <row r="649" spans="2:8" x14ac:dyDescent="0.25">
      <c r="B649" s="74" t="s">
        <v>1163</v>
      </c>
      <c r="C649" s="74">
        <v>1</v>
      </c>
      <c r="D649" s="74">
        <v>0.4</v>
      </c>
      <c r="E649" s="74">
        <v>0.25</v>
      </c>
      <c r="F649" s="74">
        <v>1.1499999999999999</v>
      </c>
      <c r="G649" s="136">
        <f t="shared" si="52"/>
        <v>0.12</v>
      </c>
      <c r="H649" s="138">
        <f t="shared" si="53"/>
        <v>0.12</v>
      </c>
    </row>
    <row r="650" spans="2:8" x14ac:dyDescent="0.25">
      <c r="B650" s="74" t="s">
        <v>1164</v>
      </c>
      <c r="C650" s="74">
        <v>1</v>
      </c>
      <c r="D650" s="74">
        <v>0.4</v>
      </c>
      <c r="E650" s="74">
        <v>0.15</v>
      </c>
      <c r="F650" s="74">
        <v>1.1000000000000001</v>
      </c>
      <c r="G650" s="136">
        <f t="shared" si="52"/>
        <v>7.0000000000000007E-2</v>
      </c>
      <c r="H650" s="138">
        <f t="shared" si="53"/>
        <v>7.0000000000000007E-2</v>
      </c>
    </row>
    <row r="651" spans="2:8" x14ac:dyDescent="0.25">
      <c r="B651" s="74" t="s">
        <v>1165</v>
      </c>
      <c r="C651" s="74">
        <v>1</v>
      </c>
      <c r="D651" s="74">
        <v>0.4</v>
      </c>
      <c r="E651" s="74">
        <v>0.25</v>
      </c>
      <c r="F651" s="74">
        <v>0.85</v>
      </c>
      <c r="G651" s="136">
        <f t="shared" si="52"/>
        <v>0.09</v>
      </c>
      <c r="H651" s="138">
        <f t="shared" si="53"/>
        <v>0.09</v>
      </c>
    </row>
    <row r="652" spans="2:8" x14ac:dyDescent="0.25">
      <c r="B652" s="74" t="s">
        <v>1167</v>
      </c>
      <c r="C652" s="74">
        <v>2</v>
      </c>
      <c r="D652" s="74">
        <v>0.3</v>
      </c>
      <c r="E652" s="74">
        <v>0.15</v>
      </c>
      <c r="F652" s="74">
        <v>1.1000000000000001</v>
      </c>
      <c r="G652" s="136">
        <f t="shared" si="52"/>
        <v>0.05</v>
      </c>
      <c r="H652" s="138">
        <f t="shared" si="53"/>
        <v>0.1</v>
      </c>
    </row>
    <row r="653" spans="2:8" x14ac:dyDescent="0.25">
      <c r="B653" s="74" t="s">
        <v>1168</v>
      </c>
      <c r="C653" s="74">
        <v>1</v>
      </c>
      <c r="D653" s="74">
        <v>0.4</v>
      </c>
      <c r="E653" s="74">
        <v>0.3</v>
      </c>
      <c r="F653" s="74">
        <v>1.65</v>
      </c>
      <c r="G653" s="136">
        <f t="shared" si="52"/>
        <v>0.2</v>
      </c>
      <c r="H653" s="138">
        <f t="shared" si="53"/>
        <v>0.2</v>
      </c>
    </row>
    <row r="654" spans="2:8" x14ac:dyDescent="0.25">
      <c r="B654" s="74" t="s">
        <v>1169</v>
      </c>
      <c r="C654" s="74">
        <v>1</v>
      </c>
      <c r="D654" s="74">
        <v>0.4</v>
      </c>
      <c r="E654" s="74">
        <v>0.2</v>
      </c>
      <c r="F654" s="74">
        <v>1.1000000000000001</v>
      </c>
      <c r="G654" s="136">
        <f t="shared" si="52"/>
        <v>0.09</v>
      </c>
      <c r="H654" s="138">
        <f t="shared" si="53"/>
        <v>0.09</v>
      </c>
    </row>
    <row r="655" spans="2:8" x14ac:dyDescent="0.25">
      <c r="B655" s="74" t="s">
        <v>1206</v>
      </c>
      <c r="C655" s="74">
        <v>1</v>
      </c>
      <c r="D655" s="74">
        <v>0.4</v>
      </c>
      <c r="E655" s="74">
        <v>0.2</v>
      </c>
      <c r="F655" s="74">
        <v>1</v>
      </c>
      <c r="G655" s="136">
        <f t="shared" si="52"/>
        <v>0.08</v>
      </c>
      <c r="H655" s="138">
        <f t="shared" si="53"/>
        <v>0.08</v>
      </c>
    </row>
    <row r="656" spans="2:8" x14ac:dyDescent="0.25">
      <c r="B656" s="74" t="s">
        <v>1171</v>
      </c>
      <c r="C656" s="74">
        <v>2</v>
      </c>
      <c r="D656" s="74">
        <v>0.4</v>
      </c>
      <c r="E656" s="74">
        <v>0.2</v>
      </c>
      <c r="F656" s="74">
        <v>1.2</v>
      </c>
      <c r="G656" s="136">
        <f t="shared" si="52"/>
        <v>0.1</v>
      </c>
      <c r="H656" s="138">
        <f t="shared" si="53"/>
        <v>0.2</v>
      </c>
    </row>
    <row r="657" spans="1:9" x14ac:dyDescent="0.25">
      <c r="B657" s="152"/>
      <c r="C657" s="152"/>
      <c r="D657" s="152"/>
      <c r="E657" s="152"/>
      <c r="F657" s="152"/>
      <c r="H657" s="143"/>
    </row>
    <row r="658" spans="1:9" ht="25.5" customHeight="1" x14ac:dyDescent="0.25">
      <c r="A658" s="86" t="s">
        <v>1207</v>
      </c>
      <c r="B658" s="266" t="str">
        <f>'[1]BM_02.'!B55</f>
        <v>LANÇAMENTO COM USO DE BOMBA, ADENSAMENTO E ACABAMENTO DE CONCRETO EM ESTRUTURAS. AF_02/2022</v>
      </c>
      <c r="C658" s="266"/>
      <c r="D658" s="266"/>
      <c r="E658" s="266"/>
      <c r="F658" s="266"/>
      <c r="G658" s="266"/>
      <c r="H658" s="87">
        <f>SUM(H660:H722)</f>
        <v>5.4799999999999995</v>
      </c>
      <c r="I658" s="134" t="s">
        <v>1053</v>
      </c>
    </row>
    <row r="659" spans="1:9" x14ac:dyDescent="0.25">
      <c r="B659" s="135" t="s">
        <v>1182</v>
      </c>
      <c r="C659" s="74"/>
      <c r="D659" s="74"/>
      <c r="E659" s="74"/>
      <c r="F659" s="74"/>
      <c r="G659" s="136"/>
      <c r="H659" s="138"/>
    </row>
    <row r="660" spans="1:9" x14ac:dyDescent="0.25">
      <c r="B660" s="74" t="s">
        <v>1185</v>
      </c>
      <c r="C660" s="74">
        <v>1</v>
      </c>
      <c r="D660" s="74">
        <v>0.3</v>
      </c>
      <c r="E660" s="74">
        <v>0.15</v>
      </c>
      <c r="F660" s="74">
        <v>1.2</v>
      </c>
      <c r="G660" s="136">
        <f>ROUND(D660*E660*F660,2)</f>
        <v>0.05</v>
      </c>
      <c r="H660" s="138">
        <f t="shared" ref="H660:H682" si="54">G660*C660</f>
        <v>0.05</v>
      </c>
    </row>
    <row r="661" spans="1:9" x14ac:dyDescent="0.25">
      <c r="B661" s="74" t="s">
        <v>1186</v>
      </c>
      <c r="C661" s="74">
        <v>1</v>
      </c>
      <c r="D661" s="74">
        <v>0.25</v>
      </c>
      <c r="E661" s="74">
        <v>0.6</v>
      </c>
      <c r="F661" s="74"/>
      <c r="G661" s="136">
        <f t="shared" ref="G661:G682" si="55">ROUND(D661*E661*F661,2)</f>
        <v>0</v>
      </c>
      <c r="H661" s="138">
        <f t="shared" si="54"/>
        <v>0</v>
      </c>
    </row>
    <row r="662" spans="1:9" x14ac:dyDescent="0.25">
      <c r="B662" s="74" t="s">
        <v>1146</v>
      </c>
      <c r="C662" s="74">
        <v>1</v>
      </c>
      <c r="D662" s="74">
        <v>0.3</v>
      </c>
      <c r="E662" s="74">
        <v>0.15</v>
      </c>
      <c r="F662" s="74">
        <v>0.6</v>
      </c>
      <c r="G662" s="136">
        <f t="shared" si="55"/>
        <v>0.03</v>
      </c>
      <c r="H662" s="138">
        <f t="shared" si="54"/>
        <v>0.03</v>
      </c>
    </row>
    <row r="663" spans="1:9" x14ac:dyDescent="0.25">
      <c r="B663" s="74" t="s">
        <v>1187</v>
      </c>
      <c r="C663" s="74">
        <v>1</v>
      </c>
      <c r="D663" s="74">
        <v>0.25</v>
      </c>
      <c r="E663" s="74">
        <v>0.6</v>
      </c>
      <c r="F663" s="74"/>
      <c r="G663" s="136">
        <f t="shared" si="55"/>
        <v>0</v>
      </c>
      <c r="H663" s="138">
        <f t="shared" si="54"/>
        <v>0</v>
      </c>
    </row>
    <row r="664" spans="1:9" x14ac:dyDescent="0.25">
      <c r="B664" s="74" t="s">
        <v>1125</v>
      </c>
      <c r="C664" s="74">
        <v>1</v>
      </c>
      <c r="D664" s="74">
        <v>0.3</v>
      </c>
      <c r="E664" s="74">
        <v>0.15</v>
      </c>
      <c r="F664" s="74">
        <v>1.1000000000000001</v>
      </c>
      <c r="G664" s="136">
        <f t="shared" si="55"/>
        <v>0.05</v>
      </c>
      <c r="H664" s="138">
        <f t="shared" si="54"/>
        <v>0.05</v>
      </c>
    </row>
    <row r="665" spans="1:9" x14ac:dyDescent="0.25">
      <c r="B665" s="74" t="s">
        <v>1126</v>
      </c>
      <c r="C665" s="74">
        <v>1</v>
      </c>
      <c r="D665" s="74">
        <v>0.3</v>
      </c>
      <c r="E665" s="74">
        <v>0.15</v>
      </c>
      <c r="F665" s="74">
        <v>1.4</v>
      </c>
      <c r="G665" s="136">
        <f t="shared" si="55"/>
        <v>0.06</v>
      </c>
      <c r="H665" s="138">
        <f t="shared" si="54"/>
        <v>0.06</v>
      </c>
    </row>
    <row r="666" spans="1:9" x14ac:dyDescent="0.25">
      <c r="B666" s="74" t="s">
        <v>1127</v>
      </c>
      <c r="C666" s="74">
        <v>1</v>
      </c>
      <c r="D666" s="74">
        <v>0.3</v>
      </c>
      <c r="E666" s="74">
        <v>0.15</v>
      </c>
      <c r="F666" s="74">
        <v>0.5</v>
      </c>
      <c r="G666" s="136">
        <f t="shared" si="55"/>
        <v>0.02</v>
      </c>
      <c r="H666" s="138">
        <f t="shared" si="54"/>
        <v>0.02</v>
      </c>
    </row>
    <row r="667" spans="1:9" x14ac:dyDescent="0.25">
      <c r="B667" s="74" t="s">
        <v>1128</v>
      </c>
      <c r="C667" s="74">
        <v>1</v>
      </c>
      <c r="D667" s="74">
        <v>0.3</v>
      </c>
      <c r="E667" s="74">
        <v>0.15</v>
      </c>
      <c r="F667" s="74">
        <v>1.05</v>
      </c>
      <c r="G667" s="136">
        <f t="shared" si="55"/>
        <v>0.05</v>
      </c>
      <c r="H667" s="138">
        <f t="shared" si="54"/>
        <v>0.05</v>
      </c>
    </row>
    <row r="668" spans="1:9" x14ac:dyDescent="0.25">
      <c r="B668" s="74" t="s">
        <v>1129</v>
      </c>
      <c r="C668" s="74">
        <v>1</v>
      </c>
      <c r="D668" s="74">
        <v>0.3</v>
      </c>
      <c r="E668" s="74">
        <v>0.15</v>
      </c>
      <c r="F668" s="74">
        <v>0.35</v>
      </c>
      <c r="G668" s="136">
        <f t="shared" si="55"/>
        <v>0.02</v>
      </c>
      <c r="H668" s="138">
        <f t="shared" si="54"/>
        <v>0.02</v>
      </c>
    </row>
    <row r="669" spans="1:9" x14ac:dyDescent="0.25">
      <c r="B669" s="74" t="s">
        <v>1130</v>
      </c>
      <c r="C669" s="74">
        <v>1</v>
      </c>
      <c r="D669" s="74">
        <v>0.3</v>
      </c>
      <c r="E669" s="74">
        <v>0.15</v>
      </c>
      <c r="F669" s="74">
        <v>1</v>
      </c>
      <c r="G669" s="136">
        <f t="shared" si="55"/>
        <v>0.05</v>
      </c>
      <c r="H669" s="138">
        <f t="shared" si="54"/>
        <v>0.05</v>
      </c>
    </row>
    <row r="670" spans="1:9" x14ac:dyDescent="0.25">
      <c r="B670" s="74" t="s">
        <v>1131</v>
      </c>
      <c r="C670" s="74">
        <v>1</v>
      </c>
      <c r="D670" s="74">
        <v>0.3</v>
      </c>
      <c r="E670" s="74">
        <v>0.15</v>
      </c>
      <c r="F670" s="74">
        <v>1.1000000000000001</v>
      </c>
      <c r="G670" s="136">
        <f t="shared" si="55"/>
        <v>0.05</v>
      </c>
      <c r="H670" s="138">
        <f t="shared" si="54"/>
        <v>0.05</v>
      </c>
    </row>
    <row r="671" spans="1:9" x14ac:dyDescent="0.25">
      <c r="B671" s="74" t="s">
        <v>1132</v>
      </c>
      <c r="C671" s="74">
        <v>1</v>
      </c>
      <c r="D671" s="74">
        <v>0.3</v>
      </c>
      <c r="E671" s="74">
        <v>0.15</v>
      </c>
      <c r="F671" s="74">
        <v>1.1499999999999999</v>
      </c>
      <c r="G671" s="136">
        <f t="shared" si="55"/>
        <v>0.05</v>
      </c>
      <c r="H671" s="138">
        <f t="shared" si="54"/>
        <v>0.05</v>
      </c>
    </row>
    <row r="672" spans="1:9" x14ac:dyDescent="0.25">
      <c r="B672" s="74" t="s">
        <v>1133</v>
      </c>
      <c r="C672" s="74">
        <v>1</v>
      </c>
      <c r="D672" s="74">
        <v>0.3</v>
      </c>
      <c r="E672" s="74">
        <v>0.15</v>
      </c>
      <c r="F672" s="74">
        <v>1</v>
      </c>
      <c r="G672" s="136">
        <f t="shared" si="55"/>
        <v>0.05</v>
      </c>
      <c r="H672" s="138">
        <f t="shared" si="54"/>
        <v>0.05</v>
      </c>
    </row>
    <row r="673" spans="2:8" x14ac:dyDescent="0.25">
      <c r="B673" s="74" t="s">
        <v>1134</v>
      </c>
      <c r="C673" s="74">
        <v>1</v>
      </c>
      <c r="D673" s="74">
        <v>0.3</v>
      </c>
      <c r="E673" s="74">
        <v>0.15</v>
      </c>
      <c r="F673" s="74">
        <v>1.5</v>
      </c>
      <c r="G673" s="136">
        <f t="shared" si="55"/>
        <v>7.0000000000000007E-2</v>
      </c>
      <c r="H673" s="138">
        <f t="shared" si="54"/>
        <v>7.0000000000000007E-2</v>
      </c>
    </row>
    <row r="674" spans="2:8" x14ac:dyDescent="0.25">
      <c r="B674" s="74" t="s">
        <v>1135</v>
      </c>
      <c r="C674" s="74">
        <v>1</v>
      </c>
      <c r="D674" s="74">
        <v>0.3</v>
      </c>
      <c r="E674" s="74">
        <v>0.15</v>
      </c>
      <c r="F674" s="74">
        <v>0.4</v>
      </c>
      <c r="G674" s="136">
        <f t="shared" si="55"/>
        <v>0.02</v>
      </c>
      <c r="H674" s="138">
        <f t="shared" si="54"/>
        <v>0.02</v>
      </c>
    </row>
    <row r="675" spans="2:8" x14ac:dyDescent="0.25">
      <c r="B675" s="74" t="s">
        <v>1136</v>
      </c>
      <c r="C675" s="74">
        <v>3</v>
      </c>
      <c r="D675" s="74">
        <v>0.25</v>
      </c>
      <c r="E675" s="74">
        <v>0.6</v>
      </c>
      <c r="F675" s="74"/>
      <c r="G675" s="136">
        <f t="shared" si="55"/>
        <v>0</v>
      </c>
      <c r="H675" s="138">
        <f t="shared" si="54"/>
        <v>0</v>
      </c>
    </row>
    <row r="676" spans="2:8" x14ac:dyDescent="0.25">
      <c r="B676" s="74" t="s">
        <v>1137</v>
      </c>
      <c r="C676" s="74">
        <v>4</v>
      </c>
      <c r="D676" s="74">
        <v>0.25</v>
      </c>
      <c r="E676" s="74">
        <v>0.6</v>
      </c>
      <c r="F676" s="74"/>
      <c r="G676" s="136">
        <f t="shared" si="55"/>
        <v>0</v>
      </c>
      <c r="H676" s="138">
        <f t="shared" si="54"/>
        <v>0</v>
      </c>
    </row>
    <row r="677" spans="2:8" x14ac:dyDescent="0.25">
      <c r="B677" s="74" t="s">
        <v>1138</v>
      </c>
      <c r="C677" s="74">
        <v>1</v>
      </c>
      <c r="D677" s="74">
        <v>0.3</v>
      </c>
      <c r="E677" s="74">
        <v>0.15</v>
      </c>
      <c r="F677" s="74">
        <v>0.65</v>
      </c>
      <c r="G677" s="136">
        <f t="shared" si="55"/>
        <v>0.03</v>
      </c>
      <c r="H677" s="138">
        <f t="shared" si="54"/>
        <v>0.03</v>
      </c>
    </row>
    <row r="678" spans="2:8" x14ac:dyDescent="0.25">
      <c r="B678" s="74" t="s">
        <v>1139</v>
      </c>
      <c r="C678" s="74">
        <v>1</v>
      </c>
      <c r="D678" s="74">
        <v>0.3</v>
      </c>
      <c r="E678" s="74">
        <v>0.15</v>
      </c>
      <c r="F678" s="74">
        <v>1.3</v>
      </c>
      <c r="G678" s="136">
        <f t="shared" si="55"/>
        <v>0.06</v>
      </c>
      <c r="H678" s="138">
        <f t="shared" si="54"/>
        <v>0.06</v>
      </c>
    </row>
    <row r="679" spans="2:8" x14ac:dyDescent="0.25">
      <c r="B679" s="74" t="s">
        <v>1140</v>
      </c>
      <c r="C679" s="74">
        <v>1</v>
      </c>
      <c r="D679" s="74">
        <v>0.3</v>
      </c>
      <c r="E679" s="74">
        <v>0.15</v>
      </c>
      <c r="F679" s="74">
        <v>1.6</v>
      </c>
      <c r="G679" s="136">
        <f t="shared" si="55"/>
        <v>7.0000000000000007E-2</v>
      </c>
      <c r="H679" s="138">
        <f t="shared" si="54"/>
        <v>7.0000000000000007E-2</v>
      </c>
    </row>
    <row r="680" spans="2:8" x14ac:dyDescent="0.25">
      <c r="B680" s="74" t="s">
        <v>1141</v>
      </c>
      <c r="C680" s="74">
        <v>1</v>
      </c>
      <c r="D680" s="74">
        <v>0.3</v>
      </c>
      <c r="E680" s="74">
        <v>0.15</v>
      </c>
      <c r="F680" s="74">
        <v>1.2</v>
      </c>
      <c r="G680" s="136">
        <f t="shared" si="55"/>
        <v>0.05</v>
      </c>
      <c r="H680" s="138">
        <f t="shared" si="54"/>
        <v>0.05</v>
      </c>
    </row>
    <row r="681" spans="2:8" x14ac:dyDescent="0.25">
      <c r="B681" s="74" t="s">
        <v>1142</v>
      </c>
      <c r="C681" s="74">
        <v>1</v>
      </c>
      <c r="D681" s="74">
        <v>0.3</v>
      </c>
      <c r="E681" s="74">
        <v>0.15</v>
      </c>
      <c r="F681" s="74">
        <v>0.9</v>
      </c>
      <c r="G681" s="136">
        <f t="shared" si="55"/>
        <v>0.04</v>
      </c>
      <c r="H681" s="138">
        <f t="shared" si="54"/>
        <v>0.04</v>
      </c>
    </row>
    <row r="682" spans="2:8" x14ac:dyDescent="0.25">
      <c r="B682" s="74" t="s">
        <v>1143</v>
      </c>
      <c r="C682" s="74">
        <v>1</v>
      </c>
      <c r="D682" s="74">
        <v>0.3</v>
      </c>
      <c r="E682" s="74">
        <v>0.15</v>
      </c>
      <c r="F682" s="74">
        <v>0.95</v>
      </c>
      <c r="G682" s="136">
        <f t="shared" si="55"/>
        <v>0.04</v>
      </c>
      <c r="H682" s="138">
        <f t="shared" si="54"/>
        <v>0.04</v>
      </c>
    </row>
    <row r="683" spans="2:8" x14ac:dyDescent="0.25">
      <c r="B683" s="135" t="s">
        <v>1188</v>
      </c>
      <c r="C683" s="74"/>
      <c r="D683" s="74"/>
      <c r="E683" s="74"/>
      <c r="F683" s="74"/>
      <c r="G683" s="136"/>
      <c r="H683" s="138"/>
    </row>
    <row r="684" spans="2:8" x14ac:dyDescent="0.25">
      <c r="B684" s="74" t="s">
        <v>1138</v>
      </c>
      <c r="C684" s="74">
        <v>1</v>
      </c>
      <c r="D684" s="74">
        <v>0.15</v>
      </c>
      <c r="E684" s="74">
        <v>0.4</v>
      </c>
      <c r="F684" s="74">
        <v>1.5</v>
      </c>
      <c r="G684" s="136">
        <f t="shared" ref="G684:G722" si="56">ROUND(D684*E684*F684,2)</f>
        <v>0.09</v>
      </c>
      <c r="H684" s="138">
        <f t="shared" ref="H684:H722" si="57">G684*C684</f>
        <v>0.09</v>
      </c>
    </row>
    <row r="685" spans="2:8" x14ac:dyDescent="0.25">
      <c r="B685" s="74" t="s">
        <v>1125</v>
      </c>
      <c r="C685" s="74">
        <v>1</v>
      </c>
      <c r="D685" s="74">
        <v>0.25</v>
      </c>
      <c r="E685" s="74">
        <v>0.4</v>
      </c>
      <c r="F685" s="74">
        <v>1.1000000000000001</v>
      </c>
      <c r="G685" s="136">
        <f t="shared" si="56"/>
        <v>0.11</v>
      </c>
      <c r="H685" s="138">
        <f t="shared" si="57"/>
        <v>0.11</v>
      </c>
    </row>
    <row r="686" spans="2:8" x14ac:dyDescent="0.25">
      <c r="B686" s="74" t="s">
        <v>1126</v>
      </c>
      <c r="C686" s="74">
        <v>1</v>
      </c>
      <c r="D686" s="74">
        <v>0.25</v>
      </c>
      <c r="E686" s="74">
        <v>0.4</v>
      </c>
      <c r="F686" s="74">
        <v>1.6</v>
      </c>
      <c r="G686" s="136">
        <f t="shared" si="56"/>
        <v>0.16</v>
      </c>
      <c r="H686" s="138">
        <f t="shared" si="57"/>
        <v>0.16</v>
      </c>
    </row>
    <row r="687" spans="2:8" x14ac:dyDescent="0.25">
      <c r="B687" s="74" t="s">
        <v>1127</v>
      </c>
      <c r="C687" s="74">
        <v>1</v>
      </c>
      <c r="D687" s="74">
        <v>0.25</v>
      </c>
      <c r="E687" s="74">
        <v>0.4</v>
      </c>
      <c r="F687" s="74">
        <v>1.1000000000000001</v>
      </c>
      <c r="G687" s="136">
        <f t="shared" si="56"/>
        <v>0.11</v>
      </c>
      <c r="H687" s="138">
        <f t="shared" si="57"/>
        <v>0.11</v>
      </c>
    </row>
    <row r="688" spans="2:8" x14ac:dyDescent="0.25">
      <c r="B688" s="74" t="s">
        <v>1145</v>
      </c>
      <c r="C688" s="74">
        <v>2</v>
      </c>
      <c r="D688" s="74">
        <v>0.25</v>
      </c>
      <c r="E688" s="74">
        <v>0.4</v>
      </c>
      <c r="F688" s="74">
        <v>1.2</v>
      </c>
      <c r="G688" s="136">
        <f t="shared" si="56"/>
        <v>0.12</v>
      </c>
      <c r="H688" s="138">
        <f t="shared" si="57"/>
        <v>0.24</v>
      </c>
    </row>
    <row r="689" spans="2:8" x14ac:dyDescent="0.25">
      <c r="B689" s="74" t="s">
        <v>1131</v>
      </c>
      <c r="C689" s="74">
        <v>1</v>
      </c>
      <c r="D689" s="74">
        <v>0.55000000000000004</v>
      </c>
      <c r="E689" s="74">
        <v>0.2</v>
      </c>
      <c r="F689" s="74">
        <v>1.65</v>
      </c>
      <c r="G689" s="136">
        <f t="shared" si="56"/>
        <v>0.18</v>
      </c>
      <c r="H689" s="138">
        <f t="shared" si="57"/>
        <v>0.18</v>
      </c>
    </row>
    <row r="690" spans="2:8" x14ac:dyDescent="0.25">
      <c r="B690" s="74" t="s">
        <v>1132</v>
      </c>
      <c r="C690" s="74">
        <v>1</v>
      </c>
      <c r="D690" s="74">
        <v>0.4</v>
      </c>
      <c r="E690" s="74">
        <v>0.25</v>
      </c>
      <c r="F690" s="74">
        <v>1</v>
      </c>
      <c r="G690" s="136">
        <f t="shared" si="56"/>
        <v>0.1</v>
      </c>
      <c r="H690" s="138">
        <f t="shared" si="57"/>
        <v>0.1</v>
      </c>
    </row>
    <row r="691" spans="2:8" x14ac:dyDescent="0.25">
      <c r="B691" s="74" t="s">
        <v>1133</v>
      </c>
      <c r="C691" s="74">
        <v>1</v>
      </c>
      <c r="D691" s="74">
        <v>0.25</v>
      </c>
      <c r="E691" s="74">
        <v>0.4</v>
      </c>
      <c r="F691" s="74">
        <v>1.1499999999999999</v>
      </c>
      <c r="G691" s="136">
        <f t="shared" si="56"/>
        <v>0.12</v>
      </c>
      <c r="H691" s="138">
        <f t="shared" si="57"/>
        <v>0.12</v>
      </c>
    </row>
    <row r="692" spans="2:8" x14ac:dyDescent="0.25">
      <c r="B692" s="74" t="s">
        <v>1139</v>
      </c>
      <c r="C692" s="74">
        <v>1</v>
      </c>
      <c r="D692" s="74">
        <v>0.25</v>
      </c>
      <c r="E692" s="74">
        <v>0.4</v>
      </c>
      <c r="F692" s="74">
        <v>1.1000000000000001</v>
      </c>
      <c r="G692" s="136">
        <f t="shared" si="56"/>
        <v>0.11</v>
      </c>
      <c r="H692" s="138">
        <f t="shared" si="57"/>
        <v>0.11</v>
      </c>
    </row>
    <row r="693" spans="2:8" x14ac:dyDescent="0.25">
      <c r="B693" s="74" t="s">
        <v>1140</v>
      </c>
      <c r="C693" s="74">
        <v>1</v>
      </c>
      <c r="D693" s="74">
        <v>0.4</v>
      </c>
      <c r="E693" s="74">
        <v>0.4</v>
      </c>
      <c r="F693" s="74">
        <v>1.37</v>
      </c>
      <c r="G693" s="136">
        <f t="shared" si="56"/>
        <v>0.22</v>
      </c>
      <c r="H693" s="138">
        <f t="shared" si="57"/>
        <v>0.22</v>
      </c>
    </row>
    <row r="694" spans="2:8" x14ac:dyDescent="0.25">
      <c r="B694" s="74" t="s">
        <v>1146</v>
      </c>
      <c r="C694" s="74">
        <v>1</v>
      </c>
      <c r="D694" s="74">
        <v>0.4</v>
      </c>
      <c r="E694" s="74">
        <v>0.4</v>
      </c>
      <c r="F694" s="74">
        <v>1.25</v>
      </c>
      <c r="G694" s="136">
        <f t="shared" si="56"/>
        <v>0.2</v>
      </c>
      <c r="H694" s="138">
        <f t="shared" si="57"/>
        <v>0.2</v>
      </c>
    </row>
    <row r="695" spans="2:8" x14ac:dyDescent="0.25">
      <c r="B695" s="74" t="s">
        <v>1141</v>
      </c>
      <c r="C695" s="74">
        <v>1</v>
      </c>
      <c r="D695" s="74">
        <v>0.25</v>
      </c>
      <c r="E695" s="74">
        <v>0.4</v>
      </c>
      <c r="F695" s="74">
        <v>0.95</v>
      </c>
      <c r="G695" s="136">
        <f t="shared" si="56"/>
        <v>0.1</v>
      </c>
      <c r="H695" s="138">
        <f t="shared" si="57"/>
        <v>0.1</v>
      </c>
    </row>
    <row r="696" spans="2:8" x14ac:dyDescent="0.25">
      <c r="B696" s="74" t="s">
        <v>1142</v>
      </c>
      <c r="C696" s="74">
        <v>1</v>
      </c>
      <c r="D696" s="74">
        <v>0.25</v>
      </c>
      <c r="E696" s="74">
        <v>0.4</v>
      </c>
      <c r="F696" s="74">
        <v>1</v>
      </c>
      <c r="G696" s="136">
        <f t="shared" si="56"/>
        <v>0.1</v>
      </c>
      <c r="H696" s="138">
        <f t="shared" si="57"/>
        <v>0.1</v>
      </c>
    </row>
    <row r="697" spans="2:8" x14ac:dyDescent="0.25">
      <c r="B697" s="74" t="s">
        <v>1147</v>
      </c>
      <c r="C697" s="74">
        <v>1</v>
      </c>
      <c r="D697" s="74">
        <v>0.25</v>
      </c>
      <c r="E697" s="74">
        <v>0.4</v>
      </c>
      <c r="F697" s="74">
        <v>1.4</v>
      </c>
      <c r="G697" s="136">
        <f t="shared" si="56"/>
        <v>0.14000000000000001</v>
      </c>
      <c r="H697" s="138">
        <f t="shared" si="57"/>
        <v>0.14000000000000001</v>
      </c>
    </row>
    <row r="698" spans="2:8" x14ac:dyDescent="0.25">
      <c r="B698" s="74" t="s">
        <v>1148</v>
      </c>
      <c r="C698" s="74">
        <v>1</v>
      </c>
      <c r="D698" s="74">
        <v>0.4</v>
      </c>
      <c r="E698" s="74">
        <v>0.2</v>
      </c>
      <c r="F698" s="74">
        <v>1.4</v>
      </c>
      <c r="G698" s="136">
        <f t="shared" si="56"/>
        <v>0.11</v>
      </c>
      <c r="H698" s="138">
        <f t="shared" si="57"/>
        <v>0.11</v>
      </c>
    </row>
    <row r="699" spans="2:8" x14ac:dyDescent="0.25">
      <c r="B699" s="74" t="s">
        <v>1143</v>
      </c>
      <c r="C699" s="74">
        <v>1</v>
      </c>
      <c r="D699" s="74">
        <v>0.25</v>
      </c>
      <c r="E699" s="74">
        <v>0.4</v>
      </c>
      <c r="F699" s="74">
        <v>1.05</v>
      </c>
      <c r="G699" s="136">
        <f t="shared" si="56"/>
        <v>0.11</v>
      </c>
      <c r="H699" s="138">
        <f t="shared" si="57"/>
        <v>0.11</v>
      </c>
    </row>
    <row r="700" spans="2:8" x14ac:dyDescent="0.25">
      <c r="B700" s="74" t="s">
        <v>1149</v>
      </c>
      <c r="C700" s="74">
        <v>1</v>
      </c>
      <c r="D700" s="74">
        <v>0.25</v>
      </c>
      <c r="E700" s="74">
        <v>0.4</v>
      </c>
      <c r="F700" s="74">
        <v>1</v>
      </c>
      <c r="G700" s="136">
        <f t="shared" si="56"/>
        <v>0.1</v>
      </c>
      <c r="H700" s="138">
        <f t="shared" si="57"/>
        <v>0.1</v>
      </c>
    </row>
    <row r="701" spans="2:8" x14ac:dyDescent="0.25">
      <c r="B701" s="74" t="s">
        <v>1150</v>
      </c>
      <c r="C701" s="74">
        <v>1</v>
      </c>
      <c r="D701" s="74">
        <v>0.25</v>
      </c>
      <c r="E701" s="74">
        <v>0.4</v>
      </c>
      <c r="F701" s="74">
        <v>1.05</v>
      </c>
      <c r="G701" s="136">
        <f t="shared" si="56"/>
        <v>0.11</v>
      </c>
      <c r="H701" s="138">
        <f t="shared" si="57"/>
        <v>0.11</v>
      </c>
    </row>
    <row r="702" spans="2:8" x14ac:dyDescent="0.25">
      <c r="B702" s="74" t="s">
        <v>1151</v>
      </c>
      <c r="C702" s="74">
        <v>1</v>
      </c>
      <c r="D702" s="74">
        <v>0.4</v>
      </c>
      <c r="E702" s="74">
        <v>0.3</v>
      </c>
      <c r="F702" s="74">
        <v>0.9</v>
      </c>
      <c r="G702" s="136">
        <f t="shared" si="56"/>
        <v>0.11</v>
      </c>
      <c r="H702" s="138">
        <f t="shared" si="57"/>
        <v>0.11</v>
      </c>
    </row>
    <row r="703" spans="2:8" x14ac:dyDescent="0.25">
      <c r="B703" s="74" t="s">
        <v>1152</v>
      </c>
      <c r="C703" s="74">
        <v>1</v>
      </c>
      <c r="D703" s="74">
        <v>0.3</v>
      </c>
      <c r="E703" s="74">
        <v>0.4</v>
      </c>
      <c r="F703" s="74">
        <v>0.9</v>
      </c>
      <c r="G703" s="136">
        <f t="shared" si="56"/>
        <v>0.11</v>
      </c>
      <c r="H703" s="138">
        <f t="shared" si="57"/>
        <v>0.11</v>
      </c>
    </row>
    <row r="704" spans="2:8" x14ac:dyDescent="0.25">
      <c r="B704" s="74" t="s">
        <v>1153</v>
      </c>
      <c r="C704" s="74">
        <v>1</v>
      </c>
      <c r="D704" s="74">
        <v>0.4</v>
      </c>
      <c r="E704" s="74">
        <v>0.3</v>
      </c>
      <c r="F704" s="74">
        <v>1.1000000000000001</v>
      </c>
      <c r="G704" s="136">
        <f t="shared" si="56"/>
        <v>0.13</v>
      </c>
      <c r="H704" s="138">
        <f t="shared" si="57"/>
        <v>0.13</v>
      </c>
    </row>
    <row r="705" spans="2:8" x14ac:dyDescent="0.25">
      <c r="B705" s="74" t="s">
        <v>1154</v>
      </c>
      <c r="C705" s="74">
        <v>1</v>
      </c>
      <c r="D705" s="74">
        <v>0.4</v>
      </c>
      <c r="E705" s="74">
        <v>0.3</v>
      </c>
      <c r="F705" s="74">
        <v>0.9</v>
      </c>
      <c r="G705" s="136">
        <f t="shared" si="56"/>
        <v>0.11</v>
      </c>
      <c r="H705" s="138">
        <f t="shared" si="57"/>
        <v>0.11</v>
      </c>
    </row>
    <row r="706" spans="2:8" x14ac:dyDescent="0.25">
      <c r="B706" s="74" t="s">
        <v>1155</v>
      </c>
      <c r="C706" s="74">
        <v>1</v>
      </c>
      <c r="D706" s="74">
        <v>0.4</v>
      </c>
      <c r="E706" s="74">
        <v>0.3</v>
      </c>
      <c r="F706" s="74">
        <v>0.8</v>
      </c>
      <c r="G706" s="136">
        <f t="shared" si="56"/>
        <v>0.1</v>
      </c>
      <c r="H706" s="138">
        <f t="shared" si="57"/>
        <v>0.1</v>
      </c>
    </row>
    <row r="707" spans="2:8" x14ac:dyDescent="0.25">
      <c r="B707" s="74" t="s">
        <v>1156</v>
      </c>
      <c r="C707" s="74">
        <v>1</v>
      </c>
      <c r="D707" s="74">
        <v>0.2</v>
      </c>
      <c r="E707" s="74">
        <v>0.4</v>
      </c>
      <c r="F707" s="74">
        <v>0.95</v>
      </c>
      <c r="G707" s="136">
        <f t="shared" si="56"/>
        <v>0.08</v>
      </c>
      <c r="H707" s="138">
        <f t="shared" si="57"/>
        <v>0.08</v>
      </c>
    </row>
    <row r="708" spans="2:8" x14ac:dyDescent="0.25">
      <c r="B708" s="74" t="s">
        <v>1157</v>
      </c>
      <c r="C708" s="74">
        <v>1</v>
      </c>
      <c r="D708" s="74">
        <v>0.25</v>
      </c>
      <c r="E708" s="74">
        <v>0.4</v>
      </c>
      <c r="F708" s="74">
        <v>0.6</v>
      </c>
      <c r="G708" s="136">
        <f t="shared" si="56"/>
        <v>0.06</v>
      </c>
      <c r="H708" s="138">
        <f t="shared" si="57"/>
        <v>0.06</v>
      </c>
    </row>
    <row r="709" spans="2:8" x14ac:dyDescent="0.25">
      <c r="B709" s="74" t="s">
        <v>1158</v>
      </c>
      <c r="C709" s="74">
        <v>1</v>
      </c>
      <c r="D709" s="74">
        <v>0.4</v>
      </c>
      <c r="E709" s="74">
        <v>0.2</v>
      </c>
      <c r="F709" s="74">
        <v>0.9</v>
      </c>
      <c r="G709" s="136">
        <f t="shared" si="56"/>
        <v>7.0000000000000007E-2</v>
      </c>
      <c r="H709" s="138">
        <f t="shared" si="57"/>
        <v>7.0000000000000007E-2</v>
      </c>
    </row>
    <row r="710" spans="2:8" x14ac:dyDescent="0.25">
      <c r="B710" s="74" t="s">
        <v>1159</v>
      </c>
      <c r="C710" s="74">
        <v>1</v>
      </c>
      <c r="D710" s="74">
        <v>0.4</v>
      </c>
      <c r="E710" s="74">
        <v>0.2</v>
      </c>
      <c r="F710" s="74">
        <v>1.1000000000000001</v>
      </c>
      <c r="G710" s="136">
        <f t="shared" si="56"/>
        <v>0.09</v>
      </c>
      <c r="H710" s="138">
        <f t="shared" si="57"/>
        <v>0.09</v>
      </c>
    </row>
    <row r="711" spans="2:8" x14ac:dyDescent="0.25">
      <c r="B711" s="74" t="s">
        <v>1189</v>
      </c>
      <c r="C711" s="74">
        <v>1</v>
      </c>
      <c r="D711" s="74">
        <v>0.4</v>
      </c>
      <c r="E711" s="74">
        <v>0.2</v>
      </c>
      <c r="F711" s="74">
        <v>1.1499999999999999</v>
      </c>
      <c r="G711" s="136">
        <f t="shared" si="56"/>
        <v>0.09</v>
      </c>
      <c r="H711" s="138">
        <f t="shared" si="57"/>
        <v>0.09</v>
      </c>
    </row>
    <row r="712" spans="2:8" x14ac:dyDescent="0.25">
      <c r="B712" s="74" t="s">
        <v>1190</v>
      </c>
      <c r="C712" s="74">
        <v>1</v>
      </c>
      <c r="D712" s="74">
        <v>0.25</v>
      </c>
      <c r="E712" s="74">
        <v>0.4</v>
      </c>
      <c r="F712" s="74">
        <v>1.1499999999999999</v>
      </c>
      <c r="G712" s="136">
        <f t="shared" si="56"/>
        <v>0.12</v>
      </c>
      <c r="H712" s="138">
        <f t="shared" si="57"/>
        <v>0.12</v>
      </c>
    </row>
    <row r="713" spans="2:8" x14ac:dyDescent="0.25">
      <c r="B713" s="74" t="s">
        <v>1161</v>
      </c>
      <c r="C713" s="74">
        <v>1</v>
      </c>
      <c r="D713" s="74">
        <v>0.4</v>
      </c>
      <c r="E713" s="74">
        <v>0.2</v>
      </c>
      <c r="F713" s="74">
        <v>1.3</v>
      </c>
      <c r="G713" s="136">
        <f t="shared" si="56"/>
        <v>0.1</v>
      </c>
      <c r="H713" s="138">
        <f t="shared" si="57"/>
        <v>0.1</v>
      </c>
    </row>
    <row r="714" spans="2:8" x14ac:dyDescent="0.25">
      <c r="B714" s="74" t="s">
        <v>1162</v>
      </c>
      <c r="C714" s="74">
        <v>1</v>
      </c>
      <c r="D714" s="74">
        <v>0.4</v>
      </c>
      <c r="E714" s="74">
        <v>0.25</v>
      </c>
      <c r="F714" s="74">
        <v>0.9</v>
      </c>
      <c r="G714" s="136">
        <f t="shared" si="56"/>
        <v>0.09</v>
      </c>
      <c r="H714" s="138">
        <f t="shared" si="57"/>
        <v>0.09</v>
      </c>
    </row>
    <row r="715" spans="2:8" x14ac:dyDescent="0.25">
      <c r="B715" s="74" t="s">
        <v>1163</v>
      </c>
      <c r="C715" s="74">
        <v>1</v>
      </c>
      <c r="D715" s="74">
        <v>0.4</v>
      </c>
      <c r="E715" s="74">
        <v>0.25</v>
      </c>
      <c r="F715" s="74">
        <v>1.1499999999999999</v>
      </c>
      <c r="G715" s="136">
        <f t="shared" si="56"/>
        <v>0.12</v>
      </c>
      <c r="H715" s="138">
        <f t="shared" si="57"/>
        <v>0.12</v>
      </c>
    </row>
    <row r="716" spans="2:8" x14ac:dyDescent="0.25">
      <c r="B716" s="74" t="s">
        <v>1164</v>
      </c>
      <c r="C716" s="74">
        <v>1</v>
      </c>
      <c r="D716" s="74">
        <v>0.4</v>
      </c>
      <c r="E716" s="74">
        <v>0.15</v>
      </c>
      <c r="F716" s="74">
        <v>1.1000000000000001</v>
      </c>
      <c r="G716" s="136">
        <f t="shared" si="56"/>
        <v>7.0000000000000007E-2</v>
      </c>
      <c r="H716" s="138">
        <f t="shared" si="57"/>
        <v>7.0000000000000007E-2</v>
      </c>
    </row>
    <row r="717" spans="2:8" x14ac:dyDescent="0.25">
      <c r="B717" s="74" t="s">
        <v>1165</v>
      </c>
      <c r="C717" s="74">
        <v>1</v>
      </c>
      <c r="D717" s="74">
        <v>0.4</v>
      </c>
      <c r="E717" s="74">
        <v>0.25</v>
      </c>
      <c r="F717" s="74">
        <v>0.85</v>
      </c>
      <c r="G717" s="136">
        <f t="shared" si="56"/>
        <v>0.09</v>
      </c>
      <c r="H717" s="138">
        <f t="shared" si="57"/>
        <v>0.09</v>
      </c>
    </row>
    <row r="718" spans="2:8" x14ac:dyDescent="0.25">
      <c r="B718" s="74" t="s">
        <v>1167</v>
      </c>
      <c r="C718" s="74">
        <v>2</v>
      </c>
      <c r="D718" s="74">
        <v>0.3</v>
      </c>
      <c r="E718" s="74">
        <v>0.15</v>
      </c>
      <c r="F718" s="74">
        <v>1.1000000000000001</v>
      </c>
      <c r="G718" s="136">
        <f t="shared" si="56"/>
        <v>0.05</v>
      </c>
      <c r="H718" s="138">
        <f t="shared" si="57"/>
        <v>0.1</v>
      </c>
    </row>
    <row r="719" spans="2:8" x14ac:dyDescent="0.25">
      <c r="B719" s="74" t="s">
        <v>1168</v>
      </c>
      <c r="C719" s="74">
        <v>1</v>
      </c>
      <c r="D719" s="74">
        <v>0.4</v>
      </c>
      <c r="E719" s="74">
        <v>0.3</v>
      </c>
      <c r="F719" s="74">
        <v>1.65</v>
      </c>
      <c r="G719" s="136">
        <f t="shared" si="56"/>
        <v>0.2</v>
      </c>
      <c r="H719" s="138">
        <f t="shared" si="57"/>
        <v>0.2</v>
      </c>
    </row>
    <row r="720" spans="2:8" x14ac:dyDescent="0.25">
      <c r="B720" s="74" t="s">
        <v>1169</v>
      </c>
      <c r="C720" s="74">
        <v>1</v>
      </c>
      <c r="D720" s="74">
        <v>0.4</v>
      </c>
      <c r="E720" s="74">
        <v>0.2</v>
      </c>
      <c r="F720" s="74">
        <v>1.1000000000000001</v>
      </c>
      <c r="G720" s="136">
        <f t="shared" si="56"/>
        <v>0.09</v>
      </c>
      <c r="H720" s="138">
        <f t="shared" si="57"/>
        <v>0.09</v>
      </c>
    </row>
    <row r="721" spans="1:10" x14ac:dyDescent="0.25">
      <c r="B721" s="74" t="s">
        <v>1206</v>
      </c>
      <c r="C721" s="74">
        <v>1</v>
      </c>
      <c r="D721" s="74">
        <v>0.4</v>
      </c>
      <c r="E721" s="74">
        <v>0.2</v>
      </c>
      <c r="F721" s="74">
        <v>1</v>
      </c>
      <c r="G721" s="136">
        <f t="shared" si="56"/>
        <v>0.08</v>
      </c>
      <c r="H721" s="138">
        <f t="shared" si="57"/>
        <v>0.08</v>
      </c>
    </row>
    <row r="722" spans="1:10" x14ac:dyDescent="0.25">
      <c r="B722" s="74" t="s">
        <v>1171</v>
      </c>
      <c r="C722" s="74">
        <v>2</v>
      </c>
      <c r="D722" s="74">
        <v>0.4</v>
      </c>
      <c r="E722" s="74">
        <v>0.2</v>
      </c>
      <c r="F722" s="74">
        <v>1.2</v>
      </c>
      <c r="G722" s="136">
        <f t="shared" si="56"/>
        <v>0.1</v>
      </c>
      <c r="H722" s="138">
        <f t="shared" si="57"/>
        <v>0.2</v>
      </c>
    </row>
    <row r="723" spans="1:10" x14ac:dyDescent="0.25">
      <c r="B723" s="152"/>
      <c r="C723" s="152"/>
      <c r="D723" s="152"/>
      <c r="E723" s="152"/>
      <c r="F723" s="152"/>
      <c r="H723" s="143"/>
    </row>
    <row r="724" spans="1:10" ht="24.75" customHeight="1" x14ac:dyDescent="0.25">
      <c r="A724" s="86" t="s">
        <v>1208</v>
      </c>
      <c r="B724" s="270" t="str">
        <f>'[1]BM_02.'!B67</f>
        <v>MONTAGEM E DESMONTAGEM DE FÔRMA DE PILARES RETANGULARES E ESTRUTURAS SIMILARES, PÉ-DIREITO SIMPLES, EM CHAPA DE MADEIRA COMPENSADA RESINADA, 4 UTILIZAÇÕES. AF_09/2020</v>
      </c>
      <c r="C724" s="271"/>
      <c r="D724" s="271"/>
      <c r="E724" s="271"/>
      <c r="F724" s="271"/>
      <c r="G724" s="271"/>
      <c r="H724" s="272"/>
      <c r="I724" s="87">
        <f>SUM(J726:J789)</f>
        <v>77.464999999999975</v>
      </c>
      <c r="J724" s="151" t="s">
        <v>1054</v>
      </c>
    </row>
    <row r="725" spans="1:10" x14ac:dyDescent="0.25">
      <c r="B725" s="135" t="s">
        <v>1182</v>
      </c>
      <c r="C725" s="74"/>
      <c r="D725" s="74"/>
      <c r="E725" s="74"/>
      <c r="F725" s="74"/>
      <c r="G725" s="74"/>
      <c r="H725" s="74"/>
      <c r="I725" s="74"/>
      <c r="J725" s="74">
        <f t="shared" ref="J725:J748" si="58">I725*C725</f>
        <v>0</v>
      </c>
    </row>
    <row r="726" spans="1:10" x14ac:dyDescent="0.25">
      <c r="B726" s="74" t="s">
        <v>1185</v>
      </c>
      <c r="C726" s="74">
        <v>1</v>
      </c>
      <c r="D726" s="74">
        <v>1.2</v>
      </c>
      <c r="E726" s="74"/>
      <c r="F726" s="74">
        <f>0.3+0.3+0.15+0.15</f>
        <v>0.9</v>
      </c>
      <c r="G726" s="74"/>
      <c r="H726" s="74"/>
      <c r="I726" s="74">
        <f t="shared" ref="I726:I748" si="59">D726*F726</f>
        <v>1.08</v>
      </c>
      <c r="J726" s="74">
        <f t="shared" si="58"/>
        <v>1.08</v>
      </c>
    </row>
    <row r="727" spans="1:10" x14ac:dyDescent="0.25">
      <c r="B727" s="74" t="s">
        <v>1186</v>
      </c>
      <c r="C727" s="74">
        <v>1</v>
      </c>
      <c r="D727" s="74"/>
      <c r="E727" s="74"/>
      <c r="F727" s="74">
        <f>0.25+0.25+0.6+0.6</f>
        <v>1.7000000000000002</v>
      </c>
      <c r="G727" s="74"/>
      <c r="H727" s="74"/>
      <c r="I727" s="74">
        <f t="shared" si="59"/>
        <v>0</v>
      </c>
      <c r="J727" s="74">
        <f t="shared" si="58"/>
        <v>0</v>
      </c>
    </row>
    <row r="728" spans="1:10" x14ac:dyDescent="0.25">
      <c r="B728" s="74" t="s">
        <v>1146</v>
      </c>
      <c r="C728" s="74">
        <v>1</v>
      </c>
      <c r="D728" s="74">
        <v>0.6</v>
      </c>
      <c r="E728" s="74"/>
      <c r="F728" s="74">
        <f>0.3+0.3+0.15+0.15</f>
        <v>0.9</v>
      </c>
      <c r="G728" s="74"/>
      <c r="H728" s="74"/>
      <c r="I728" s="74">
        <f t="shared" si="59"/>
        <v>0.54</v>
      </c>
      <c r="J728" s="74">
        <f t="shared" si="58"/>
        <v>0.54</v>
      </c>
    </row>
    <row r="729" spans="1:10" x14ac:dyDescent="0.25">
      <c r="B729" s="74" t="s">
        <v>1187</v>
      </c>
      <c r="C729" s="74">
        <v>1</v>
      </c>
      <c r="D729" s="74"/>
      <c r="E729" s="74"/>
      <c r="F729" s="74">
        <f>0.25+0.25+0.6+0.6</f>
        <v>1.7000000000000002</v>
      </c>
      <c r="G729" s="74"/>
      <c r="H729" s="74"/>
      <c r="I729" s="74">
        <f t="shared" si="59"/>
        <v>0</v>
      </c>
      <c r="J729" s="74">
        <f t="shared" si="58"/>
        <v>0</v>
      </c>
    </row>
    <row r="730" spans="1:10" x14ac:dyDescent="0.25">
      <c r="B730" s="74" t="s">
        <v>1125</v>
      </c>
      <c r="C730" s="74">
        <v>1</v>
      </c>
      <c r="D730" s="74">
        <v>1.1000000000000001</v>
      </c>
      <c r="E730" s="74"/>
      <c r="F730" s="74">
        <f t="shared" ref="F730:F739" si="60">0.3+0.3+0.15+0.15</f>
        <v>0.9</v>
      </c>
      <c r="G730" s="74"/>
      <c r="H730" s="74"/>
      <c r="I730" s="74">
        <f t="shared" si="59"/>
        <v>0.9900000000000001</v>
      </c>
      <c r="J730" s="74">
        <f t="shared" si="58"/>
        <v>0.9900000000000001</v>
      </c>
    </row>
    <row r="731" spans="1:10" x14ac:dyDescent="0.25">
      <c r="B731" s="74" t="s">
        <v>1126</v>
      </c>
      <c r="C731" s="74">
        <v>1</v>
      </c>
      <c r="D731" s="74">
        <v>1.4</v>
      </c>
      <c r="E731" s="74"/>
      <c r="F731" s="74">
        <f t="shared" si="60"/>
        <v>0.9</v>
      </c>
      <c r="G731" s="74"/>
      <c r="H731" s="74"/>
      <c r="I731" s="74">
        <f t="shared" si="59"/>
        <v>1.26</v>
      </c>
      <c r="J731" s="74">
        <f t="shared" si="58"/>
        <v>1.26</v>
      </c>
    </row>
    <row r="732" spans="1:10" x14ac:dyDescent="0.25">
      <c r="B732" s="74" t="s">
        <v>1127</v>
      </c>
      <c r="C732" s="74">
        <v>1</v>
      </c>
      <c r="D732" s="74">
        <v>0.5</v>
      </c>
      <c r="E732" s="74"/>
      <c r="F732" s="74">
        <f t="shared" si="60"/>
        <v>0.9</v>
      </c>
      <c r="G732" s="74"/>
      <c r="H732" s="74"/>
      <c r="I732" s="74">
        <f t="shared" si="59"/>
        <v>0.45</v>
      </c>
      <c r="J732" s="74">
        <f t="shared" si="58"/>
        <v>0.45</v>
      </c>
    </row>
    <row r="733" spans="1:10" x14ac:dyDescent="0.25">
      <c r="B733" s="74" t="s">
        <v>1128</v>
      </c>
      <c r="C733" s="74">
        <v>1</v>
      </c>
      <c r="D733" s="74">
        <v>1.05</v>
      </c>
      <c r="E733" s="74"/>
      <c r="F733" s="74">
        <f t="shared" si="60"/>
        <v>0.9</v>
      </c>
      <c r="G733" s="74"/>
      <c r="H733" s="74"/>
      <c r="I733" s="74">
        <f t="shared" si="59"/>
        <v>0.94500000000000006</v>
      </c>
      <c r="J733" s="74">
        <f t="shared" si="58"/>
        <v>0.94500000000000006</v>
      </c>
    </row>
    <row r="734" spans="1:10" x14ac:dyDescent="0.25">
      <c r="B734" s="74" t="s">
        <v>1129</v>
      </c>
      <c r="C734" s="74">
        <v>1</v>
      </c>
      <c r="D734" s="74">
        <v>0.35</v>
      </c>
      <c r="E734" s="74"/>
      <c r="F734" s="74">
        <f t="shared" si="60"/>
        <v>0.9</v>
      </c>
      <c r="G734" s="74"/>
      <c r="H734" s="74"/>
      <c r="I734" s="74">
        <f t="shared" si="59"/>
        <v>0.315</v>
      </c>
      <c r="J734" s="74">
        <f t="shared" si="58"/>
        <v>0.315</v>
      </c>
    </row>
    <row r="735" spans="1:10" x14ac:dyDescent="0.25">
      <c r="B735" s="74" t="s">
        <v>1130</v>
      </c>
      <c r="C735" s="74">
        <v>1</v>
      </c>
      <c r="D735" s="74">
        <v>1</v>
      </c>
      <c r="E735" s="74"/>
      <c r="F735" s="74">
        <f t="shared" si="60"/>
        <v>0.9</v>
      </c>
      <c r="G735" s="74"/>
      <c r="H735" s="74"/>
      <c r="I735" s="74">
        <f t="shared" si="59"/>
        <v>0.9</v>
      </c>
      <c r="J735" s="74">
        <f t="shared" si="58"/>
        <v>0.9</v>
      </c>
    </row>
    <row r="736" spans="1:10" x14ac:dyDescent="0.25">
      <c r="B736" s="74" t="s">
        <v>1131</v>
      </c>
      <c r="C736" s="74">
        <v>1</v>
      </c>
      <c r="D736" s="74">
        <v>1.1000000000000001</v>
      </c>
      <c r="E736" s="74"/>
      <c r="F736" s="74">
        <f t="shared" si="60"/>
        <v>0.9</v>
      </c>
      <c r="G736" s="74"/>
      <c r="H736" s="74"/>
      <c r="I736" s="74">
        <f t="shared" si="59"/>
        <v>0.9900000000000001</v>
      </c>
      <c r="J736" s="74">
        <f t="shared" si="58"/>
        <v>0.9900000000000001</v>
      </c>
    </row>
    <row r="737" spans="2:10" x14ac:dyDescent="0.25">
      <c r="B737" s="74" t="s">
        <v>1132</v>
      </c>
      <c r="C737" s="74">
        <v>1</v>
      </c>
      <c r="D737" s="74">
        <v>1.1499999999999999</v>
      </c>
      <c r="E737" s="74"/>
      <c r="F737" s="74">
        <f t="shared" si="60"/>
        <v>0.9</v>
      </c>
      <c r="G737" s="74"/>
      <c r="H737" s="74"/>
      <c r="I737" s="74">
        <f t="shared" si="59"/>
        <v>1.0349999999999999</v>
      </c>
      <c r="J737" s="74">
        <f t="shared" si="58"/>
        <v>1.0349999999999999</v>
      </c>
    </row>
    <row r="738" spans="2:10" x14ac:dyDescent="0.25">
      <c r="B738" s="74" t="s">
        <v>1133</v>
      </c>
      <c r="C738" s="74">
        <v>1</v>
      </c>
      <c r="D738" s="74">
        <v>1</v>
      </c>
      <c r="E738" s="74"/>
      <c r="F738" s="74">
        <f t="shared" si="60"/>
        <v>0.9</v>
      </c>
      <c r="G738" s="74"/>
      <c r="H738" s="74"/>
      <c r="I738" s="74">
        <f t="shared" si="59"/>
        <v>0.9</v>
      </c>
      <c r="J738" s="74">
        <f t="shared" si="58"/>
        <v>0.9</v>
      </c>
    </row>
    <row r="739" spans="2:10" x14ac:dyDescent="0.25">
      <c r="B739" s="74" t="s">
        <v>1134</v>
      </c>
      <c r="C739" s="74">
        <v>1</v>
      </c>
      <c r="D739" s="74">
        <v>1.5</v>
      </c>
      <c r="E739" s="74"/>
      <c r="F739" s="74">
        <f t="shared" si="60"/>
        <v>0.9</v>
      </c>
      <c r="G739" s="74"/>
      <c r="H739" s="74"/>
      <c r="I739" s="74">
        <f t="shared" si="59"/>
        <v>1.35</v>
      </c>
      <c r="J739" s="74">
        <f t="shared" si="58"/>
        <v>1.35</v>
      </c>
    </row>
    <row r="740" spans="2:10" x14ac:dyDescent="0.25">
      <c r="B740" s="74" t="s">
        <v>1135</v>
      </c>
      <c r="C740" s="74">
        <v>1</v>
      </c>
      <c r="D740" s="74">
        <v>0.4</v>
      </c>
      <c r="E740" s="74"/>
      <c r="F740" s="74">
        <f>0.3+0.3+0.15+0.15</f>
        <v>0.9</v>
      </c>
      <c r="G740" s="74"/>
      <c r="H740" s="74"/>
      <c r="I740" s="74">
        <f t="shared" si="59"/>
        <v>0.36000000000000004</v>
      </c>
      <c r="J740" s="74">
        <f t="shared" si="58"/>
        <v>0.36000000000000004</v>
      </c>
    </row>
    <row r="741" spans="2:10" x14ac:dyDescent="0.25">
      <c r="B741" s="74" t="s">
        <v>1136</v>
      </c>
      <c r="C741" s="74">
        <v>3</v>
      </c>
      <c r="D741" s="74"/>
      <c r="E741" s="74"/>
      <c r="F741" s="74">
        <f>0.25+0.25+0.6+0.6</f>
        <v>1.7000000000000002</v>
      </c>
      <c r="G741" s="74"/>
      <c r="H741" s="74"/>
      <c r="I741" s="74">
        <f t="shared" si="59"/>
        <v>0</v>
      </c>
      <c r="J741" s="74">
        <f t="shared" si="58"/>
        <v>0</v>
      </c>
    </row>
    <row r="742" spans="2:10" x14ac:dyDescent="0.25">
      <c r="B742" s="74" t="s">
        <v>1137</v>
      </c>
      <c r="C742" s="74">
        <v>4</v>
      </c>
      <c r="D742" s="74"/>
      <c r="E742" s="74"/>
      <c r="F742" s="74">
        <f>0.25+0.25+0.6+0.6</f>
        <v>1.7000000000000002</v>
      </c>
      <c r="G742" s="74"/>
      <c r="H742" s="74"/>
      <c r="I742" s="74">
        <f t="shared" si="59"/>
        <v>0</v>
      </c>
      <c r="J742" s="74">
        <f t="shared" si="58"/>
        <v>0</v>
      </c>
    </row>
    <row r="743" spans="2:10" x14ac:dyDescent="0.25">
      <c r="B743" s="74" t="s">
        <v>1138</v>
      </c>
      <c r="C743" s="74">
        <v>1</v>
      </c>
      <c r="D743" s="74">
        <v>0.65</v>
      </c>
      <c r="E743" s="74"/>
      <c r="F743" s="74">
        <f t="shared" ref="F743:F748" si="61">0.3+0.3+0.15+0.15</f>
        <v>0.9</v>
      </c>
      <c r="G743" s="74"/>
      <c r="H743" s="74"/>
      <c r="I743" s="74">
        <f t="shared" si="59"/>
        <v>0.58500000000000008</v>
      </c>
      <c r="J743" s="74">
        <f t="shared" si="58"/>
        <v>0.58500000000000008</v>
      </c>
    </row>
    <row r="744" spans="2:10" x14ac:dyDescent="0.25">
      <c r="B744" s="74" t="s">
        <v>1139</v>
      </c>
      <c r="C744" s="74">
        <v>1</v>
      </c>
      <c r="D744" s="74">
        <v>1.3</v>
      </c>
      <c r="E744" s="74"/>
      <c r="F744" s="74">
        <f t="shared" si="61"/>
        <v>0.9</v>
      </c>
      <c r="G744" s="74"/>
      <c r="H744" s="74"/>
      <c r="I744" s="74">
        <f t="shared" si="59"/>
        <v>1.1700000000000002</v>
      </c>
      <c r="J744" s="74">
        <f t="shared" si="58"/>
        <v>1.1700000000000002</v>
      </c>
    </row>
    <row r="745" spans="2:10" x14ac:dyDescent="0.25">
      <c r="B745" s="74" t="s">
        <v>1140</v>
      </c>
      <c r="C745" s="74">
        <v>1</v>
      </c>
      <c r="D745" s="74">
        <v>1.6</v>
      </c>
      <c r="E745" s="74"/>
      <c r="F745" s="74">
        <f t="shared" si="61"/>
        <v>0.9</v>
      </c>
      <c r="G745" s="74"/>
      <c r="H745" s="74"/>
      <c r="I745" s="74">
        <f t="shared" si="59"/>
        <v>1.4400000000000002</v>
      </c>
      <c r="J745" s="74">
        <f t="shared" si="58"/>
        <v>1.4400000000000002</v>
      </c>
    </row>
    <row r="746" spans="2:10" x14ac:dyDescent="0.25">
      <c r="B746" s="74" t="s">
        <v>1141</v>
      </c>
      <c r="C746" s="74">
        <v>1</v>
      </c>
      <c r="D746" s="74">
        <v>1.2</v>
      </c>
      <c r="E746" s="74"/>
      <c r="F746" s="74">
        <f t="shared" si="61"/>
        <v>0.9</v>
      </c>
      <c r="G746" s="74"/>
      <c r="H746" s="74"/>
      <c r="I746" s="74">
        <f t="shared" si="59"/>
        <v>1.08</v>
      </c>
      <c r="J746" s="74">
        <f t="shared" si="58"/>
        <v>1.08</v>
      </c>
    </row>
    <row r="747" spans="2:10" x14ac:dyDescent="0.25">
      <c r="B747" s="74" t="s">
        <v>1142</v>
      </c>
      <c r="C747" s="74">
        <v>1</v>
      </c>
      <c r="D747" s="74">
        <v>0.9</v>
      </c>
      <c r="E747" s="74"/>
      <c r="F747" s="74">
        <f t="shared" si="61"/>
        <v>0.9</v>
      </c>
      <c r="G747" s="74"/>
      <c r="H747" s="74"/>
      <c r="I747" s="74">
        <f t="shared" si="59"/>
        <v>0.81</v>
      </c>
      <c r="J747" s="74">
        <f t="shared" si="58"/>
        <v>0.81</v>
      </c>
    </row>
    <row r="748" spans="2:10" x14ac:dyDescent="0.25">
      <c r="B748" s="74" t="s">
        <v>1143</v>
      </c>
      <c r="C748" s="74">
        <v>1</v>
      </c>
      <c r="D748" s="74">
        <v>0.95</v>
      </c>
      <c r="E748" s="74"/>
      <c r="F748" s="74">
        <f t="shared" si="61"/>
        <v>0.9</v>
      </c>
      <c r="G748" s="74"/>
      <c r="H748" s="74"/>
      <c r="I748" s="74">
        <f t="shared" si="59"/>
        <v>0.85499999999999998</v>
      </c>
      <c r="J748" s="74">
        <f t="shared" si="58"/>
        <v>0.85499999999999998</v>
      </c>
    </row>
    <row r="749" spans="2:10" x14ac:dyDescent="0.25">
      <c r="B749" s="152"/>
      <c r="C749" s="152"/>
      <c r="D749" s="152"/>
      <c r="E749" s="152"/>
      <c r="F749" s="152"/>
      <c r="H749" s="143"/>
    </row>
    <row r="750" spans="2:10" x14ac:dyDescent="0.25">
      <c r="B750" s="135" t="s">
        <v>1188</v>
      </c>
      <c r="C750" s="74"/>
      <c r="D750" s="74"/>
      <c r="E750" s="74"/>
      <c r="F750" s="74"/>
      <c r="G750" s="74"/>
      <c r="H750" s="74"/>
      <c r="I750" s="74"/>
      <c r="J750" s="74"/>
    </row>
    <row r="751" spans="2:10" x14ac:dyDescent="0.25">
      <c r="B751" s="74" t="s">
        <v>1138</v>
      </c>
      <c r="C751" s="74">
        <v>1</v>
      </c>
      <c r="D751" s="74">
        <v>0.15</v>
      </c>
      <c r="E751" s="74">
        <v>0.15</v>
      </c>
      <c r="F751" s="74">
        <v>0.4</v>
      </c>
      <c r="G751" s="74">
        <v>0.4</v>
      </c>
      <c r="H751" s="74">
        <v>1.5</v>
      </c>
      <c r="I751" s="74">
        <f>ROUND((D751+E751+F751+G751)*H751,2)</f>
        <v>1.65</v>
      </c>
      <c r="J751" s="74">
        <f t="shared" ref="J751:J789" si="62">I751*C751</f>
        <v>1.65</v>
      </c>
    </row>
    <row r="752" spans="2:10" x14ac:dyDescent="0.25">
      <c r="B752" s="74" t="s">
        <v>1125</v>
      </c>
      <c r="C752" s="74">
        <v>1</v>
      </c>
      <c r="D752" s="74">
        <v>0.25</v>
      </c>
      <c r="E752" s="74">
        <v>0.25</v>
      </c>
      <c r="F752" s="74">
        <v>0.4</v>
      </c>
      <c r="G752" s="74">
        <v>0.4</v>
      </c>
      <c r="H752" s="74">
        <v>1.1000000000000001</v>
      </c>
      <c r="I752" s="74">
        <f t="shared" ref="I752:I789" si="63">ROUND((D752+E752+F752+G752)*H752,2)</f>
        <v>1.43</v>
      </c>
      <c r="J752" s="74">
        <f t="shared" si="62"/>
        <v>1.43</v>
      </c>
    </row>
    <row r="753" spans="2:10" x14ac:dyDescent="0.25">
      <c r="B753" s="74" t="s">
        <v>1126</v>
      </c>
      <c r="C753" s="74">
        <v>1</v>
      </c>
      <c r="D753" s="74">
        <v>0.25</v>
      </c>
      <c r="E753" s="74">
        <v>0.25</v>
      </c>
      <c r="F753" s="74">
        <v>0.4</v>
      </c>
      <c r="G753" s="74">
        <v>0.4</v>
      </c>
      <c r="H753" s="74">
        <v>1.6</v>
      </c>
      <c r="I753" s="74">
        <f t="shared" si="63"/>
        <v>2.08</v>
      </c>
      <c r="J753" s="74">
        <f t="shared" si="62"/>
        <v>2.08</v>
      </c>
    </row>
    <row r="754" spans="2:10" x14ac:dyDescent="0.25">
      <c r="B754" s="74" t="s">
        <v>1127</v>
      </c>
      <c r="C754" s="74">
        <v>1</v>
      </c>
      <c r="D754" s="74">
        <v>0.25</v>
      </c>
      <c r="E754" s="74">
        <v>0.25</v>
      </c>
      <c r="F754" s="74">
        <v>0.4</v>
      </c>
      <c r="G754" s="74">
        <v>0.4</v>
      </c>
      <c r="H754" s="74">
        <v>1.1000000000000001</v>
      </c>
      <c r="I754" s="74">
        <f t="shared" si="63"/>
        <v>1.43</v>
      </c>
      <c r="J754" s="74">
        <f t="shared" si="62"/>
        <v>1.43</v>
      </c>
    </row>
    <row r="755" spans="2:10" x14ac:dyDescent="0.25">
      <c r="B755" s="74" t="s">
        <v>1145</v>
      </c>
      <c r="C755" s="74">
        <v>2</v>
      </c>
      <c r="D755" s="74">
        <v>0.25</v>
      </c>
      <c r="E755" s="74">
        <v>0.25</v>
      </c>
      <c r="F755" s="74">
        <v>0.4</v>
      </c>
      <c r="G755" s="74">
        <v>0.4</v>
      </c>
      <c r="H755" s="74">
        <v>1.2</v>
      </c>
      <c r="I755" s="74">
        <f t="shared" si="63"/>
        <v>1.56</v>
      </c>
      <c r="J755" s="74">
        <f t="shared" si="62"/>
        <v>3.12</v>
      </c>
    </row>
    <row r="756" spans="2:10" x14ac:dyDescent="0.25">
      <c r="B756" s="74" t="s">
        <v>1131</v>
      </c>
      <c r="C756" s="74">
        <v>1</v>
      </c>
      <c r="D756" s="74">
        <v>0.55000000000000004</v>
      </c>
      <c r="E756" s="74">
        <v>0.55000000000000004</v>
      </c>
      <c r="F756" s="74">
        <v>0.2</v>
      </c>
      <c r="G756" s="74">
        <v>0.2</v>
      </c>
      <c r="H756" s="74">
        <v>1.6</v>
      </c>
      <c r="I756" s="74">
        <f t="shared" si="63"/>
        <v>2.4</v>
      </c>
      <c r="J756" s="74">
        <f t="shared" si="62"/>
        <v>2.4</v>
      </c>
    </row>
    <row r="757" spans="2:10" x14ac:dyDescent="0.25">
      <c r="B757" s="74" t="s">
        <v>1132</v>
      </c>
      <c r="C757" s="74">
        <v>1</v>
      </c>
      <c r="D757" s="74">
        <v>0.4</v>
      </c>
      <c r="E757" s="74">
        <v>0.4</v>
      </c>
      <c r="F757" s="74">
        <v>0.25</v>
      </c>
      <c r="G757" s="74">
        <v>0.25</v>
      </c>
      <c r="H757" s="74">
        <v>1</v>
      </c>
      <c r="I757" s="74">
        <f t="shared" si="63"/>
        <v>1.3</v>
      </c>
      <c r="J757" s="74">
        <f t="shared" si="62"/>
        <v>1.3</v>
      </c>
    </row>
    <row r="758" spans="2:10" x14ac:dyDescent="0.25">
      <c r="B758" s="74" t="s">
        <v>1133</v>
      </c>
      <c r="C758" s="74">
        <v>1</v>
      </c>
      <c r="D758" s="74">
        <v>0.25</v>
      </c>
      <c r="E758" s="74">
        <v>0.25</v>
      </c>
      <c r="F758" s="74">
        <v>0.4</v>
      </c>
      <c r="G758" s="74">
        <v>0.4</v>
      </c>
      <c r="H758" s="74">
        <v>1.1499999999999999</v>
      </c>
      <c r="I758" s="74">
        <f t="shared" si="63"/>
        <v>1.5</v>
      </c>
      <c r="J758" s="74">
        <f t="shared" si="62"/>
        <v>1.5</v>
      </c>
    </row>
    <row r="759" spans="2:10" x14ac:dyDescent="0.25">
      <c r="B759" s="74" t="s">
        <v>1139</v>
      </c>
      <c r="C759" s="74">
        <v>1</v>
      </c>
      <c r="D759" s="74">
        <v>0.25</v>
      </c>
      <c r="E759" s="74">
        <v>0.25</v>
      </c>
      <c r="F759" s="74">
        <v>0.4</v>
      </c>
      <c r="G759" s="74">
        <v>0.4</v>
      </c>
      <c r="H759" s="74">
        <v>1.1000000000000001</v>
      </c>
      <c r="I759" s="74">
        <f t="shared" si="63"/>
        <v>1.43</v>
      </c>
      <c r="J759" s="74">
        <f t="shared" si="62"/>
        <v>1.43</v>
      </c>
    </row>
    <row r="760" spans="2:10" x14ac:dyDescent="0.25">
      <c r="B760" s="74" t="s">
        <v>1140</v>
      </c>
      <c r="C760" s="74">
        <v>1</v>
      </c>
      <c r="D760" s="74">
        <v>0.4</v>
      </c>
      <c r="E760" s="74">
        <v>0.4</v>
      </c>
      <c r="F760" s="74">
        <v>0.4</v>
      </c>
      <c r="G760" s="74">
        <v>0.4</v>
      </c>
      <c r="H760" s="74">
        <v>1.37</v>
      </c>
      <c r="I760" s="74">
        <f t="shared" si="63"/>
        <v>2.19</v>
      </c>
      <c r="J760" s="74">
        <f t="shared" si="62"/>
        <v>2.19</v>
      </c>
    </row>
    <row r="761" spans="2:10" x14ac:dyDescent="0.25">
      <c r="B761" s="74" t="s">
        <v>1146</v>
      </c>
      <c r="C761" s="74">
        <v>1</v>
      </c>
      <c r="D761" s="74">
        <v>0.4</v>
      </c>
      <c r="E761" s="74">
        <v>0.4</v>
      </c>
      <c r="F761" s="74">
        <v>0.4</v>
      </c>
      <c r="G761" s="74">
        <v>0.4</v>
      </c>
      <c r="H761" s="74">
        <v>1.25</v>
      </c>
      <c r="I761" s="74">
        <f t="shared" si="63"/>
        <v>2</v>
      </c>
      <c r="J761" s="74">
        <f t="shared" si="62"/>
        <v>2</v>
      </c>
    </row>
    <row r="762" spans="2:10" x14ac:dyDescent="0.25">
      <c r="B762" s="74" t="s">
        <v>1141</v>
      </c>
      <c r="C762" s="74">
        <v>1</v>
      </c>
      <c r="D762" s="74">
        <v>0.25</v>
      </c>
      <c r="E762" s="74">
        <v>0.25</v>
      </c>
      <c r="F762" s="74">
        <v>0.4</v>
      </c>
      <c r="G762" s="74">
        <v>0.4</v>
      </c>
      <c r="H762" s="74">
        <v>0.95</v>
      </c>
      <c r="I762" s="74">
        <f t="shared" si="63"/>
        <v>1.24</v>
      </c>
      <c r="J762" s="74">
        <f t="shared" si="62"/>
        <v>1.24</v>
      </c>
    </row>
    <row r="763" spans="2:10" x14ac:dyDescent="0.25">
      <c r="B763" s="74" t="s">
        <v>1142</v>
      </c>
      <c r="C763" s="74">
        <v>1</v>
      </c>
      <c r="D763" s="74">
        <v>0.25</v>
      </c>
      <c r="E763" s="74">
        <v>0.25</v>
      </c>
      <c r="F763" s="74">
        <v>0.4</v>
      </c>
      <c r="G763" s="74">
        <v>0.4</v>
      </c>
      <c r="H763" s="74">
        <v>1</v>
      </c>
      <c r="I763" s="74">
        <f t="shared" si="63"/>
        <v>1.3</v>
      </c>
      <c r="J763" s="74">
        <f t="shared" si="62"/>
        <v>1.3</v>
      </c>
    </row>
    <row r="764" spans="2:10" x14ac:dyDescent="0.25">
      <c r="B764" s="74" t="s">
        <v>1147</v>
      </c>
      <c r="C764" s="74">
        <v>1</v>
      </c>
      <c r="D764" s="74">
        <v>0.25</v>
      </c>
      <c r="E764" s="74">
        <v>0.25</v>
      </c>
      <c r="F764" s="74">
        <v>0.4</v>
      </c>
      <c r="G764" s="74">
        <v>0.4</v>
      </c>
      <c r="H764" s="74">
        <v>1.4</v>
      </c>
      <c r="I764" s="74">
        <f t="shared" si="63"/>
        <v>1.82</v>
      </c>
      <c r="J764" s="74">
        <f t="shared" si="62"/>
        <v>1.82</v>
      </c>
    </row>
    <row r="765" spans="2:10" x14ac:dyDescent="0.25">
      <c r="B765" s="74" t="s">
        <v>1148</v>
      </c>
      <c r="C765" s="74">
        <v>1</v>
      </c>
      <c r="D765" s="74">
        <v>0.4</v>
      </c>
      <c r="E765" s="74">
        <v>0.4</v>
      </c>
      <c r="F765" s="74">
        <v>0.2</v>
      </c>
      <c r="G765" s="74">
        <v>0.2</v>
      </c>
      <c r="H765" s="74">
        <v>1.4</v>
      </c>
      <c r="I765" s="74">
        <f t="shared" si="63"/>
        <v>1.68</v>
      </c>
      <c r="J765" s="74">
        <f t="shared" si="62"/>
        <v>1.68</v>
      </c>
    </row>
    <row r="766" spans="2:10" x14ac:dyDescent="0.25">
      <c r="B766" s="74" t="s">
        <v>1143</v>
      </c>
      <c r="C766" s="74">
        <v>1</v>
      </c>
      <c r="D766" s="74">
        <v>0.25</v>
      </c>
      <c r="E766" s="74">
        <v>0.25</v>
      </c>
      <c r="F766" s="74">
        <v>0.4</v>
      </c>
      <c r="G766" s="74">
        <v>0.4</v>
      </c>
      <c r="H766" s="74">
        <v>1.05</v>
      </c>
      <c r="I766" s="74">
        <f t="shared" si="63"/>
        <v>1.37</v>
      </c>
      <c r="J766" s="74">
        <f t="shared" si="62"/>
        <v>1.37</v>
      </c>
    </row>
    <row r="767" spans="2:10" x14ac:dyDescent="0.25">
      <c r="B767" s="74" t="s">
        <v>1149</v>
      </c>
      <c r="C767" s="74">
        <v>1</v>
      </c>
      <c r="D767" s="74">
        <v>0.25</v>
      </c>
      <c r="E767" s="74">
        <v>0.25</v>
      </c>
      <c r="F767" s="74">
        <v>0.4</v>
      </c>
      <c r="G767" s="74">
        <v>0.4</v>
      </c>
      <c r="H767" s="74">
        <v>1</v>
      </c>
      <c r="I767" s="74">
        <f t="shared" si="63"/>
        <v>1.3</v>
      </c>
      <c r="J767" s="74">
        <f t="shared" si="62"/>
        <v>1.3</v>
      </c>
    </row>
    <row r="768" spans="2:10" x14ac:dyDescent="0.25">
      <c r="B768" s="74" t="s">
        <v>1150</v>
      </c>
      <c r="C768" s="74">
        <v>1</v>
      </c>
      <c r="D768" s="74">
        <v>0.25</v>
      </c>
      <c r="E768" s="74">
        <v>0.25</v>
      </c>
      <c r="F768" s="74">
        <v>0.4</v>
      </c>
      <c r="G768" s="74">
        <v>0.4</v>
      </c>
      <c r="H768" s="74">
        <v>1.05</v>
      </c>
      <c r="I768" s="74">
        <f t="shared" si="63"/>
        <v>1.37</v>
      </c>
      <c r="J768" s="74">
        <f t="shared" si="62"/>
        <v>1.37</v>
      </c>
    </row>
    <row r="769" spans="2:10" x14ac:dyDescent="0.25">
      <c r="B769" s="74" t="s">
        <v>1151</v>
      </c>
      <c r="C769" s="74">
        <v>1</v>
      </c>
      <c r="D769" s="74">
        <v>0.4</v>
      </c>
      <c r="E769" s="74">
        <v>0.4</v>
      </c>
      <c r="F769" s="74">
        <v>0.3</v>
      </c>
      <c r="G769" s="74">
        <v>0.3</v>
      </c>
      <c r="H769" s="74">
        <v>0.9</v>
      </c>
      <c r="I769" s="74">
        <f t="shared" si="63"/>
        <v>1.26</v>
      </c>
      <c r="J769" s="74">
        <f t="shared" si="62"/>
        <v>1.26</v>
      </c>
    </row>
    <row r="770" spans="2:10" x14ac:dyDescent="0.25">
      <c r="B770" s="74" t="s">
        <v>1152</v>
      </c>
      <c r="C770" s="74">
        <v>1</v>
      </c>
      <c r="D770" s="74">
        <v>0.3</v>
      </c>
      <c r="E770" s="74">
        <v>0.3</v>
      </c>
      <c r="F770" s="74">
        <v>0.4</v>
      </c>
      <c r="G770" s="74">
        <v>0.4</v>
      </c>
      <c r="H770" s="74">
        <v>0.9</v>
      </c>
      <c r="I770" s="74">
        <f t="shared" si="63"/>
        <v>1.26</v>
      </c>
      <c r="J770" s="74">
        <f t="shared" si="62"/>
        <v>1.26</v>
      </c>
    </row>
    <row r="771" spans="2:10" x14ac:dyDescent="0.25">
      <c r="B771" s="74" t="s">
        <v>1153</v>
      </c>
      <c r="C771" s="74">
        <v>1</v>
      </c>
      <c r="D771" s="74">
        <v>0.4</v>
      </c>
      <c r="E771" s="74">
        <v>0.4</v>
      </c>
      <c r="F771" s="74">
        <v>0.3</v>
      </c>
      <c r="G771" s="74">
        <v>0.3</v>
      </c>
      <c r="H771" s="74">
        <v>1.1000000000000001</v>
      </c>
      <c r="I771" s="74">
        <f t="shared" si="63"/>
        <v>1.54</v>
      </c>
      <c r="J771" s="74">
        <f t="shared" si="62"/>
        <v>1.54</v>
      </c>
    </row>
    <row r="772" spans="2:10" x14ac:dyDescent="0.25">
      <c r="B772" s="74" t="s">
        <v>1154</v>
      </c>
      <c r="C772" s="74">
        <v>1</v>
      </c>
      <c r="D772" s="74">
        <v>0.4</v>
      </c>
      <c r="E772" s="74">
        <v>0.4</v>
      </c>
      <c r="F772" s="74">
        <v>0.3</v>
      </c>
      <c r="G772" s="74">
        <v>0.3</v>
      </c>
      <c r="H772" s="74">
        <v>0.9</v>
      </c>
      <c r="I772" s="74">
        <f t="shared" si="63"/>
        <v>1.26</v>
      </c>
      <c r="J772" s="74">
        <f t="shared" si="62"/>
        <v>1.26</v>
      </c>
    </row>
    <row r="773" spans="2:10" x14ac:dyDescent="0.25">
      <c r="B773" s="74" t="s">
        <v>1155</v>
      </c>
      <c r="C773" s="74">
        <v>1</v>
      </c>
      <c r="D773" s="74">
        <v>0.4</v>
      </c>
      <c r="E773" s="74">
        <v>0.4</v>
      </c>
      <c r="F773" s="74">
        <v>0.3</v>
      </c>
      <c r="G773" s="74">
        <v>0.3</v>
      </c>
      <c r="H773" s="74">
        <v>0.8</v>
      </c>
      <c r="I773" s="74">
        <f t="shared" si="63"/>
        <v>1.1200000000000001</v>
      </c>
      <c r="J773" s="74">
        <f t="shared" si="62"/>
        <v>1.1200000000000001</v>
      </c>
    </row>
    <row r="774" spans="2:10" x14ac:dyDescent="0.25">
      <c r="B774" s="74" t="s">
        <v>1156</v>
      </c>
      <c r="C774" s="74">
        <v>1</v>
      </c>
      <c r="D774" s="74">
        <v>0.2</v>
      </c>
      <c r="E774" s="74">
        <v>0.2</v>
      </c>
      <c r="F774" s="74">
        <v>0.4</v>
      </c>
      <c r="G774" s="74">
        <v>0.4</v>
      </c>
      <c r="H774" s="74">
        <v>0.95</v>
      </c>
      <c r="I774" s="74">
        <f t="shared" si="63"/>
        <v>1.1399999999999999</v>
      </c>
      <c r="J774" s="74">
        <f t="shared" si="62"/>
        <v>1.1399999999999999</v>
      </c>
    </row>
    <row r="775" spans="2:10" x14ac:dyDescent="0.25">
      <c r="B775" s="74" t="s">
        <v>1157</v>
      </c>
      <c r="C775" s="74">
        <v>1</v>
      </c>
      <c r="D775" s="74">
        <v>0.25</v>
      </c>
      <c r="E775" s="74">
        <v>0.25</v>
      </c>
      <c r="F775" s="74">
        <v>0.4</v>
      </c>
      <c r="G775" s="74">
        <v>0.4</v>
      </c>
      <c r="H775" s="74">
        <v>0.6</v>
      </c>
      <c r="I775" s="74">
        <f t="shared" si="63"/>
        <v>0.78</v>
      </c>
      <c r="J775" s="74">
        <f t="shared" si="62"/>
        <v>0.78</v>
      </c>
    </row>
    <row r="776" spans="2:10" x14ac:dyDescent="0.25">
      <c r="B776" s="74" t="s">
        <v>1158</v>
      </c>
      <c r="C776" s="74">
        <v>1</v>
      </c>
      <c r="D776" s="74">
        <v>0.4</v>
      </c>
      <c r="E776" s="74">
        <v>0.4</v>
      </c>
      <c r="F776" s="74">
        <v>0.2</v>
      </c>
      <c r="G776" s="74">
        <v>0.2</v>
      </c>
      <c r="H776" s="74">
        <v>0.9</v>
      </c>
      <c r="I776" s="74">
        <f t="shared" si="63"/>
        <v>1.08</v>
      </c>
      <c r="J776" s="74">
        <f t="shared" si="62"/>
        <v>1.08</v>
      </c>
    </row>
    <row r="777" spans="2:10" x14ac:dyDescent="0.25">
      <c r="B777" s="74" t="s">
        <v>1159</v>
      </c>
      <c r="C777" s="74">
        <v>1</v>
      </c>
      <c r="D777" s="74">
        <v>0.4</v>
      </c>
      <c r="E777" s="74">
        <v>0.4</v>
      </c>
      <c r="F777" s="74">
        <v>0.2</v>
      </c>
      <c r="G777" s="74">
        <v>0.2</v>
      </c>
      <c r="H777" s="74">
        <v>1.1000000000000001</v>
      </c>
      <c r="I777" s="74">
        <f t="shared" si="63"/>
        <v>1.32</v>
      </c>
      <c r="J777" s="74">
        <f t="shared" si="62"/>
        <v>1.32</v>
      </c>
    </row>
    <row r="778" spans="2:10" x14ac:dyDescent="0.25">
      <c r="B778" s="74" t="s">
        <v>1189</v>
      </c>
      <c r="C778" s="74">
        <v>1</v>
      </c>
      <c r="D778" s="74">
        <v>0.4</v>
      </c>
      <c r="E778" s="74">
        <v>0.4</v>
      </c>
      <c r="F778" s="74">
        <v>0.2</v>
      </c>
      <c r="G778" s="74">
        <v>0.2</v>
      </c>
      <c r="H778" s="74">
        <v>1.1499999999999999</v>
      </c>
      <c r="I778" s="74">
        <f t="shared" si="63"/>
        <v>1.38</v>
      </c>
      <c r="J778" s="74">
        <f t="shared" si="62"/>
        <v>1.38</v>
      </c>
    </row>
    <row r="779" spans="2:10" x14ac:dyDescent="0.25">
      <c r="B779" s="74" t="s">
        <v>1190</v>
      </c>
      <c r="C779" s="74">
        <v>1</v>
      </c>
      <c r="D779" s="74">
        <v>0.25</v>
      </c>
      <c r="E779" s="74">
        <v>0.25</v>
      </c>
      <c r="F779" s="74">
        <v>0.4</v>
      </c>
      <c r="G779" s="74">
        <v>0.4</v>
      </c>
      <c r="H779" s="74">
        <v>1.1499999999999999</v>
      </c>
      <c r="I779" s="74">
        <f t="shared" si="63"/>
        <v>1.5</v>
      </c>
      <c r="J779" s="74">
        <f t="shared" si="62"/>
        <v>1.5</v>
      </c>
    </row>
    <row r="780" spans="2:10" x14ac:dyDescent="0.25">
      <c r="B780" s="74" t="s">
        <v>1161</v>
      </c>
      <c r="C780" s="74">
        <v>1</v>
      </c>
      <c r="D780" s="74">
        <v>0.4</v>
      </c>
      <c r="E780" s="74">
        <v>0.4</v>
      </c>
      <c r="F780" s="74">
        <v>0.2</v>
      </c>
      <c r="G780" s="74">
        <v>0.2</v>
      </c>
      <c r="H780" s="74">
        <v>1.3</v>
      </c>
      <c r="I780" s="74">
        <f t="shared" si="63"/>
        <v>1.56</v>
      </c>
      <c r="J780" s="74">
        <f t="shared" si="62"/>
        <v>1.56</v>
      </c>
    </row>
    <row r="781" spans="2:10" x14ac:dyDescent="0.25">
      <c r="B781" s="74" t="s">
        <v>1162</v>
      </c>
      <c r="C781" s="74">
        <v>1</v>
      </c>
      <c r="D781" s="74">
        <v>0.4</v>
      </c>
      <c r="E781" s="74">
        <v>0.4</v>
      </c>
      <c r="F781" s="74">
        <v>0.25</v>
      </c>
      <c r="G781" s="74">
        <v>0.25</v>
      </c>
      <c r="H781" s="74">
        <v>0.9</v>
      </c>
      <c r="I781" s="74">
        <f t="shared" si="63"/>
        <v>1.17</v>
      </c>
      <c r="J781" s="74">
        <f t="shared" si="62"/>
        <v>1.17</v>
      </c>
    </row>
    <row r="782" spans="2:10" x14ac:dyDescent="0.25">
      <c r="B782" s="74" t="s">
        <v>1163</v>
      </c>
      <c r="C782" s="74">
        <v>1</v>
      </c>
      <c r="D782" s="74">
        <v>0.4</v>
      </c>
      <c r="E782" s="74">
        <v>0.4</v>
      </c>
      <c r="F782" s="74">
        <v>0.25</v>
      </c>
      <c r="G782" s="74">
        <v>0.25</v>
      </c>
      <c r="H782" s="74">
        <v>1.1499999999999999</v>
      </c>
      <c r="I782" s="74">
        <f t="shared" si="63"/>
        <v>1.5</v>
      </c>
      <c r="J782" s="74">
        <f t="shared" si="62"/>
        <v>1.5</v>
      </c>
    </row>
    <row r="783" spans="2:10" x14ac:dyDescent="0.25">
      <c r="B783" s="74" t="s">
        <v>1164</v>
      </c>
      <c r="C783" s="74">
        <v>1</v>
      </c>
      <c r="D783" s="74">
        <v>0.4</v>
      </c>
      <c r="E783" s="74">
        <v>0.4</v>
      </c>
      <c r="F783" s="74">
        <v>0.15</v>
      </c>
      <c r="G783" s="74">
        <v>0.15</v>
      </c>
      <c r="H783" s="74">
        <v>1.1000000000000001</v>
      </c>
      <c r="I783" s="74">
        <f t="shared" si="63"/>
        <v>1.21</v>
      </c>
      <c r="J783" s="74">
        <f t="shared" si="62"/>
        <v>1.21</v>
      </c>
    </row>
    <row r="784" spans="2:10" x14ac:dyDescent="0.25">
      <c r="B784" s="74" t="s">
        <v>1165</v>
      </c>
      <c r="C784" s="74">
        <v>1</v>
      </c>
      <c r="D784" s="74">
        <v>0.4</v>
      </c>
      <c r="E784" s="74">
        <v>0.4</v>
      </c>
      <c r="F784" s="74">
        <v>0.25</v>
      </c>
      <c r="G784" s="74">
        <v>0.25</v>
      </c>
      <c r="H784" s="74">
        <v>0.85</v>
      </c>
      <c r="I784" s="74">
        <f t="shared" si="63"/>
        <v>1.1100000000000001</v>
      </c>
      <c r="J784" s="74">
        <f t="shared" si="62"/>
        <v>1.1100000000000001</v>
      </c>
    </row>
    <row r="785" spans="1:10" x14ac:dyDescent="0.25">
      <c r="B785" s="74" t="s">
        <v>1167</v>
      </c>
      <c r="C785" s="74">
        <v>2</v>
      </c>
      <c r="D785" s="74">
        <v>0.3</v>
      </c>
      <c r="E785" s="74">
        <v>0.3</v>
      </c>
      <c r="F785" s="74">
        <v>0.15</v>
      </c>
      <c r="G785" s="74">
        <v>0.15</v>
      </c>
      <c r="H785" s="74">
        <v>1.05</v>
      </c>
      <c r="I785" s="74">
        <f t="shared" si="63"/>
        <v>0.95</v>
      </c>
      <c r="J785" s="74">
        <f t="shared" si="62"/>
        <v>1.9</v>
      </c>
    </row>
    <row r="786" spans="1:10" x14ac:dyDescent="0.25">
      <c r="B786" s="74" t="s">
        <v>1168</v>
      </c>
      <c r="C786" s="74">
        <v>1</v>
      </c>
      <c r="D786" s="74">
        <v>0.4</v>
      </c>
      <c r="E786" s="74">
        <v>0.4</v>
      </c>
      <c r="F786" s="74">
        <v>0.3</v>
      </c>
      <c r="G786" s="74">
        <v>0.3</v>
      </c>
      <c r="H786" s="74">
        <v>1.65</v>
      </c>
      <c r="I786" s="74">
        <f t="shared" si="63"/>
        <v>2.31</v>
      </c>
      <c r="J786" s="74">
        <f t="shared" si="62"/>
        <v>2.31</v>
      </c>
    </row>
    <row r="787" spans="1:10" x14ac:dyDescent="0.25">
      <c r="B787" s="74" t="s">
        <v>1169</v>
      </c>
      <c r="C787" s="74">
        <v>1</v>
      </c>
      <c r="D787" s="74">
        <v>0.4</v>
      </c>
      <c r="E787" s="74">
        <v>0.4</v>
      </c>
      <c r="F787" s="74">
        <v>0.2</v>
      </c>
      <c r="G787" s="74">
        <v>0.2</v>
      </c>
      <c r="H787" s="74">
        <v>1.1000000000000001</v>
      </c>
      <c r="I787" s="74">
        <f t="shared" si="63"/>
        <v>1.32</v>
      </c>
      <c r="J787" s="74">
        <f t="shared" si="62"/>
        <v>1.32</v>
      </c>
    </row>
    <row r="788" spans="1:10" x14ac:dyDescent="0.25">
      <c r="B788" s="74" t="s">
        <v>1170</v>
      </c>
      <c r="C788" s="74">
        <v>1</v>
      </c>
      <c r="D788" s="74">
        <v>0.4</v>
      </c>
      <c r="E788" s="74">
        <v>0.4</v>
      </c>
      <c r="F788" s="74">
        <v>0.2</v>
      </c>
      <c r="G788" s="74">
        <v>0.2</v>
      </c>
      <c r="H788" s="74">
        <v>1</v>
      </c>
      <c r="I788" s="74">
        <f t="shared" si="63"/>
        <v>1.2</v>
      </c>
      <c r="J788" s="74">
        <f t="shared" si="62"/>
        <v>1.2</v>
      </c>
    </row>
    <row r="789" spans="1:10" x14ac:dyDescent="0.25">
      <c r="B789" s="74" t="s">
        <v>1171</v>
      </c>
      <c r="C789" s="74">
        <v>2</v>
      </c>
      <c r="D789" s="74">
        <v>0.4</v>
      </c>
      <c r="E789" s="74">
        <v>0.4</v>
      </c>
      <c r="F789" s="74">
        <v>0.2</v>
      </c>
      <c r="G789" s="74">
        <v>0.2</v>
      </c>
      <c r="H789" s="74">
        <v>1.2</v>
      </c>
      <c r="I789" s="74">
        <f t="shared" si="63"/>
        <v>1.44</v>
      </c>
      <c r="J789" s="74">
        <f t="shared" si="62"/>
        <v>2.88</v>
      </c>
    </row>
    <row r="790" spans="1:10" x14ac:dyDescent="0.25">
      <c r="B790" s="152"/>
      <c r="C790" s="152"/>
      <c r="D790" s="152"/>
      <c r="E790" s="152"/>
      <c r="F790" s="152"/>
      <c r="H790" s="143"/>
    </row>
    <row r="792" spans="1:10" x14ac:dyDescent="0.25">
      <c r="A792" s="81">
        <v>26</v>
      </c>
      <c r="B792" s="82" t="s">
        <v>1047</v>
      </c>
      <c r="C792" s="83"/>
      <c r="D792" s="83"/>
      <c r="E792" s="83"/>
      <c r="F792" s="83"/>
      <c r="G792" s="83"/>
      <c r="H792" s="83"/>
      <c r="I792" s="84"/>
    </row>
    <row r="793" spans="1:10" ht="27.75" customHeight="1" x14ac:dyDescent="0.25">
      <c r="A793" s="85" t="s">
        <v>1086</v>
      </c>
      <c r="B793" s="267" t="str">
        <f>'[1]BM_02.'!B355</f>
        <v>PEDRA ARGAMASSADA COM CIMENTO E AREIA 1:3, 40% DE ARGAMASSA EM VOLUME - AREIA E PEDRA DE MÃO COMERCIAIS - FORNECIMENTO E ASSENTAMENTO. AF_08/2022</v>
      </c>
      <c r="C793" s="268"/>
      <c r="D793" s="268"/>
      <c r="E793" s="268"/>
      <c r="F793" s="268"/>
      <c r="G793" s="268"/>
      <c r="H793" s="268"/>
      <c r="I793" s="269"/>
    </row>
    <row r="794" spans="1:10" x14ac:dyDescent="0.25">
      <c r="A794" s="86"/>
      <c r="B794" s="153"/>
      <c r="C794" s="154"/>
      <c r="D794" s="154"/>
      <c r="E794" s="154"/>
      <c r="F794" s="154"/>
      <c r="G794" s="123" t="s">
        <v>1046</v>
      </c>
      <c r="H794" s="87">
        <f>SUM(H797:H806)</f>
        <v>58.121700000000004</v>
      </c>
      <c r="I794" s="88" t="s">
        <v>1053</v>
      </c>
    </row>
    <row r="795" spans="1:10" x14ac:dyDescent="0.25">
      <c r="A795" s="86"/>
      <c r="B795" s="122"/>
      <c r="C795" s="123"/>
      <c r="D795" s="123"/>
      <c r="E795" s="123"/>
      <c r="F795" s="123"/>
      <c r="G795" s="123" t="s">
        <v>1033</v>
      </c>
      <c r="H795" s="87">
        <v>43.21</v>
      </c>
      <c r="I795" s="88"/>
    </row>
    <row r="796" spans="1:10" x14ac:dyDescent="0.25">
      <c r="A796" s="86"/>
      <c r="B796" s="122"/>
      <c r="C796" s="123"/>
      <c r="D796" s="123"/>
      <c r="E796" s="123"/>
      <c r="F796" s="123"/>
      <c r="G796" s="123" t="s">
        <v>1209</v>
      </c>
      <c r="H796" s="155">
        <f>H794-H795</f>
        <v>14.911700000000003</v>
      </c>
      <c r="I796" s="88"/>
    </row>
    <row r="797" spans="1:10" x14ac:dyDescent="0.25">
      <c r="A797" s="89"/>
      <c r="B797" s="90" t="s">
        <v>1048</v>
      </c>
      <c r="C797" s="91">
        <v>1</v>
      </c>
      <c r="D797" s="91">
        <v>71.010000000000005</v>
      </c>
      <c r="E797" s="91">
        <v>0.3</v>
      </c>
      <c r="F797" s="91">
        <v>0.7</v>
      </c>
      <c r="G797" s="91">
        <f>F797*E797*D797</f>
        <v>14.912100000000001</v>
      </c>
      <c r="H797" s="91">
        <f>C797*G797</f>
        <v>14.912100000000001</v>
      </c>
      <c r="I797" s="91"/>
    </row>
    <row r="798" spans="1:10" x14ac:dyDescent="0.25">
      <c r="A798" s="93"/>
      <c r="B798" s="90" t="s">
        <v>1049</v>
      </c>
      <c r="C798" s="91">
        <v>1</v>
      </c>
      <c r="D798" s="91">
        <v>19.28</v>
      </c>
      <c r="E798" s="91">
        <v>0.3</v>
      </c>
      <c r="F798" s="91">
        <v>0.6</v>
      </c>
      <c r="G798" s="91">
        <f t="shared" ref="G798:G806" si="64">F798*E798*D798</f>
        <v>3.4704000000000002</v>
      </c>
      <c r="H798" s="91">
        <f t="shared" ref="H798:H806" si="65">C798*G798</f>
        <v>3.4704000000000002</v>
      </c>
      <c r="I798" s="91"/>
    </row>
    <row r="799" spans="1:10" x14ac:dyDescent="0.25">
      <c r="A799" s="93"/>
      <c r="B799" s="90"/>
      <c r="C799" s="91">
        <v>1</v>
      </c>
      <c r="D799" s="91">
        <v>8.6300000000000008</v>
      </c>
      <c r="E799" s="91">
        <v>0.3</v>
      </c>
      <c r="F799" s="91">
        <v>0.6</v>
      </c>
      <c r="G799" s="91">
        <f t="shared" si="64"/>
        <v>1.5534000000000001</v>
      </c>
      <c r="H799" s="91">
        <f t="shared" si="65"/>
        <v>1.5534000000000001</v>
      </c>
      <c r="I799" s="91"/>
    </row>
    <row r="800" spans="1:10" x14ac:dyDescent="0.25">
      <c r="A800" s="93"/>
      <c r="B800" s="90"/>
      <c r="C800" s="91">
        <v>1</v>
      </c>
      <c r="D800" s="91">
        <v>30.11</v>
      </c>
      <c r="E800" s="91">
        <v>0.3</v>
      </c>
      <c r="F800" s="91">
        <v>0.7</v>
      </c>
      <c r="G800" s="91">
        <f t="shared" si="64"/>
        <v>6.3230999999999993</v>
      </c>
      <c r="H800" s="91">
        <f t="shared" si="65"/>
        <v>6.3230999999999993</v>
      </c>
      <c r="I800" s="91"/>
    </row>
    <row r="801" spans="1:9" x14ac:dyDescent="0.25">
      <c r="A801" s="93"/>
      <c r="B801" s="90" t="s">
        <v>1050</v>
      </c>
      <c r="C801" s="91">
        <v>1</v>
      </c>
      <c r="D801" s="91">
        <v>22.03</v>
      </c>
      <c r="E801" s="91">
        <v>0.3</v>
      </c>
      <c r="F801" s="91">
        <v>0.75</v>
      </c>
      <c r="G801" s="91">
        <f t="shared" si="64"/>
        <v>4.9567499999999995</v>
      </c>
      <c r="H801" s="91">
        <f t="shared" si="65"/>
        <v>4.9567499999999995</v>
      </c>
      <c r="I801" s="91"/>
    </row>
    <row r="802" spans="1:9" x14ac:dyDescent="0.25">
      <c r="A802" s="93"/>
      <c r="B802" s="90"/>
      <c r="C802" s="91">
        <v>1</v>
      </c>
      <c r="D802" s="91">
        <v>17.98</v>
      </c>
      <c r="E802" s="91">
        <v>0.3</v>
      </c>
      <c r="F802" s="91">
        <v>0.6</v>
      </c>
      <c r="G802" s="91">
        <f t="shared" si="64"/>
        <v>3.2364000000000002</v>
      </c>
      <c r="H802" s="91">
        <f t="shared" si="65"/>
        <v>3.2364000000000002</v>
      </c>
      <c r="I802" s="91"/>
    </row>
    <row r="803" spans="1:9" x14ac:dyDescent="0.25">
      <c r="A803" s="93"/>
      <c r="B803" s="90" t="s">
        <v>1051</v>
      </c>
      <c r="C803" s="91">
        <v>1</v>
      </c>
      <c r="D803" s="91">
        <v>45.81</v>
      </c>
      <c r="E803" s="91">
        <v>0.3</v>
      </c>
      <c r="F803" s="91">
        <v>0.55000000000000004</v>
      </c>
      <c r="G803" s="91">
        <f t="shared" si="64"/>
        <v>7.558650000000001</v>
      </c>
      <c r="H803" s="91">
        <f t="shared" si="65"/>
        <v>7.558650000000001</v>
      </c>
      <c r="I803" s="91"/>
    </row>
    <row r="804" spans="1:9" x14ac:dyDescent="0.25">
      <c r="A804" s="93"/>
      <c r="B804" s="90" t="s">
        <v>1052</v>
      </c>
      <c r="C804" s="91">
        <v>1</v>
      </c>
      <c r="D804" s="91">
        <v>36.46</v>
      </c>
      <c r="E804" s="91">
        <v>0.3</v>
      </c>
      <c r="F804" s="91">
        <v>0.8</v>
      </c>
      <c r="G804" s="91">
        <f t="shared" si="64"/>
        <v>8.7503999999999991</v>
      </c>
      <c r="H804" s="91">
        <f t="shared" si="65"/>
        <v>8.7503999999999991</v>
      </c>
      <c r="I804" s="91"/>
    </row>
    <row r="805" spans="1:9" x14ac:dyDescent="0.25">
      <c r="A805" s="93"/>
      <c r="B805" s="90"/>
      <c r="C805" s="91">
        <v>1</v>
      </c>
      <c r="D805" s="91">
        <v>26.07</v>
      </c>
      <c r="E805" s="91">
        <v>0.3</v>
      </c>
      <c r="F805" s="91">
        <v>0.5</v>
      </c>
      <c r="G805" s="91">
        <f t="shared" si="64"/>
        <v>3.9104999999999999</v>
      </c>
      <c r="H805" s="91">
        <f t="shared" si="65"/>
        <v>3.9104999999999999</v>
      </c>
      <c r="I805" s="91"/>
    </row>
    <row r="806" spans="1:9" x14ac:dyDescent="0.25">
      <c r="A806" s="93"/>
      <c r="B806" s="90"/>
      <c r="C806" s="91">
        <v>1</v>
      </c>
      <c r="D806" s="91">
        <v>23</v>
      </c>
      <c r="E806" s="91">
        <v>0.3</v>
      </c>
      <c r="F806" s="91">
        <v>0.5</v>
      </c>
      <c r="G806" s="91">
        <f t="shared" si="64"/>
        <v>3.4499999999999997</v>
      </c>
      <c r="H806" s="91">
        <f t="shared" si="65"/>
        <v>3.4499999999999997</v>
      </c>
      <c r="I806" s="91"/>
    </row>
    <row r="807" spans="1:9" x14ac:dyDescent="0.25">
      <c r="A807" s="93"/>
      <c r="B807" s="94"/>
      <c r="C807" s="95"/>
      <c r="D807" s="95"/>
      <c r="E807" s="95"/>
      <c r="F807" s="95"/>
      <c r="G807" s="95"/>
      <c r="H807" s="95"/>
      <c r="I807" s="96"/>
    </row>
    <row r="808" spans="1:9" x14ac:dyDescent="0.25">
      <c r="A808" s="85" t="s">
        <v>1088</v>
      </c>
      <c r="B808" s="267" t="str">
        <f>'[1]BM_02.'!B357</f>
        <v>REATERRO MANUAL DE VALAS COM COMPACTAÇÃO MECANIZADA. AF_04/2016</v>
      </c>
      <c r="C808" s="268"/>
      <c r="D808" s="268"/>
      <c r="E808" s="268"/>
      <c r="F808" s="268"/>
      <c r="G808" s="268"/>
      <c r="H808" s="268"/>
      <c r="I808" s="269"/>
    </row>
    <row r="809" spans="1:9" x14ac:dyDescent="0.25">
      <c r="A809" s="86"/>
      <c r="B809" s="153"/>
      <c r="C809" s="154"/>
      <c r="D809" s="154"/>
      <c r="E809" s="154"/>
      <c r="F809" s="154"/>
      <c r="G809" s="154" t="s">
        <v>1046</v>
      </c>
      <c r="H809" s="87">
        <f>ROUND(SUM(H812:H816),2)</f>
        <v>20.239999999999998</v>
      </c>
      <c r="I809" s="88" t="s">
        <v>1053</v>
      </c>
    </row>
    <row r="810" spans="1:9" x14ac:dyDescent="0.25">
      <c r="A810" s="156"/>
      <c r="B810" s="122"/>
      <c r="C810" s="123"/>
      <c r="D810" s="123"/>
      <c r="E810" s="123"/>
      <c r="F810" s="123"/>
      <c r="G810" s="123" t="s">
        <v>1033</v>
      </c>
      <c r="H810" s="87">
        <v>13.03</v>
      </c>
      <c r="I810" s="88"/>
    </row>
    <row r="811" spans="1:9" x14ac:dyDescent="0.25">
      <c r="A811" s="156"/>
      <c r="B811" s="122"/>
      <c r="C811" s="123"/>
      <c r="D811" s="123"/>
      <c r="E811" s="123"/>
      <c r="F811" s="123"/>
      <c r="G811" s="123" t="s">
        <v>1209</v>
      </c>
      <c r="H811" s="157">
        <f>H809-H810</f>
        <v>7.2099999999999991</v>
      </c>
      <c r="I811" s="88"/>
    </row>
    <row r="812" spans="1:9" x14ac:dyDescent="0.25">
      <c r="A812" s="97"/>
      <c r="B812" s="98" t="s">
        <v>1048</v>
      </c>
      <c r="C812" s="91">
        <v>21</v>
      </c>
      <c r="D812" s="99">
        <v>0.7</v>
      </c>
      <c r="E812" s="99">
        <v>0.7</v>
      </c>
      <c r="F812" s="99">
        <v>0.7</v>
      </c>
      <c r="G812" s="91">
        <f>F812*E812*D812</f>
        <v>0.34299999999999992</v>
      </c>
      <c r="H812" s="91">
        <f>C812*G812</f>
        <v>7.2029999999999985</v>
      </c>
      <c r="I812" s="100"/>
    </row>
    <row r="813" spans="1:9" x14ac:dyDescent="0.25">
      <c r="A813" s="97"/>
      <c r="B813" s="98" t="s">
        <v>1049</v>
      </c>
      <c r="C813" s="91">
        <v>13</v>
      </c>
      <c r="D813" s="99">
        <v>0.7</v>
      </c>
      <c r="E813" s="99">
        <v>0.7</v>
      </c>
      <c r="F813" s="99">
        <v>0.5</v>
      </c>
      <c r="G813" s="91">
        <f t="shared" ref="G813:G816" si="66">F813*E813*D813</f>
        <v>0.24499999999999997</v>
      </c>
      <c r="H813" s="91">
        <f t="shared" ref="H813:H816" si="67">C813*G813</f>
        <v>3.1849999999999996</v>
      </c>
      <c r="I813" s="100"/>
    </row>
    <row r="814" spans="1:9" x14ac:dyDescent="0.25">
      <c r="A814" s="97"/>
      <c r="B814" s="98" t="s">
        <v>1050</v>
      </c>
      <c r="C814" s="91">
        <v>25</v>
      </c>
      <c r="D814" s="99">
        <v>0.7</v>
      </c>
      <c r="E814" s="99">
        <v>0.7</v>
      </c>
      <c r="F814" s="99">
        <v>0.2</v>
      </c>
      <c r="G814" s="91">
        <f t="shared" si="66"/>
        <v>9.799999999999999E-2</v>
      </c>
      <c r="H814" s="91">
        <f t="shared" si="67"/>
        <v>2.4499999999999997</v>
      </c>
      <c r="I814" s="100"/>
    </row>
    <row r="815" spans="1:9" x14ac:dyDescent="0.25">
      <c r="A815" s="97"/>
      <c r="B815" s="98" t="s">
        <v>1051</v>
      </c>
      <c r="C815" s="91">
        <v>16</v>
      </c>
      <c r="D815" s="99">
        <v>0.7</v>
      </c>
      <c r="E815" s="99">
        <v>0.7</v>
      </c>
      <c r="F815" s="99">
        <v>0.4</v>
      </c>
      <c r="G815" s="91">
        <f t="shared" si="66"/>
        <v>0.19599999999999998</v>
      </c>
      <c r="H815" s="91">
        <f t="shared" si="67"/>
        <v>3.1359999999999997</v>
      </c>
      <c r="I815" s="100"/>
    </row>
    <row r="816" spans="1:9" x14ac:dyDescent="0.25">
      <c r="A816" s="97"/>
      <c r="B816" s="98" t="s">
        <v>1052</v>
      </c>
      <c r="C816" s="91">
        <v>29</v>
      </c>
      <c r="D816" s="99">
        <v>0.7</v>
      </c>
      <c r="E816" s="99">
        <v>0.7</v>
      </c>
      <c r="F816" s="99">
        <v>0.3</v>
      </c>
      <c r="G816" s="91">
        <f t="shared" si="66"/>
        <v>0.14699999999999999</v>
      </c>
      <c r="H816" s="91">
        <f t="shared" si="67"/>
        <v>4.2629999999999999</v>
      </c>
      <c r="I816" s="100"/>
    </row>
    <row r="817" spans="1:9" x14ac:dyDescent="0.25">
      <c r="A817" s="97"/>
      <c r="B817" s="101"/>
      <c r="C817" s="101"/>
      <c r="D817" s="101"/>
      <c r="E817" s="101"/>
      <c r="F817" s="101"/>
      <c r="G817" s="101"/>
      <c r="H817" s="102"/>
      <c r="I817" s="103"/>
    </row>
    <row r="818" spans="1:9" x14ac:dyDescent="0.25">
      <c r="A818" s="85" t="s">
        <v>1091</v>
      </c>
      <c r="B818" s="267" t="str">
        <f>'[1]BM_02.'!B360</f>
        <v>ALVENARIA DE TIJOLO CERÂMICO FURADO (9x19x19)cm C/ARGAMASSA MISTA DE CAL HIDRATADA ESP=20 cm</v>
      </c>
      <c r="C818" s="268"/>
      <c r="D818" s="268"/>
      <c r="E818" s="268"/>
      <c r="F818" s="268"/>
      <c r="G818" s="268"/>
      <c r="H818" s="268"/>
      <c r="I818" s="269"/>
    </row>
    <row r="819" spans="1:9" x14ac:dyDescent="0.25">
      <c r="A819" s="86"/>
      <c r="B819" s="153"/>
      <c r="C819" s="154"/>
      <c r="D819" s="154"/>
      <c r="E819" s="154"/>
      <c r="F819" s="154"/>
      <c r="G819" s="154" t="s">
        <v>1046</v>
      </c>
      <c r="H819" s="87">
        <f>ROUND(SUM(H822:H824),2)</f>
        <v>69.23</v>
      </c>
      <c r="I819" s="88" t="s">
        <v>1054</v>
      </c>
    </row>
    <row r="820" spans="1:9" x14ac:dyDescent="0.25">
      <c r="A820" s="86"/>
      <c r="B820" s="122"/>
      <c r="C820" s="123"/>
      <c r="D820" s="123"/>
      <c r="E820" s="123"/>
      <c r="F820" s="123"/>
      <c r="G820" s="123" t="s">
        <v>1033</v>
      </c>
      <c r="H820" s="87">
        <v>47.93</v>
      </c>
      <c r="I820" s="88"/>
    </row>
    <row r="821" spans="1:9" x14ac:dyDescent="0.25">
      <c r="A821" s="86"/>
      <c r="B821" s="122"/>
      <c r="C821" s="123"/>
      <c r="D821" s="123"/>
      <c r="E821" s="123"/>
      <c r="F821" s="123"/>
      <c r="G821" s="123" t="s">
        <v>1209</v>
      </c>
      <c r="H821" s="87">
        <f>H819-H820</f>
        <v>21.300000000000004</v>
      </c>
      <c r="I821" s="88"/>
    </row>
    <row r="822" spans="1:9" x14ac:dyDescent="0.25">
      <c r="A822" s="89"/>
      <c r="B822" s="90" t="s">
        <v>1048</v>
      </c>
      <c r="C822" s="91">
        <v>1</v>
      </c>
      <c r="D822" s="91">
        <v>71</v>
      </c>
      <c r="E822" s="91">
        <v>0.3</v>
      </c>
      <c r="F822" s="91"/>
      <c r="G822" s="91">
        <f>E822*D822</f>
        <v>21.3</v>
      </c>
      <c r="H822" s="91">
        <f>C822*G822</f>
        <v>21.3</v>
      </c>
      <c r="I822" s="91"/>
    </row>
    <row r="823" spans="1:9" x14ac:dyDescent="0.25">
      <c r="A823" s="93"/>
      <c r="B823" s="90" t="s">
        <v>1050</v>
      </c>
      <c r="C823" s="91">
        <v>1</v>
      </c>
      <c r="D823" s="91">
        <v>74.31</v>
      </c>
      <c r="E823" s="91">
        <v>0.3</v>
      </c>
      <c r="F823" s="91"/>
      <c r="G823" s="91">
        <f t="shared" ref="G823:G824" si="68">E823*D823</f>
        <v>22.292999999999999</v>
      </c>
      <c r="H823" s="91">
        <f t="shared" ref="H823:H824" si="69">C823*G823</f>
        <v>22.292999999999999</v>
      </c>
      <c r="I823" s="91"/>
    </row>
    <row r="824" spans="1:9" x14ac:dyDescent="0.25">
      <c r="A824" s="93"/>
      <c r="B824" s="90" t="s">
        <v>1052</v>
      </c>
      <c r="C824" s="91">
        <v>1</v>
      </c>
      <c r="D824" s="91">
        <v>85.44</v>
      </c>
      <c r="E824" s="91">
        <v>0.3</v>
      </c>
      <c r="F824" s="91"/>
      <c r="G824" s="91">
        <f t="shared" si="68"/>
        <v>25.631999999999998</v>
      </c>
      <c r="H824" s="91">
        <f t="shared" si="69"/>
        <v>25.631999999999998</v>
      </c>
      <c r="I824" s="91"/>
    </row>
    <row r="825" spans="1:9" x14ac:dyDescent="0.25">
      <c r="A825" s="93"/>
      <c r="B825" s="94"/>
      <c r="C825" s="95"/>
      <c r="D825" s="95"/>
      <c r="E825" s="95"/>
      <c r="F825" s="95"/>
      <c r="G825" s="95"/>
      <c r="H825" s="95"/>
      <c r="I825" s="96"/>
    </row>
    <row r="826" spans="1:9" ht="26.25" customHeight="1" x14ac:dyDescent="0.25">
      <c r="A826" s="85" t="s">
        <v>1092</v>
      </c>
      <c r="B826" s="267" t="str">
        <f>'[1]BM_02.'!B361</f>
        <v>ALVENARIA DE VEDAÇÃO DE BLOCOS CERÂMICOS FURADOS NA HORIZONTAL DE 9X19X19 CM (ESPESSURA 9 CM) E ARGAMASSA DE ASSENTAMENTO COM PREPARO EM BETONEIRA. AF_12/2021</v>
      </c>
      <c r="C826" s="268"/>
      <c r="D826" s="268"/>
      <c r="E826" s="268"/>
      <c r="F826" s="268"/>
      <c r="G826" s="268"/>
      <c r="H826" s="268"/>
      <c r="I826" s="269"/>
    </row>
    <row r="827" spans="1:9" x14ac:dyDescent="0.25">
      <c r="A827" s="86"/>
      <c r="B827" s="270"/>
      <c r="C827" s="271"/>
      <c r="D827" s="271"/>
      <c r="E827" s="271"/>
      <c r="F827" s="271"/>
      <c r="G827" s="272"/>
      <c r="H827" s="155">
        <f>ROUND(SUM(H828:H834),2)</f>
        <v>384.81</v>
      </c>
      <c r="I827" s="88" t="s">
        <v>1054</v>
      </c>
    </row>
    <row r="828" spans="1:9" x14ac:dyDescent="0.25">
      <c r="A828" s="104"/>
      <c r="B828" s="105" t="s">
        <v>1048</v>
      </c>
      <c r="C828" s="91">
        <v>1</v>
      </c>
      <c r="D828" s="91">
        <v>71</v>
      </c>
      <c r="E828" s="91">
        <v>0.6</v>
      </c>
      <c r="F828" s="91"/>
      <c r="G828" s="91">
        <f>E828*D828</f>
        <v>42.6</v>
      </c>
      <c r="H828" s="91">
        <f>C828*G828</f>
        <v>42.6</v>
      </c>
      <c r="I828" s="96"/>
    </row>
    <row r="829" spans="1:9" x14ac:dyDescent="0.25">
      <c r="A829" s="104"/>
      <c r="B829" s="105" t="s">
        <v>1049</v>
      </c>
      <c r="C829" s="91">
        <v>1</v>
      </c>
      <c r="D829" s="91">
        <v>37.57</v>
      </c>
      <c r="E829" s="91">
        <v>0.6</v>
      </c>
      <c r="F829" s="91"/>
      <c r="G829" s="91">
        <f t="shared" ref="G829:G834" si="70">E829*D829</f>
        <v>22.541999999999998</v>
      </c>
      <c r="H829" s="91">
        <f t="shared" ref="H829:H832" si="71">C829*G829</f>
        <v>22.541999999999998</v>
      </c>
      <c r="I829" s="96"/>
    </row>
    <row r="830" spans="1:9" x14ac:dyDescent="0.25">
      <c r="A830" s="104"/>
      <c r="B830" s="105" t="s">
        <v>1050</v>
      </c>
      <c r="C830" s="91">
        <v>1</v>
      </c>
      <c r="D830" s="91">
        <v>73.989999999999995</v>
      </c>
      <c r="E830" s="91">
        <v>0.6</v>
      </c>
      <c r="F830" s="91"/>
      <c r="G830" s="91">
        <f t="shared" si="70"/>
        <v>44.393999999999998</v>
      </c>
      <c r="H830" s="91">
        <f t="shared" si="71"/>
        <v>44.393999999999998</v>
      </c>
      <c r="I830" s="96"/>
    </row>
    <row r="831" spans="1:9" x14ac:dyDescent="0.25">
      <c r="A831" s="104"/>
      <c r="B831" s="105" t="s">
        <v>1051</v>
      </c>
      <c r="C831" s="91">
        <v>1</v>
      </c>
      <c r="D831" s="91">
        <v>45.81</v>
      </c>
      <c r="E831" s="91">
        <v>2.2999999999999998</v>
      </c>
      <c r="F831" s="91"/>
      <c r="G831" s="91">
        <f t="shared" si="70"/>
        <v>105.363</v>
      </c>
      <c r="H831" s="91">
        <f t="shared" si="71"/>
        <v>105.363</v>
      </c>
      <c r="I831" s="96"/>
    </row>
    <row r="832" spans="1:9" x14ac:dyDescent="0.25">
      <c r="A832" s="104"/>
      <c r="B832" s="105" t="s">
        <v>1052</v>
      </c>
      <c r="C832" s="91">
        <v>1</v>
      </c>
      <c r="D832" s="91">
        <v>85.44</v>
      </c>
      <c r="E832" s="91">
        <v>2.2999999999999998</v>
      </c>
      <c r="F832" s="91"/>
      <c r="G832" s="91">
        <f t="shared" si="70"/>
        <v>196.51199999999997</v>
      </c>
      <c r="H832" s="91">
        <f t="shared" si="71"/>
        <v>196.51199999999997</v>
      </c>
      <c r="I832" s="96"/>
    </row>
    <row r="833" spans="1:9" x14ac:dyDescent="0.25">
      <c r="A833" s="104"/>
      <c r="B833" s="105" t="s">
        <v>1055</v>
      </c>
      <c r="C833" s="91">
        <v>59</v>
      </c>
      <c r="D833" s="91">
        <v>0.2</v>
      </c>
      <c r="E833" s="91">
        <v>0.5</v>
      </c>
      <c r="F833" s="91"/>
      <c r="G833" s="91">
        <f t="shared" si="70"/>
        <v>0.1</v>
      </c>
      <c r="H833" s="91">
        <f>-C833*G833</f>
        <v>-5.9</v>
      </c>
      <c r="I833" s="96"/>
    </row>
    <row r="834" spans="1:9" x14ac:dyDescent="0.25">
      <c r="A834" s="104"/>
      <c r="B834" s="105" t="s">
        <v>1056</v>
      </c>
      <c r="C834" s="91">
        <v>45</v>
      </c>
      <c r="D834" s="91">
        <v>0.2</v>
      </c>
      <c r="E834" s="91">
        <v>2.2999999999999998</v>
      </c>
      <c r="F834" s="91"/>
      <c r="G834" s="91">
        <f t="shared" si="70"/>
        <v>0.45999999999999996</v>
      </c>
      <c r="H834" s="91">
        <f>-C834*G834</f>
        <v>-20.7</v>
      </c>
      <c r="I834" s="96"/>
    </row>
    <row r="835" spans="1:9" x14ac:dyDescent="0.25">
      <c r="A835" s="104"/>
      <c r="B835" s="105"/>
      <c r="C835" s="91"/>
      <c r="D835" s="91"/>
      <c r="E835" s="91"/>
      <c r="F835" s="91"/>
      <c r="G835" s="91"/>
      <c r="H835" s="91"/>
      <c r="I835" s="96"/>
    </row>
    <row r="836" spans="1:9" ht="27" customHeight="1" x14ac:dyDescent="0.25">
      <c r="A836" s="85" t="s">
        <v>1094</v>
      </c>
      <c r="B836" s="267" t="str">
        <f>'[1]BM_02.'!B363</f>
        <v>FABRICAÇÃO, MONTAGEM E DESMONTAGEM DE FÔRMA PARA VIGA BALDRAME, EM CHAPA DE MADEIRA COMPENSADA RESINADA, E=17 MM, 4 UTILIZAÇÕES. AF_06/2017</v>
      </c>
      <c r="C836" s="268"/>
      <c r="D836" s="268"/>
      <c r="E836" s="268"/>
      <c r="F836" s="268"/>
      <c r="G836" s="268"/>
      <c r="H836" s="268"/>
      <c r="I836" s="269"/>
    </row>
    <row r="837" spans="1:9" x14ac:dyDescent="0.25">
      <c r="A837" s="86"/>
      <c r="B837" s="270"/>
      <c r="C837" s="271"/>
      <c r="D837" s="271"/>
      <c r="E837" s="271"/>
      <c r="F837" s="271"/>
      <c r="G837" s="271"/>
      <c r="H837" s="157">
        <f>ROUND(SUM(H838:H839),2)</f>
        <v>52.5</v>
      </c>
      <c r="I837" s="88" t="s">
        <v>1054</v>
      </c>
    </row>
    <row r="838" spans="1:9" x14ac:dyDescent="0.25">
      <c r="A838" s="89"/>
      <c r="B838" s="90" t="s">
        <v>1051</v>
      </c>
      <c r="C838" s="91">
        <v>1</v>
      </c>
      <c r="D838" s="91">
        <v>45.81</v>
      </c>
      <c r="E838" s="91">
        <v>0.4</v>
      </c>
      <c r="F838" s="91"/>
      <c r="G838" s="91">
        <f>E838*D838</f>
        <v>18.324000000000002</v>
      </c>
      <c r="H838" s="91">
        <f>C838*G838</f>
        <v>18.324000000000002</v>
      </c>
      <c r="I838" s="91"/>
    </row>
    <row r="839" spans="1:9" x14ac:dyDescent="0.25">
      <c r="A839" s="93"/>
      <c r="B839" s="90" t="s">
        <v>1052</v>
      </c>
      <c r="C839" s="91">
        <v>1</v>
      </c>
      <c r="D839" s="91">
        <v>85.44</v>
      </c>
      <c r="E839" s="91">
        <v>0.4</v>
      </c>
      <c r="F839" s="91"/>
      <c r="G839" s="91">
        <f t="shared" ref="G839" si="72">E839*D839</f>
        <v>34.176000000000002</v>
      </c>
      <c r="H839" s="91">
        <f t="shared" ref="H839" si="73">C839*G839</f>
        <v>34.176000000000002</v>
      </c>
      <c r="I839" s="91"/>
    </row>
    <row r="840" spans="1:9" x14ac:dyDescent="0.25">
      <c r="A840" s="93"/>
      <c r="B840" s="90"/>
      <c r="C840" s="91"/>
      <c r="D840" s="91"/>
      <c r="E840" s="91"/>
      <c r="F840" s="91"/>
      <c r="G840" s="91"/>
      <c r="H840" s="91"/>
      <c r="I840" s="91"/>
    </row>
    <row r="841" spans="1:9" x14ac:dyDescent="0.25">
      <c r="A841" s="93"/>
      <c r="B841" s="90"/>
      <c r="C841" s="91"/>
      <c r="D841" s="91"/>
      <c r="E841" s="91"/>
      <c r="F841" s="91"/>
      <c r="G841" s="91"/>
      <c r="H841" s="91"/>
      <c r="I841" s="91"/>
    </row>
    <row r="842" spans="1:9" ht="27" customHeight="1" x14ac:dyDescent="0.25">
      <c r="A842" s="85" t="s">
        <v>1095</v>
      </c>
      <c r="B842" s="267" t="str">
        <f>'[1]BM_02.'!B364</f>
        <v>MONTAGEM E DESMONTAGEM DE FÔRMA DE PILARES RETANGULARES E ESTRUTURAS SIMILARES, PÉ-DIREITO SIMPLES, EM CHAPA DE MADEIRA COMPENSADA RESINADA, 6 UTILIZAÇÕES. AF_09/2020</v>
      </c>
      <c r="C842" s="268"/>
      <c r="D842" s="268"/>
      <c r="E842" s="268"/>
      <c r="F842" s="268"/>
      <c r="G842" s="268"/>
      <c r="H842" s="268"/>
      <c r="I842" s="269"/>
    </row>
    <row r="843" spans="1:9" x14ac:dyDescent="0.25">
      <c r="A843" s="86"/>
      <c r="B843" s="153"/>
      <c r="C843" s="154"/>
      <c r="D843" s="154"/>
      <c r="E843" s="154"/>
      <c r="F843" s="154"/>
      <c r="G843" s="154" t="s">
        <v>1046</v>
      </c>
      <c r="H843" s="87">
        <f>ROUND(SUM(H846:H857),2)</f>
        <v>136.56</v>
      </c>
      <c r="I843" s="88" t="s">
        <v>1054</v>
      </c>
    </row>
    <row r="844" spans="1:9" x14ac:dyDescent="0.25">
      <c r="A844" s="86"/>
      <c r="B844" s="122"/>
      <c r="C844" s="123"/>
      <c r="D844" s="123"/>
      <c r="E844" s="123"/>
      <c r="F844" s="123"/>
      <c r="G844" s="123" t="s">
        <v>1033</v>
      </c>
      <c r="H844" s="87">
        <v>33.04</v>
      </c>
      <c r="I844" s="88"/>
    </row>
    <row r="845" spans="1:9" x14ac:dyDescent="0.25">
      <c r="A845" s="86"/>
      <c r="B845" s="122"/>
      <c r="C845" s="123"/>
      <c r="D845" s="123"/>
      <c r="E845" s="123"/>
      <c r="F845" s="123"/>
      <c r="G845" s="123" t="s">
        <v>1209</v>
      </c>
      <c r="H845" s="87">
        <f>H843-H844</f>
        <v>103.52000000000001</v>
      </c>
      <c r="I845" s="88"/>
    </row>
    <row r="846" spans="1:9" x14ac:dyDescent="0.25">
      <c r="A846" s="89"/>
      <c r="B846" s="90" t="s">
        <v>1057</v>
      </c>
      <c r="C846" s="91"/>
      <c r="D846" s="91"/>
      <c r="E846" s="91"/>
      <c r="F846" s="91"/>
      <c r="G846" s="91"/>
      <c r="H846" s="91"/>
      <c r="I846" s="91"/>
    </row>
    <row r="847" spans="1:9" x14ac:dyDescent="0.25">
      <c r="A847" s="93"/>
      <c r="B847" s="90" t="s">
        <v>1048</v>
      </c>
      <c r="C847" s="91">
        <v>21</v>
      </c>
      <c r="D847" s="91">
        <v>0.8</v>
      </c>
      <c r="E847" s="91">
        <v>0.7</v>
      </c>
      <c r="F847" s="91"/>
      <c r="G847" s="91">
        <f>E847*D847</f>
        <v>0.55999999999999994</v>
      </c>
      <c r="H847" s="91">
        <f>G847*C847</f>
        <v>11.759999999999998</v>
      </c>
      <c r="I847" s="91"/>
    </row>
    <row r="848" spans="1:9" x14ac:dyDescent="0.25">
      <c r="A848" s="93"/>
      <c r="B848" s="90" t="s">
        <v>1049</v>
      </c>
      <c r="C848" s="91">
        <v>13</v>
      </c>
      <c r="D848" s="91">
        <v>0.8</v>
      </c>
      <c r="E848" s="91">
        <v>0.6</v>
      </c>
      <c r="F848" s="91"/>
      <c r="G848" s="91">
        <f t="shared" ref="G848:G851" si="74">E848*D848</f>
        <v>0.48</v>
      </c>
      <c r="H848" s="91">
        <f t="shared" ref="H848:H851" si="75">G848*C848</f>
        <v>6.24</v>
      </c>
      <c r="I848" s="91"/>
    </row>
    <row r="849" spans="1:9" x14ac:dyDescent="0.25">
      <c r="A849" s="93"/>
      <c r="B849" s="90" t="s">
        <v>1050</v>
      </c>
      <c r="C849" s="91">
        <v>25</v>
      </c>
      <c r="D849" s="91">
        <v>0.8</v>
      </c>
      <c r="E849" s="91">
        <v>0.4</v>
      </c>
      <c r="F849" s="91"/>
      <c r="G849" s="91">
        <f t="shared" si="74"/>
        <v>0.32000000000000006</v>
      </c>
      <c r="H849" s="91">
        <f t="shared" si="75"/>
        <v>8.0000000000000018</v>
      </c>
      <c r="I849" s="91"/>
    </row>
    <row r="850" spans="1:9" x14ac:dyDescent="0.25">
      <c r="A850" s="93"/>
      <c r="B850" s="90" t="s">
        <v>1051</v>
      </c>
      <c r="C850" s="91">
        <v>16</v>
      </c>
      <c r="D850" s="91">
        <v>0.8</v>
      </c>
      <c r="E850" s="91">
        <v>0.7</v>
      </c>
      <c r="F850" s="91"/>
      <c r="G850" s="91">
        <f t="shared" si="74"/>
        <v>0.55999999999999994</v>
      </c>
      <c r="H850" s="91">
        <f t="shared" si="75"/>
        <v>8.9599999999999991</v>
      </c>
      <c r="I850" s="91"/>
    </row>
    <row r="851" spans="1:9" x14ac:dyDescent="0.25">
      <c r="A851" s="93"/>
      <c r="B851" s="90" t="s">
        <v>1052</v>
      </c>
      <c r="C851" s="91">
        <v>29</v>
      </c>
      <c r="D851" s="91">
        <v>0.8</v>
      </c>
      <c r="E851" s="91">
        <v>0.5</v>
      </c>
      <c r="F851" s="91"/>
      <c r="G851" s="91">
        <f t="shared" si="74"/>
        <v>0.4</v>
      </c>
      <c r="H851" s="91">
        <f t="shared" si="75"/>
        <v>11.600000000000001</v>
      </c>
      <c r="I851" s="91"/>
    </row>
    <row r="852" spans="1:9" x14ac:dyDescent="0.25">
      <c r="A852" s="93"/>
      <c r="B852" s="90" t="s">
        <v>1058</v>
      </c>
      <c r="C852" s="91"/>
      <c r="D852" s="91"/>
      <c r="E852" s="91"/>
      <c r="F852" s="91"/>
      <c r="G852" s="91"/>
      <c r="H852" s="91"/>
      <c r="I852" s="91"/>
    </row>
    <row r="853" spans="1:9" x14ac:dyDescent="0.25">
      <c r="A853" s="93"/>
      <c r="B853" s="90" t="s">
        <v>1048</v>
      </c>
      <c r="C853" s="91"/>
      <c r="D853" s="91">
        <v>0.8</v>
      </c>
      <c r="E853" s="91">
        <v>0.6</v>
      </c>
      <c r="F853" s="91"/>
      <c r="G853" s="91">
        <f>E853*D853</f>
        <v>0.48</v>
      </c>
      <c r="H853" s="91">
        <f>G853*C853</f>
        <v>0</v>
      </c>
      <c r="I853" s="91"/>
    </row>
    <row r="854" spans="1:9" x14ac:dyDescent="0.25">
      <c r="A854" s="93"/>
      <c r="B854" s="90" t="s">
        <v>1049</v>
      </c>
      <c r="C854" s="91"/>
      <c r="D854" s="91">
        <v>0.8</v>
      </c>
      <c r="E854" s="91">
        <v>0.6</v>
      </c>
      <c r="F854" s="91"/>
      <c r="G854" s="91">
        <f t="shared" ref="G854:G857" si="76">E854*D854</f>
        <v>0.48</v>
      </c>
      <c r="H854" s="91">
        <f t="shared" ref="H854:H857" si="77">G854*C854</f>
        <v>0</v>
      </c>
      <c r="I854" s="91"/>
    </row>
    <row r="855" spans="1:9" x14ac:dyDescent="0.25">
      <c r="A855" s="93"/>
      <c r="B855" s="90" t="s">
        <v>1050</v>
      </c>
      <c r="C855" s="91"/>
      <c r="D855" s="91">
        <v>0.8</v>
      </c>
      <c r="E855" s="91">
        <v>0.6</v>
      </c>
      <c r="F855" s="91"/>
      <c r="G855" s="91">
        <f t="shared" si="76"/>
        <v>0.48</v>
      </c>
      <c r="H855" s="91">
        <f t="shared" si="77"/>
        <v>0</v>
      </c>
      <c r="I855" s="91"/>
    </row>
    <row r="856" spans="1:9" x14ac:dyDescent="0.25">
      <c r="A856" s="93"/>
      <c r="B856" s="90" t="s">
        <v>1051</v>
      </c>
      <c r="C856" s="91">
        <v>16</v>
      </c>
      <c r="D856" s="91">
        <v>0.8</v>
      </c>
      <c r="E856" s="91">
        <v>2.5</v>
      </c>
      <c r="F856" s="91"/>
      <c r="G856" s="91">
        <f t="shared" si="76"/>
        <v>2</v>
      </c>
      <c r="H856" s="91">
        <f t="shared" si="77"/>
        <v>32</v>
      </c>
      <c r="I856" s="91"/>
    </row>
    <row r="857" spans="1:9" x14ac:dyDescent="0.25">
      <c r="A857" s="93"/>
      <c r="B857" s="90" t="s">
        <v>1052</v>
      </c>
      <c r="C857" s="91">
        <v>29</v>
      </c>
      <c r="D857" s="91">
        <v>0.8</v>
      </c>
      <c r="E857" s="91">
        <v>2.5</v>
      </c>
      <c r="F857" s="91"/>
      <c r="G857" s="91">
        <f t="shared" si="76"/>
        <v>2</v>
      </c>
      <c r="H857" s="91">
        <f t="shared" si="77"/>
        <v>58</v>
      </c>
      <c r="I857" s="91"/>
    </row>
    <row r="858" spans="1:9" x14ac:dyDescent="0.25">
      <c r="A858" s="93"/>
      <c r="B858" s="90"/>
      <c r="C858" s="91"/>
      <c r="D858" s="91"/>
      <c r="E858" s="91"/>
      <c r="F858" s="91"/>
      <c r="G858" s="91"/>
      <c r="H858" s="91"/>
      <c r="I858" s="91"/>
    </row>
    <row r="859" spans="1:9" ht="30" customHeight="1" x14ac:dyDescent="0.25">
      <c r="A859" s="85" t="s">
        <v>1096</v>
      </c>
      <c r="B859" s="267" t="str">
        <f>'[1]BM_02.'!B365</f>
        <v>MONTAGEM E DESMONTAGEM DE FÔRMA DE VIGA, ESCORAMENTO METÁLICO, PÉ-DIREITO SIMPLES, EM CHAPA DE MADEIRA RESINADA, 6 UTILIZAÇÕES. AF_09/2020</v>
      </c>
      <c r="C859" s="268"/>
      <c r="D859" s="268"/>
      <c r="E859" s="268"/>
      <c r="F859" s="268"/>
      <c r="G859" s="268"/>
      <c r="H859" s="268"/>
      <c r="I859" s="269"/>
    </row>
    <row r="860" spans="1:9" x14ac:dyDescent="0.25">
      <c r="A860" s="86"/>
      <c r="B860" s="270"/>
      <c r="C860" s="271"/>
      <c r="D860" s="271"/>
      <c r="E860" s="271"/>
      <c r="F860" s="271"/>
      <c r="G860" s="271"/>
      <c r="H860" s="87">
        <f>ROUND(SUM(H861:H865),2)</f>
        <v>0</v>
      </c>
      <c r="I860" s="88" t="s">
        <v>1054</v>
      </c>
    </row>
    <row r="861" spans="1:9" x14ac:dyDescent="0.25">
      <c r="A861" s="93"/>
      <c r="B861" s="90" t="s">
        <v>1048</v>
      </c>
      <c r="C861" s="91">
        <v>0</v>
      </c>
      <c r="D861" s="91">
        <v>71.010000000000005</v>
      </c>
      <c r="E861" s="91">
        <v>0.2</v>
      </c>
      <c r="F861" s="91"/>
      <c r="G861" s="91">
        <f>E861*D861</f>
        <v>14.202000000000002</v>
      </c>
      <c r="H861" s="91">
        <f t="shared" ref="H861:H865" si="78">G861*C861</f>
        <v>0</v>
      </c>
      <c r="I861" s="91"/>
    </row>
    <row r="862" spans="1:9" x14ac:dyDescent="0.25">
      <c r="A862" s="93"/>
      <c r="B862" s="90" t="s">
        <v>1049</v>
      </c>
      <c r="C862" s="91">
        <v>0</v>
      </c>
      <c r="D862" s="91">
        <v>37.479999999999997</v>
      </c>
      <c r="E862" s="91">
        <v>0.2</v>
      </c>
      <c r="F862" s="91"/>
      <c r="G862" s="91">
        <f t="shared" ref="G862:G865" si="79">E862*D862</f>
        <v>7.4959999999999996</v>
      </c>
      <c r="H862" s="91">
        <f t="shared" si="78"/>
        <v>0</v>
      </c>
      <c r="I862" s="91"/>
    </row>
    <row r="863" spans="1:9" x14ac:dyDescent="0.25">
      <c r="A863" s="89"/>
      <c r="B863" s="90" t="s">
        <v>1050</v>
      </c>
      <c r="C863" s="91">
        <v>0</v>
      </c>
      <c r="D863" s="91">
        <v>74.31</v>
      </c>
      <c r="E863" s="91">
        <v>0.2</v>
      </c>
      <c r="F863" s="91"/>
      <c r="G863" s="91">
        <f t="shared" si="79"/>
        <v>14.862000000000002</v>
      </c>
      <c r="H863" s="91">
        <f t="shared" si="78"/>
        <v>0</v>
      </c>
      <c r="I863" s="91"/>
    </row>
    <row r="864" spans="1:9" x14ac:dyDescent="0.25">
      <c r="A864" s="106"/>
      <c r="B864" s="106" t="s">
        <v>1051</v>
      </c>
      <c r="C864" s="91">
        <v>0</v>
      </c>
      <c r="D864" s="107">
        <v>45.81</v>
      </c>
      <c r="E864" s="107">
        <v>0.2</v>
      </c>
      <c r="F864" s="106"/>
      <c r="G864" s="91">
        <f t="shared" si="79"/>
        <v>9.1620000000000008</v>
      </c>
      <c r="H864" s="91">
        <f t="shared" si="78"/>
        <v>0</v>
      </c>
      <c r="I864" s="106"/>
    </row>
    <row r="865" spans="1:9" x14ac:dyDescent="0.25">
      <c r="A865" s="106"/>
      <c r="B865" s="106" t="s">
        <v>1052</v>
      </c>
      <c r="C865" s="91">
        <v>0</v>
      </c>
      <c r="D865" s="107">
        <v>85.44</v>
      </c>
      <c r="E865" s="107">
        <v>0.2</v>
      </c>
      <c r="F865" s="106"/>
      <c r="G865" s="91">
        <f t="shared" si="79"/>
        <v>17.088000000000001</v>
      </c>
      <c r="H865" s="91">
        <f t="shared" si="78"/>
        <v>0</v>
      </c>
      <c r="I865" s="106"/>
    </row>
    <row r="866" spans="1:9" x14ac:dyDescent="0.25">
      <c r="A866" s="89"/>
      <c r="B866" s="94"/>
      <c r="C866" s="91"/>
      <c r="D866" s="91"/>
      <c r="E866" s="91"/>
      <c r="F866" s="91"/>
      <c r="G866" s="91"/>
      <c r="H866" s="91"/>
      <c r="I866" s="91"/>
    </row>
    <row r="867" spans="1:9" ht="29.25" customHeight="1" x14ac:dyDescent="0.25">
      <c r="A867" s="85" t="s">
        <v>1097</v>
      </c>
      <c r="B867" s="267" t="str">
        <f>'[1]BM_02.'!B366</f>
        <v>ARMAÇÃO DE PILAR OU VIGA DE ESTRUTURA CONVENCIONAL DE CONCRETO ARMADO UTILIZANDO AÇO CA-60 DE 5,0 MM - MONTAGEM. AF_06/2022</v>
      </c>
      <c r="C867" s="268"/>
      <c r="D867" s="268"/>
      <c r="E867" s="268"/>
      <c r="F867" s="268"/>
      <c r="G867" s="268"/>
      <c r="H867" s="268"/>
      <c r="I867" s="269"/>
    </row>
    <row r="868" spans="1:9" x14ac:dyDescent="0.25">
      <c r="A868" s="86"/>
      <c r="B868" s="153"/>
      <c r="C868" s="154"/>
      <c r="D868" s="154"/>
      <c r="E868" s="154"/>
      <c r="F868" s="154"/>
      <c r="G868" s="154" t="s">
        <v>1046</v>
      </c>
      <c r="H868" s="87">
        <f>ROUND(SUM(H871:H875),2)</f>
        <v>352.14</v>
      </c>
      <c r="I868" s="88" t="s">
        <v>128</v>
      </c>
    </row>
    <row r="869" spans="1:9" x14ac:dyDescent="0.25">
      <c r="A869" s="86"/>
      <c r="B869" s="122"/>
      <c r="C869" s="123"/>
      <c r="D869" s="123"/>
      <c r="E869" s="123"/>
      <c r="F869" s="123"/>
      <c r="G869" s="123" t="s">
        <v>1033</v>
      </c>
      <c r="H869" s="87">
        <v>169.65</v>
      </c>
      <c r="I869" s="88"/>
    </row>
    <row r="870" spans="1:9" x14ac:dyDescent="0.25">
      <c r="A870" s="86"/>
      <c r="B870" s="122"/>
      <c r="C870" s="123"/>
      <c r="D870" s="123"/>
      <c r="E870" s="123"/>
      <c r="F870" s="123"/>
      <c r="G870" s="123" t="s">
        <v>1209</v>
      </c>
      <c r="H870" s="87">
        <f>H868-H869</f>
        <v>182.48999999999998</v>
      </c>
      <c r="I870" s="88"/>
    </row>
    <row r="871" spans="1:9" x14ac:dyDescent="0.25">
      <c r="A871" s="89"/>
      <c r="B871" s="158" t="s">
        <v>1059</v>
      </c>
      <c r="C871" s="91">
        <v>104</v>
      </c>
      <c r="D871" s="91">
        <v>1.2</v>
      </c>
      <c r="E871" s="91">
        <v>0.68</v>
      </c>
      <c r="F871" s="74">
        <f>(D871/0.1)*E871</f>
        <v>8.16</v>
      </c>
      <c r="G871" s="91">
        <f>F871*C871</f>
        <v>848.64</v>
      </c>
      <c r="H871" s="74">
        <f>G871*0.154</f>
        <v>130.69056</v>
      </c>
      <c r="I871" s="91"/>
    </row>
    <row r="872" spans="1:9" x14ac:dyDescent="0.25">
      <c r="A872" s="93"/>
      <c r="B872" s="158" t="s">
        <v>1060</v>
      </c>
      <c r="C872" s="91">
        <v>62</v>
      </c>
      <c r="D872" s="91">
        <v>0.6</v>
      </c>
      <c r="E872" s="91">
        <v>0.68</v>
      </c>
      <c r="F872" s="74">
        <f t="shared" ref="F872:F873" si="80">(D872/0.1)*E872</f>
        <v>4.08</v>
      </c>
      <c r="G872" s="91">
        <f t="shared" ref="G872:G875" si="81">F872*C872</f>
        <v>252.96</v>
      </c>
      <c r="H872" s="74">
        <f t="shared" ref="H872:H875" si="82">G872*0.154</f>
        <v>38.955840000000002</v>
      </c>
      <c r="I872" s="91"/>
    </row>
    <row r="873" spans="1:9" x14ac:dyDescent="0.25">
      <c r="A873" s="93"/>
      <c r="B873" s="158" t="s">
        <v>1061</v>
      </c>
      <c r="C873" s="91">
        <v>45</v>
      </c>
      <c r="D873" s="91">
        <v>2.5</v>
      </c>
      <c r="E873" s="91">
        <v>0.68</v>
      </c>
      <c r="F873" s="74">
        <f t="shared" si="80"/>
        <v>17</v>
      </c>
      <c r="G873" s="91">
        <f t="shared" si="81"/>
        <v>765</v>
      </c>
      <c r="H873" s="74">
        <f t="shared" si="82"/>
        <v>117.81</v>
      </c>
      <c r="I873" s="91"/>
    </row>
    <row r="874" spans="1:9" x14ac:dyDescent="0.25">
      <c r="A874" s="93"/>
      <c r="B874" s="158" t="s">
        <v>1062</v>
      </c>
      <c r="C874" s="91">
        <v>1</v>
      </c>
      <c r="D874" s="91">
        <v>131.25</v>
      </c>
      <c r="E874" s="91">
        <v>0.48</v>
      </c>
      <c r="F874" s="74">
        <f>(D874/0.15)*E874</f>
        <v>420</v>
      </c>
      <c r="G874" s="91">
        <f t="shared" si="81"/>
        <v>420</v>
      </c>
      <c r="H874" s="74">
        <f t="shared" si="82"/>
        <v>64.679999999999993</v>
      </c>
      <c r="I874" s="91"/>
    </row>
    <row r="875" spans="1:9" x14ac:dyDescent="0.25">
      <c r="A875" s="93"/>
      <c r="B875" s="158" t="s">
        <v>1063</v>
      </c>
      <c r="C875" s="91">
        <v>0</v>
      </c>
      <c r="D875" s="91">
        <v>314.05</v>
      </c>
      <c r="E875" s="91">
        <v>0.28000000000000003</v>
      </c>
      <c r="F875" s="74">
        <f>(D875/0.15)*E875</f>
        <v>586.2266666666668</v>
      </c>
      <c r="G875" s="91">
        <f t="shared" si="81"/>
        <v>0</v>
      </c>
      <c r="H875" s="74">
        <f t="shared" si="82"/>
        <v>0</v>
      </c>
      <c r="I875" s="91"/>
    </row>
    <row r="876" spans="1:9" x14ac:dyDescent="0.25">
      <c r="A876" s="93"/>
      <c r="B876" s="90"/>
      <c r="C876" s="91"/>
      <c r="D876" s="91"/>
      <c r="E876" s="91"/>
      <c r="F876" s="91"/>
      <c r="G876" s="91"/>
      <c r="H876" s="91"/>
      <c r="I876" s="91"/>
    </row>
    <row r="877" spans="1:9" x14ac:dyDescent="0.25">
      <c r="A877" s="93"/>
      <c r="B877" s="90"/>
      <c r="C877" s="91"/>
      <c r="D877" s="91"/>
      <c r="E877" s="91"/>
      <c r="F877" s="91"/>
      <c r="G877" s="91"/>
      <c r="H877" s="91"/>
      <c r="I877" s="91"/>
    </row>
    <row r="878" spans="1:9" ht="30" customHeight="1" x14ac:dyDescent="0.25">
      <c r="A878" s="85" t="s">
        <v>1099</v>
      </c>
      <c r="B878" s="267" t="str">
        <f>'[1]BM_02.'!B368</f>
        <v>ARMAÇÃO DE PILAR OU VIGA DE ESTRUTURA CONVENCIONAL DE CONCRETO ARMADO UTILIZANDO AÇO CA-50 DE 10,0 MM - MONTAGEM. AF_06/2022</v>
      </c>
      <c r="C878" s="268"/>
      <c r="D878" s="268"/>
      <c r="E878" s="268"/>
      <c r="F878" s="268"/>
      <c r="G878" s="268"/>
      <c r="H878" s="268"/>
      <c r="I878" s="269"/>
    </row>
    <row r="879" spans="1:9" x14ac:dyDescent="0.25">
      <c r="A879" s="86"/>
      <c r="B879" s="153"/>
      <c r="C879" s="154"/>
      <c r="D879" s="154"/>
      <c r="E879" s="154"/>
      <c r="F879" s="154"/>
      <c r="G879" s="154" t="s">
        <v>1046</v>
      </c>
      <c r="H879" s="87">
        <f>ROUND(SUM(H882:H884),2)</f>
        <v>813.95</v>
      </c>
      <c r="I879" s="88" t="s">
        <v>128</v>
      </c>
    </row>
    <row r="880" spans="1:9" x14ac:dyDescent="0.25">
      <c r="A880" s="86"/>
      <c r="B880" s="122"/>
      <c r="C880" s="123"/>
      <c r="D880" s="123"/>
      <c r="E880" s="123"/>
      <c r="F880" s="123"/>
      <c r="G880" s="123" t="s">
        <v>1033</v>
      </c>
      <c r="H880" s="87">
        <v>602.92999999999995</v>
      </c>
      <c r="I880" s="88"/>
    </row>
    <row r="881" spans="1:9" x14ac:dyDescent="0.25">
      <c r="A881" s="86"/>
      <c r="B881" s="122"/>
      <c r="C881" s="123"/>
      <c r="D881" s="123"/>
      <c r="E881" s="123"/>
      <c r="F881" s="123"/>
      <c r="G881" s="123" t="s">
        <v>1209</v>
      </c>
      <c r="H881" s="87">
        <f>H879-H880</f>
        <v>211.0200000000001</v>
      </c>
      <c r="I881" s="88"/>
    </row>
    <row r="882" spans="1:9" x14ac:dyDescent="0.25">
      <c r="A882" s="89"/>
      <c r="B882" s="94" t="s">
        <v>1059</v>
      </c>
      <c r="C882" s="91">
        <v>107</v>
      </c>
      <c r="D882" s="91">
        <v>1.7000000000000002</v>
      </c>
      <c r="E882" s="91">
        <v>4</v>
      </c>
      <c r="F882" s="91">
        <f>E882*D882</f>
        <v>6.8000000000000007</v>
      </c>
      <c r="G882" s="91">
        <f>F882*C882</f>
        <v>727.6</v>
      </c>
      <c r="H882" s="91">
        <f>G882*0.617</f>
        <v>448.92920000000004</v>
      </c>
      <c r="I882" s="91"/>
    </row>
    <row r="883" spans="1:9" x14ac:dyDescent="0.25">
      <c r="A883" s="93"/>
      <c r="B883" s="90" t="s">
        <v>1065</v>
      </c>
      <c r="C883" s="91">
        <v>59</v>
      </c>
      <c r="D883" s="91">
        <v>0.6</v>
      </c>
      <c r="E883" s="91">
        <v>4</v>
      </c>
      <c r="F883" s="91">
        <f t="shared" ref="F883:F884" si="83">E883*D883</f>
        <v>2.4</v>
      </c>
      <c r="G883" s="91">
        <f t="shared" ref="G883:G884" si="84">F883*C883</f>
        <v>141.6</v>
      </c>
      <c r="H883" s="91">
        <f t="shared" ref="H883:H884" si="85">G883*0.617</f>
        <v>87.367199999999997</v>
      </c>
      <c r="I883" s="91"/>
    </row>
    <row r="884" spans="1:9" x14ac:dyDescent="0.25">
      <c r="A884" s="93"/>
      <c r="B884" s="90" t="s">
        <v>1066</v>
      </c>
      <c r="C884" s="91">
        <v>45</v>
      </c>
      <c r="D884" s="91">
        <v>2.5</v>
      </c>
      <c r="E884" s="91">
        <v>4</v>
      </c>
      <c r="F884" s="91">
        <f t="shared" si="83"/>
        <v>10</v>
      </c>
      <c r="G884" s="91">
        <f t="shared" si="84"/>
        <v>450</v>
      </c>
      <c r="H884" s="91">
        <f t="shared" si="85"/>
        <v>277.64999999999998</v>
      </c>
      <c r="I884" s="91"/>
    </row>
    <row r="885" spans="1:9" x14ac:dyDescent="0.25">
      <c r="A885" s="93"/>
      <c r="B885" s="90"/>
      <c r="C885" s="91"/>
      <c r="D885" s="91"/>
      <c r="E885" s="91"/>
      <c r="F885" s="91"/>
      <c r="G885" s="91"/>
      <c r="H885" s="91"/>
      <c r="I885" s="91"/>
    </row>
    <row r="886" spans="1:9" ht="30" customHeight="1" x14ac:dyDescent="0.25">
      <c r="A886" s="85" t="s">
        <v>1100</v>
      </c>
      <c r="B886" s="267" t="str">
        <f>'[1]BM_02.'!B369</f>
        <v>CONCRETO FCK = 20MPA, TRAÇO 1:2,7:3 (EM MASSA SECA DE CIMENTO/ AREIA MÉDIA/ BRITA 1) - PREPARO MECÂNICO COM BETONEIRA 400 L. AF_05/2021</v>
      </c>
      <c r="C886" s="268"/>
      <c r="D886" s="268"/>
      <c r="E886" s="268"/>
      <c r="F886" s="268"/>
      <c r="G886" s="268"/>
      <c r="H886" s="268"/>
      <c r="I886" s="269"/>
    </row>
    <row r="887" spans="1:9" x14ac:dyDescent="0.25">
      <c r="A887" s="86"/>
      <c r="B887" s="153"/>
      <c r="C887" s="154"/>
      <c r="D887" s="154"/>
      <c r="E887" s="154"/>
      <c r="F887" s="154"/>
      <c r="G887" s="154" t="s">
        <v>1046</v>
      </c>
      <c r="H887" s="87">
        <f>ROUND(SUM(H890:H895),2)</f>
        <v>19.61</v>
      </c>
      <c r="I887" s="88" t="s">
        <v>1053</v>
      </c>
    </row>
    <row r="888" spans="1:9" x14ac:dyDescent="0.25">
      <c r="A888" s="86"/>
      <c r="B888" s="122"/>
      <c r="C888" s="123"/>
      <c r="D888" s="123"/>
      <c r="E888" s="123"/>
      <c r="F888" s="123"/>
      <c r="G888" s="123" t="s">
        <v>1033</v>
      </c>
      <c r="H888" s="87">
        <v>13.92</v>
      </c>
      <c r="I888" s="88"/>
    </row>
    <row r="889" spans="1:9" x14ac:dyDescent="0.25">
      <c r="A889" s="86"/>
      <c r="B889" s="122"/>
      <c r="C889" s="123"/>
      <c r="D889" s="123"/>
      <c r="E889" s="123"/>
      <c r="F889" s="123"/>
      <c r="G889" s="123" t="s">
        <v>1209</v>
      </c>
      <c r="H889" s="87">
        <f>H887-H888</f>
        <v>5.6899999999999995</v>
      </c>
      <c r="I889" s="88"/>
    </row>
    <row r="890" spans="1:9" x14ac:dyDescent="0.25">
      <c r="A890" s="108"/>
      <c r="B890" s="98" t="s">
        <v>1067</v>
      </c>
      <c r="C890" s="91">
        <v>104</v>
      </c>
      <c r="D890" s="91">
        <v>0.6</v>
      </c>
      <c r="E890" s="91">
        <v>0.6</v>
      </c>
      <c r="F890" s="91">
        <v>0.25</v>
      </c>
      <c r="G890" s="74">
        <f>F890*E890*D890</f>
        <v>0.09</v>
      </c>
      <c r="H890" s="91">
        <f>G890*C890</f>
        <v>9.36</v>
      </c>
      <c r="I890" s="103"/>
    </row>
    <row r="891" spans="1:9" x14ac:dyDescent="0.25">
      <c r="A891" s="108"/>
      <c r="B891" s="98" t="s">
        <v>1068</v>
      </c>
      <c r="C891" s="91">
        <v>104</v>
      </c>
      <c r="D891" s="91">
        <v>0.2</v>
      </c>
      <c r="E891" s="91">
        <v>0.2</v>
      </c>
      <c r="F891" s="91">
        <f>0.75</f>
        <v>0.75</v>
      </c>
      <c r="G891" s="74">
        <f t="shared" ref="G891:G895" si="86">F891*E891*D891</f>
        <v>3.0000000000000006E-2</v>
      </c>
      <c r="H891" s="91">
        <f t="shared" ref="H891:H895" si="87">G891*C891</f>
        <v>3.1200000000000006</v>
      </c>
      <c r="I891" s="103"/>
    </row>
    <row r="892" spans="1:9" x14ac:dyDescent="0.25">
      <c r="A892" s="108"/>
      <c r="B892" s="98" t="s">
        <v>1061</v>
      </c>
      <c r="C892" s="91"/>
      <c r="D892" s="91">
        <v>0.2</v>
      </c>
      <c r="E892" s="91">
        <v>0.2</v>
      </c>
      <c r="F892" s="91">
        <v>0.6</v>
      </c>
      <c r="G892" s="74">
        <f t="shared" si="86"/>
        <v>2.4E-2</v>
      </c>
      <c r="H892" s="91">
        <f t="shared" si="87"/>
        <v>0</v>
      </c>
      <c r="I892" s="103"/>
    </row>
    <row r="893" spans="1:9" x14ac:dyDescent="0.25">
      <c r="A893" s="108"/>
      <c r="B893" s="98" t="s">
        <v>1061</v>
      </c>
      <c r="C893" s="99">
        <v>45</v>
      </c>
      <c r="D893" s="99">
        <v>0.2</v>
      </c>
      <c r="E893" s="99">
        <v>0.2</v>
      </c>
      <c r="F893" s="99">
        <v>2.5</v>
      </c>
      <c r="G893" s="74">
        <f t="shared" si="86"/>
        <v>0.1</v>
      </c>
      <c r="H893" s="91">
        <f t="shared" si="87"/>
        <v>4.5</v>
      </c>
      <c r="I893" s="103"/>
    </row>
    <row r="894" spans="1:9" x14ac:dyDescent="0.25">
      <c r="A894" s="108"/>
      <c r="B894" s="98" t="s">
        <v>1062</v>
      </c>
      <c r="C894" s="99">
        <v>1</v>
      </c>
      <c r="D894" s="99">
        <v>0.2</v>
      </c>
      <c r="E894" s="99">
        <v>0.1</v>
      </c>
      <c r="F894" s="99">
        <v>131.25</v>
      </c>
      <c r="G894" s="74">
        <f t="shared" si="86"/>
        <v>2.625</v>
      </c>
      <c r="H894" s="91">
        <f t="shared" si="87"/>
        <v>2.625</v>
      </c>
      <c r="I894" s="103"/>
    </row>
    <row r="895" spans="1:9" x14ac:dyDescent="0.25">
      <c r="A895" s="89"/>
      <c r="B895" s="90" t="s">
        <v>1063</v>
      </c>
      <c r="C895" s="91">
        <v>0</v>
      </c>
      <c r="D895" s="91">
        <v>0.1</v>
      </c>
      <c r="E895" s="91">
        <v>0.1</v>
      </c>
      <c r="F895" s="91">
        <v>314.05</v>
      </c>
      <c r="G895" s="74">
        <f t="shared" si="86"/>
        <v>3.1405000000000003</v>
      </c>
      <c r="H895" s="91">
        <f t="shared" si="87"/>
        <v>0</v>
      </c>
      <c r="I895" s="91"/>
    </row>
    <row r="896" spans="1:9" x14ac:dyDescent="0.25">
      <c r="A896" s="93"/>
      <c r="B896" s="94"/>
      <c r="C896" s="95"/>
      <c r="D896" s="95"/>
      <c r="E896" s="95"/>
      <c r="F896" s="95"/>
      <c r="G896" s="95"/>
      <c r="H896" s="95"/>
      <c r="I896" s="96"/>
    </row>
    <row r="897" spans="1:9" x14ac:dyDescent="0.25">
      <c r="A897" s="85" t="s">
        <v>1101</v>
      </c>
      <c r="B897" s="267" t="str">
        <f>'[1]BM_02.'!B370</f>
        <v>LANÇAMENTO COM USO DE BALDES, ADENSAMENTO E ACABAMENTO DE CONCRETO EM ESTRUTURAS. AF_02/2022</v>
      </c>
      <c r="C897" s="268"/>
      <c r="D897" s="268"/>
      <c r="E897" s="268"/>
      <c r="F897" s="268"/>
      <c r="G897" s="268"/>
      <c r="H897" s="268"/>
      <c r="I897" s="269"/>
    </row>
    <row r="898" spans="1:9" x14ac:dyDescent="0.25">
      <c r="A898" s="86"/>
      <c r="B898" s="153"/>
      <c r="C898" s="154"/>
      <c r="D898" s="154"/>
      <c r="E898" s="154"/>
      <c r="F898" s="154"/>
      <c r="G898" s="154" t="s">
        <v>1046</v>
      </c>
      <c r="H898" s="87">
        <f>ROUND(SUM(H901:H906),2)</f>
        <v>19.61</v>
      </c>
      <c r="I898" s="88" t="s">
        <v>1053</v>
      </c>
    </row>
    <row r="899" spans="1:9" x14ac:dyDescent="0.25">
      <c r="A899" s="86"/>
      <c r="B899" s="122"/>
      <c r="C899" s="123"/>
      <c r="D899" s="123"/>
      <c r="E899" s="123"/>
      <c r="F899" s="123"/>
      <c r="G899" s="123" t="s">
        <v>1033</v>
      </c>
      <c r="H899" s="87">
        <v>13.92</v>
      </c>
      <c r="I899" s="88"/>
    </row>
    <row r="900" spans="1:9" x14ac:dyDescent="0.25">
      <c r="A900" s="86"/>
      <c r="B900" s="122"/>
      <c r="C900" s="123"/>
      <c r="D900" s="123"/>
      <c r="E900" s="123"/>
      <c r="F900" s="123"/>
      <c r="G900" s="123" t="s">
        <v>1209</v>
      </c>
      <c r="H900" s="87">
        <f>H898-H899</f>
        <v>5.6899999999999995</v>
      </c>
      <c r="I900" s="88"/>
    </row>
    <row r="901" spans="1:9" x14ac:dyDescent="0.25">
      <c r="A901" s="108"/>
      <c r="B901" s="98" t="s">
        <v>1067</v>
      </c>
      <c r="C901" s="91">
        <v>104</v>
      </c>
      <c r="D901" s="91">
        <v>0.6</v>
      </c>
      <c r="E901" s="91">
        <v>0.6</v>
      </c>
      <c r="F901" s="91">
        <v>0.25</v>
      </c>
      <c r="G901" s="74">
        <f>F901*E901*D901</f>
        <v>0.09</v>
      </c>
      <c r="H901" s="91">
        <f>G901*C901</f>
        <v>9.36</v>
      </c>
      <c r="I901" s="103"/>
    </row>
    <row r="902" spans="1:9" x14ac:dyDescent="0.25">
      <c r="A902" s="108"/>
      <c r="B902" s="98" t="s">
        <v>1068</v>
      </c>
      <c r="C902" s="91">
        <v>104</v>
      </c>
      <c r="D902" s="91">
        <v>0.2</v>
      </c>
      <c r="E902" s="91">
        <v>0.2</v>
      </c>
      <c r="F902" s="91">
        <f>0.75</f>
        <v>0.75</v>
      </c>
      <c r="G902" s="74">
        <f t="shared" ref="G902:G906" si="88">F902*E902*D902</f>
        <v>3.0000000000000006E-2</v>
      </c>
      <c r="H902" s="91">
        <f t="shared" ref="H902:H906" si="89">G902*C902</f>
        <v>3.1200000000000006</v>
      </c>
      <c r="I902" s="103"/>
    </row>
    <row r="903" spans="1:9" x14ac:dyDescent="0.25">
      <c r="A903" s="108"/>
      <c r="B903" s="98" t="s">
        <v>1061</v>
      </c>
      <c r="C903" s="91"/>
      <c r="D903" s="91">
        <v>0.2</v>
      </c>
      <c r="E903" s="91">
        <v>0.2</v>
      </c>
      <c r="F903" s="91">
        <v>0.6</v>
      </c>
      <c r="G903" s="74">
        <f t="shared" si="88"/>
        <v>2.4E-2</v>
      </c>
      <c r="H903" s="91">
        <f t="shared" si="89"/>
        <v>0</v>
      </c>
      <c r="I903" s="103"/>
    </row>
    <row r="904" spans="1:9" x14ac:dyDescent="0.25">
      <c r="A904" s="108"/>
      <c r="B904" s="98" t="s">
        <v>1061</v>
      </c>
      <c r="C904" s="99">
        <v>45</v>
      </c>
      <c r="D904" s="99">
        <v>0.2</v>
      </c>
      <c r="E904" s="99">
        <v>0.2</v>
      </c>
      <c r="F904" s="99">
        <v>2.5</v>
      </c>
      <c r="G904" s="74">
        <f t="shared" si="88"/>
        <v>0.1</v>
      </c>
      <c r="H904" s="91">
        <f t="shared" si="89"/>
        <v>4.5</v>
      </c>
      <c r="I904" s="103"/>
    </row>
    <row r="905" spans="1:9" x14ac:dyDescent="0.25">
      <c r="A905" s="108"/>
      <c r="B905" s="98" t="s">
        <v>1062</v>
      </c>
      <c r="C905" s="99">
        <v>1</v>
      </c>
      <c r="D905" s="99">
        <v>0.2</v>
      </c>
      <c r="E905" s="99">
        <v>0.1</v>
      </c>
      <c r="F905" s="99">
        <v>131.25</v>
      </c>
      <c r="G905" s="74">
        <f t="shared" si="88"/>
        <v>2.625</v>
      </c>
      <c r="H905" s="91">
        <f t="shared" si="89"/>
        <v>2.625</v>
      </c>
      <c r="I905" s="103"/>
    </row>
    <row r="906" spans="1:9" x14ac:dyDescent="0.25">
      <c r="A906" s="89"/>
      <c r="B906" s="90" t="s">
        <v>1063</v>
      </c>
      <c r="C906" s="91">
        <v>0</v>
      </c>
      <c r="D906" s="91">
        <v>0.1</v>
      </c>
      <c r="E906" s="91">
        <v>0.1</v>
      </c>
      <c r="F906" s="91">
        <v>314.05</v>
      </c>
      <c r="G906" s="74">
        <f t="shared" si="88"/>
        <v>3.1405000000000003</v>
      </c>
      <c r="H906" s="91">
        <f t="shared" si="89"/>
        <v>0</v>
      </c>
      <c r="I906" s="91"/>
    </row>
    <row r="907" spans="1:9" x14ac:dyDescent="0.25">
      <c r="A907" s="93"/>
      <c r="B907" s="90"/>
      <c r="C907" s="91"/>
      <c r="D907" s="91"/>
      <c r="E907" s="91"/>
      <c r="F907" s="91"/>
      <c r="G907" s="91"/>
      <c r="H907" s="91"/>
      <c r="I907" s="91"/>
    </row>
    <row r="908" spans="1:9" x14ac:dyDescent="0.25">
      <c r="A908" s="85" t="s">
        <v>1102</v>
      </c>
      <c r="B908" s="267" t="str">
        <f>'[1]BM_02.'!B371</f>
        <v>Grade em metalon</v>
      </c>
      <c r="C908" s="268"/>
      <c r="D908" s="268"/>
      <c r="E908" s="268"/>
      <c r="F908" s="268"/>
      <c r="G908" s="268"/>
      <c r="H908" s="268"/>
      <c r="I908" s="269"/>
    </row>
    <row r="909" spans="1:9" x14ac:dyDescent="0.25">
      <c r="A909" s="86"/>
      <c r="B909" s="270"/>
      <c r="C909" s="271"/>
      <c r="D909" s="271"/>
      <c r="E909" s="271"/>
      <c r="F909" s="271"/>
      <c r="G909" s="271"/>
      <c r="H909" s="87">
        <f>ROUND(SUM(H910:H912),2)</f>
        <v>0</v>
      </c>
      <c r="I909" s="88" t="s">
        <v>1054</v>
      </c>
    </row>
    <row r="910" spans="1:9" x14ac:dyDescent="0.25">
      <c r="A910" s="89"/>
      <c r="B910" s="94" t="s">
        <v>1048</v>
      </c>
      <c r="C910" s="91">
        <v>0</v>
      </c>
      <c r="D910" s="91">
        <v>61</v>
      </c>
      <c r="E910" s="91">
        <v>1.5</v>
      </c>
      <c r="F910" s="91"/>
      <c r="G910" s="91">
        <f>E910*D910</f>
        <v>91.5</v>
      </c>
      <c r="H910" s="91">
        <f>G910*C910</f>
        <v>0</v>
      </c>
      <c r="I910" s="91"/>
    </row>
    <row r="911" spans="1:9" x14ac:dyDescent="0.25">
      <c r="A911" s="93"/>
      <c r="B911" s="94" t="s">
        <v>1049</v>
      </c>
      <c r="C911" s="91">
        <v>0</v>
      </c>
      <c r="D911" s="91">
        <v>37.57</v>
      </c>
      <c r="E911" s="91">
        <v>1.5</v>
      </c>
      <c r="F911" s="91"/>
      <c r="G911" s="91">
        <f t="shared" ref="G911:G912" si="90">E911*D911</f>
        <v>56.355000000000004</v>
      </c>
      <c r="H911" s="91">
        <f t="shared" ref="H911:H912" si="91">G911*C911</f>
        <v>0</v>
      </c>
      <c r="I911" s="91"/>
    </row>
    <row r="912" spans="1:9" x14ac:dyDescent="0.25">
      <c r="A912" s="93"/>
      <c r="B912" s="94" t="s">
        <v>1050</v>
      </c>
      <c r="C912" s="91">
        <v>0</v>
      </c>
      <c r="D912" s="91">
        <v>73.989999999999995</v>
      </c>
      <c r="E912" s="91">
        <v>1.5</v>
      </c>
      <c r="F912" s="91"/>
      <c r="G912" s="91">
        <f t="shared" si="90"/>
        <v>110.98499999999999</v>
      </c>
      <c r="H912" s="91">
        <f t="shared" si="91"/>
        <v>0</v>
      </c>
      <c r="I912" s="91"/>
    </row>
    <row r="913" spans="1:9" x14ac:dyDescent="0.25">
      <c r="A913" s="89"/>
      <c r="B913" s="90"/>
      <c r="C913" s="91"/>
      <c r="D913" s="91"/>
      <c r="E913" s="91"/>
      <c r="F913" s="91"/>
      <c r="G913" s="91"/>
      <c r="H913" s="91"/>
      <c r="I913" s="91"/>
    </row>
  </sheetData>
  <mergeCells count="39">
    <mergeCell ref="B897:I897"/>
    <mergeCell ref="B908:I908"/>
    <mergeCell ref="B909:G909"/>
    <mergeCell ref="B842:I842"/>
    <mergeCell ref="B859:I859"/>
    <mergeCell ref="B860:G860"/>
    <mergeCell ref="B867:I867"/>
    <mergeCell ref="B878:I878"/>
    <mergeCell ref="B886:I886"/>
    <mergeCell ref="B837:G837"/>
    <mergeCell ref="B530:G530"/>
    <mergeCell ref="B536:H536"/>
    <mergeCell ref="B592:G592"/>
    <mergeCell ref="B658:G658"/>
    <mergeCell ref="B724:H724"/>
    <mergeCell ref="B793:I793"/>
    <mergeCell ref="B808:I808"/>
    <mergeCell ref="B818:I818"/>
    <mergeCell ref="B826:I826"/>
    <mergeCell ref="B827:G827"/>
    <mergeCell ref="B836:I836"/>
    <mergeCell ref="B520:G520"/>
    <mergeCell ref="B5:I5"/>
    <mergeCell ref="B7:G7"/>
    <mergeCell ref="B12:I12"/>
    <mergeCell ref="B14:G14"/>
    <mergeCell ref="B80:G80"/>
    <mergeCell ref="B148:G148"/>
    <mergeCell ref="B200:G200"/>
    <mergeCell ref="B259:G259"/>
    <mergeCell ref="B313:G313"/>
    <mergeCell ref="B381:G381"/>
    <mergeCell ref="B485:G485"/>
    <mergeCell ref="A1:I1"/>
    <mergeCell ref="A2:A3"/>
    <mergeCell ref="B2:B3"/>
    <mergeCell ref="C2:F2"/>
    <mergeCell ref="G2:H2"/>
    <mergeCell ref="I2:I3"/>
  </mergeCells>
  <conditionalFormatting sqref="B5:B7">
    <cfRule type="expression" dxfId="52" priority="4" stopIfTrue="1">
      <formula>#REF!=1</formula>
    </cfRule>
  </conditionalFormatting>
  <conditionalFormatting sqref="B12">
    <cfRule type="expression" dxfId="51" priority="27" stopIfTrue="1">
      <formula>#REF!=1</formula>
    </cfRule>
  </conditionalFormatting>
  <conditionalFormatting sqref="B14">
    <cfRule type="expression" dxfId="50" priority="26" stopIfTrue="1">
      <formula>#REF!=1</formula>
    </cfRule>
  </conditionalFormatting>
  <conditionalFormatting sqref="B80">
    <cfRule type="expression" dxfId="49" priority="25" stopIfTrue="1">
      <formula>#REF!=1</formula>
    </cfRule>
  </conditionalFormatting>
  <conditionalFormatting sqref="B148">
    <cfRule type="expression" dxfId="48" priority="24" stopIfTrue="1">
      <formula>#REF!=1</formula>
    </cfRule>
  </conditionalFormatting>
  <conditionalFormatting sqref="B200">
    <cfRule type="expression" dxfId="47" priority="23" stopIfTrue="1">
      <formula>#REF!=1</formula>
    </cfRule>
  </conditionalFormatting>
  <conditionalFormatting sqref="B259">
    <cfRule type="expression" dxfId="46" priority="22" stopIfTrue="1">
      <formula>#REF!=1</formula>
    </cfRule>
  </conditionalFormatting>
  <conditionalFormatting sqref="B313">
    <cfRule type="expression" dxfId="45" priority="21" stopIfTrue="1">
      <formula>#REF!=1</formula>
    </cfRule>
  </conditionalFormatting>
  <conditionalFormatting sqref="B381">
    <cfRule type="expression" dxfId="44" priority="20" stopIfTrue="1">
      <formula>#REF!=1</formula>
    </cfRule>
  </conditionalFormatting>
  <conditionalFormatting sqref="B485">
    <cfRule type="expression" dxfId="43" priority="19" stopIfTrue="1">
      <formula>#REF!=1</formula>
    </cfRule>
  </conditionalFormatting>
  <conditionalFormatting sqref="B520">
    <cfRule type="expression" dxfId="42" priority="18" stopIfTrue="1">
      <formula>#REF!=1</formula>
    </cfRule>
  </conditionalFormatting>
  <conditionalFormatting sqref="B530">
    <cfRule type="expression" dxfId="41" priority="17" stopIfTrue="1">
      <formula>#REF!=1</formula>
    </cfRule>
  </conditionalFormatting>
  <conditionalFormatting sqref="B536">
    <cfRule type="expression" dxfId="40" priority="16" stopIfTrue="1">
      <formula>#REF!=1</formula>
    </cfRule>
  </conditionalFormatting>
  <conditionalFormatting sqref="B592">
    <cfRule type="expression" dxfId="39" priority="3" stopIfTrue="1">
      <formula>#REF!=1</formula>
    </cfRule>
  </conditionalFormatting>
  <conditionalFormatting sqref="B658">
    <cfRule type="expression" dxfId="38" priority="2" stopIfTrue="1">
      <formula>#REF!=1</formula>
    </cfRule>
  </conditionalFormatting>
  <conditionalFormatting sqref="B724">
    <cfRule type="expression" dxfId="37" priority="1" stopIfTrue="1">
      <formula>#REF!=1</formula>
    </cfRule>
  </conditionalFormatting>
  <conditionalFormatting sqref="B793:B796">
    <cfRule type="expression" dxfId="36" priority="15" stopIfTrue="1">
      <formula>#REF!=1</formula>
    </cfRule>
  </conditionalFormatting>
  <conditionalFormatting sqref="B808:B821">
    <cfRule type="expression" dxfId="35" priority="6" stopIfTrue="1">
      <formula>#REF!=1</formula>
    </cfRule>
  </conditionalFormatting>
  <conditionalFormatting sqref="B826:B827">
    <cfRule type="expression" dxfId="34" priority="14" stopIfTrue="1">
      <formula>#REF!=1</formula>
    </cfRule>
  </conditionalFormatting>
  <conditionalFormatting sqref="B836:B837">
    <cfRule type="expression" dxfId="33" priority="7" stopIfTrue="1">
      <formula>#REF!=1</formula>
    </cfRule>
  </conditionalFormatting>
  <conditionalFormatting sqref="B842:B845">
    <cfRule type="expression" dxfId="32" priority="11" stopIfTrue="1">
      <formula>#REF!=1</formula>
    </cfRule>
  </conditionalFormatting>
  <conditionalFormatting sqref="B859:B860">
    <cfRule type="expression" dxfId="31" priority="12" stopIfTrue="1">
      <formula>#REF!=1</formula>
    </cfRule>
  </conditionalFormatting>
  <conditionalFormatting sqref="B867:B870">
    <cfRule type="expression" dxfId="30" priority="13" stopIfTrue="1">
      <formula>#REF!=1</formula>
    </cfRule>
  </conditionalFormatting>
  <conditionalFormatting sqref="B878:B881">
    <cfRule type="expression" dxfId="29" priority="10" stopIfTrue="1">
      <formula>#REF!=1</formula>
    </cfRule>
  </conditionalFormatting>
  <conditionalFormatting sqref="B886:B894">
    <cfRule type="expression" dxfId="28" priority="9" stopIfTrue="1">
      <formula>#REF!=1</formula>
    </cfRule>
  </conditionalFormatting>
  <conditionalFormatting sqref="B897:B905">
    <cfRule type="expression" dxfId="27" priority="5" stopIfTrue="1">
      <formula>#REF!=1</formula>
    </cfRule>
  </conditionalFormatting>
  <conditionalFormatting sqref="B908:B909">
    <cfRule type="expression" dxfId="26" priority="8" stopIfTrue="1">
      <formula>#REF!=1</formula>
    </cfRule>
  </conditionalFormatting>
  <printOptions horizontalCentered="1"/>
  <pageMargins left="0.31496062992125984" right="0.31496062992125984" top="0.78740157480314965" bottom="0.39370078740157483" header="0.31496062992125984" footer="0.31496062992125984"/>
  <pageSetup paperSize="9" scale="8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1CAB3-71FE-4926-AFDB-5C25F1BECBC5}">
  <sheetPr>
    <pageSetUpPr fitToPage="1"/>
  </sheetPr>
  <dimension ref="A1:P589"/>
  <sheetViews>
    <sheetView view="pageBreakPreview" topLeftCell="A360" zoomScale="90" zoomScaleNormal="85" zoomScaleSheetLayoutView="90" workbookViewId="0">
      <selection activeCell="J371" sqref="J371"/>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7" t="s">
        <v>1210</v>
      </c>
      <c r="D1" s="177"/>
      <c r="E1" s="177"/>
      <c r="F1" s="177"/>
      <c r="G1" s="177"/>
      <c r="H1" s="177"/>
      <c r="I1" s="177"/>
      <c r="J1" s="177"/>
      <c r="K1" s="178"/>
      <c r="L1" s="27"/>
      <c r="M1" s="27"/>
      <c r="N1" s="27"/>
      <c r="O1" s="27"/>
      <c r="P1" s="27"/>
    </row>
    <row r="2" spans="1:16" s="28" customFormat="1" ht="12.75" customHeight="1" x14ac:dyDescent="0.25">
      <c r="A2" s="25"/>
      <c r="B2" s="26"/>
      <c r="C2" s="177"/>
      <c r="D2" s="177"/>
      <c r="E2" s="177"/>
      <c r="F2" s="177"/>
      <c r="G2" s="177"/>
      <c r="H2" s="177"/>
      <c r="I2" s="177"/>
      <c r="J2" s="177"/>
      <c r="K2" s="178"/>
      <c r="L2" s="27"/>
      <c r="M2" s="27"/>
      <c r="N2" s="27"/>
      <c r="O2" s="27"/>
      <c r="P2" s="27"/>
    </row>
    <row r="3" spans="1:16" s="28" customFormat="1" ht="12.75" customHeight="1" x14ac:dyDescent="0.25">
      <c r="A3" s="25"/>
      <c r="C3" s="177"/>
      <c r="D3" s="177"/>
      <c r="E3" s="177"/>
      <c r="F3" s="177"/>
      <c r="G3" s="177"/>
      <c r="H3" s="177"/>
      <c r="I3" s="177"/>
      <c r="J3" s="177"/>
      <c r="K3" s="178"/>
      <c r="L3" s="27"/>
      <c r="M3" s="27"/>
      <c r="N3" s="27"/>
      <c r="O3" s="27"/>
      <c r="P3" s="27"/>
    </row>
    <row r="4" spans="1:16" s="28" customFormat="1" ht="12.75" customHeight="1" x14ac:dyDescent="0.25">
      <c r="A4" s="25"/>
      <c r="B4" s="29" t="s">
        <v>978</v>
      </c>
      <c r="C4" s="177"/>
      <c r="D4" s="177"/>
      <c r="E4" s="177"/>
      <c r="F4" s="177"/>
      <c r="G4" s="177"/>
      <c r="H4" s="177"/>
      <c r="I4" s="177"/>
      <c r="J4" s="177"/>
      <c r="K4" s="178"/>
      <c r="L4" s="27"/>
      <c r="M4" s="27"/>
      <c r="N4" s="27"/>
      <c r="O4" s="27"/>
      <c r="P4" s="27"/>
    </row>
    <row r="5" spans="1:16" s="28" customFormat="1" ht="12.75" customHeight="1" x14ac:dyDescent="0.25">
      <c r="A5" s="30"/>
      <c r="B5" s="29" t="s">
        <v>979</v>
      </c>
      <c r="C5" s="179"/>
      <c r="D5" s="179"/>
      <c r="E5" s="179"/>
      <c r="F5" s="179"/>
      <c r="G5" s="179"/>
      <c r="H5" s="179"/>
      <c r="I5" s="179"/>
      <c r="J5" s="179"/>
      <c r="K5" s="180"/>
      <c r="L5" s="27"/>
      <c r="M5" s="27"/>
      <c r="N5" s="27"/>
      <c r="O5" s="27"/>
      <c r="P5" s="27"/>
    </row>
    <row r="6" spans="1:16" s="28" customFormat="1" ht="24" customHeight="1" x14ac:dyDescent="0.25">
      <c r="A6" s="181" t="s">
        <v>1211</v>
      </c>
      <c r="B6" s="182"/>
      <c r="C6" s="182"/>
      <c r="D6" s="182"/>
      <c r="E6" s="183"/>
      <c r="F6" s="184" t="s">
        <v>981</v>
      </c>
      <c r="G6" s="185"/>
      <c r="H6" s="185"/>
      <c r="I6" s="186"/>
      <c r="J6" s="31" t="s">
        <v>982</v>
      </c>
      <c r="K6" s="31" t="s">
        <v>983</v>
      </c>
      <c r="L6" s="27"/>
      <c r="M6" s="27"/>
      <c r="N6" s="27"/>
      <c r="O6" s="27"/>
      <c r="P6" s="27"/>
    </row>
    <row r="7" spans="1:16" s="28" customFormat="1" ht="12.75" customHeight="1" x14ac:dyDescent="0.25">
      <c r="A7" s="187" t="s">
        <v>64</v>
      </c>
      <c r="B7" s="188"/>
      <c r="C7" s="188"/>
      <c r="D7" s="188"/>
      <c r="E7" s="189"/>
      <c r="F7" s="187" t="s">
        <v>979</v>
      </c>
      <c r="G7" s="188"/>
      <c r="H7" s="188"/>
      <c r="I7" s="189"/>
      <c r="J7" s="124">
        <v>45222</v>
      </c>
      <c r="K7" s="125" t="s">
        <v>1212</v>
      </c>
      <c r="L7" s="27"/>
      <c r="M7" s="27"/>
      <c r="N7" s="27"/>
      <c r="O7" s="27"/>
      <c r="P7" s="27"/>
    </row>
    <row r="8" spans="1:16" s="28" customFormat="1" ht="29.45" customHeight="1" x14ac:dyDescent="0.25">
      <c r="A8" s="181" t="s">
        <v>984</v>
      </c>
      <c r="B8" s="182"/>
      <c r="C8" s="182"/>
      <c r="D8" s="182"/>
      <c r="E8" s="183"/>
      <c r="F8" s="195" t="s">
        <v>985</v>
      </c>
      <c r="G8" s="195"/>
      <c r="H8" s="195"/>
      <c r="I8" s="195"/>
      <c r="J8" s="32" t="s">
        <v>986</v>
      </c>
      <c r="K8" s="33" t="s">
        <v>987</v>
      </c>
      <c r="L8" s="27"/>
      <c r="M8" s="27"/>
      <c r="N8" s="27"/>
      <c r="O8" s="27"/>
      <c r="P8" s="27"/>
    </row>
    <row r="9" spans="1:16" s="28" customFormat="1" ht="12.75" customHeight="1" x14ac:dyDescent="0.25">
      <c r="A9" s="187" t="s">
        <v>1005</v>
      </c>
      <c r="B9" s="188"/>
      <c r="C9" s="188"/>
      <c r="D9" s="188"/>
      <c r="E9" s="189"/>
      <c r="F9" s="196" t="s">
        <v>1028</v>
      </c>
      <c r="G9" s="196"/>
      <c r="H9" s="196"/>
      <c r="I9" s="196"/>
      <c r="J9" s="124">
        <v>45035</v>
      </c>
      <c r="K9" s="124">
        <v>45492</v>
      </c>
      <c r="L9" s="27"/>
      <c r="M9" s="27"/>
      <c r="N9" s="27"/>
      <c r="O9" s="27"/>
      <c r="P9" s="27"/>
    </row>
    <row r="10" spans="1:16" s="28" customFormat="1" ht="12.75" x14ac:dyDescent="0.25">
      <c r="A10" s="195" t="s">
        <v>988</v>
      </c>
      <c r="B10" s="195"/>
      <c r="C10" s="195" t="s">
        <v>989</v>
      </c>
      <c r="D10" s="195"/>
      <c r="E10" s="195"/>
      <c r="F10" s="195" t="s">
        <v>990</v>
      </c>
      <c r="G10" s="195"/>
      <c r="H10" s="202" t="s">
        <v>991</v>
      </c>
      <c r="I10" s="202"/>
      <c r="J10" s="203" t="s">
        <v>992</v>
      </c>
      <c r="K10" s="203"/>
      <c r="L10" s="27"/>
      <c r="M10" s="27"/>
      <c r="N10" s="27"/>
      <c r="O10" s="27"/>
      <c r="P10" s="27"/>
    </row>
    <row r="11" spans="1:16" s="28" customFormat="1" ht="12.75" x14ac:dyDescent="0.25">
      <c r="A11" s="196" t="s">
        <v>1029</v>
      </c>
      <c r="B11" s="196"/>
      <c r="C11" s="196" t="s">
        <v>1030</v>
      </c>
      <c r="D11" s="196"/>
      <c r="E11" s="196"/>
      <c r="F11" s="197">
        <f>H371</f>
        <v>10383143.213076012</v>
      </c>
      <c r="G11" s="198"/>
      <c r="H11" s="201">
        <f>I371</f>
        <v>147601.79999999999</v>
      </c>
      <c r="I11" s="201"/>
      <c r="J11" s="196" t="s">
        <v>1213</v>
      </c>
      <c r="K11" s="196"/>
      <c r="L11" s="27"/>
      <c r="M11" s="27"/>
      <c r="N11" s="27"/>
      <c r="O11" s="27"/>
      <c r="P11" s="27"/>
    </row>
    <row r="12" spans="1:16" s="28" customFormat="1" ht="15" customHeight="1" x14ac:dyDescent="0.25">
      <c r="A12" s="196"/>
      <c r="B12" s="196"/>
      <c r="C12" s="196"/>
      <c r="D12" s="196"/>
      <c r="E12" s="196"/>
      <c r="F12" s="199"/>
      <c r="G12" s="200"/>
      <c r="H12" s="201"/>
      <c r="I12" s="201"/>
      <c r="J12" s="196"/>
      <c r="K12" s="196"/>
      <c r="L12" s="27"/>
      <c r="M12" s="27"/>
      <c r="N12" s="27"/>
      <c r="O12" s="27"/>
      <c r="P12" s="27"/>
    </row>
    <row r="13" spans="1:16" s="28" customFormat="1" ht="12.75" x14ac:dyDescent="0.25">
      <c r="A13" s="205"/>
      <c r="B13" s="205"/>
      <c r="C13" s="205"/>
      <c r="D13" s="205"/>
      <c r="E13" s="205"/>
      <c r="F13" s="205"/>
      <c r="G13" s="205"/>
      <c r="H13" s="205"/>
      <c r="I13" s="205"/>
      <c r="J13" s="205"/>
      <c r="K13" s="205"/>
      <c r="L13" s="27"/>
      <c r="M13" s="27"/>
      <c r="N13" s="27"/>
      <c r="O13" s="27"/>
      <c r="P13" s="27"/>
    </row>
    <row r="14" spans="1:16" s="36" customFormat="1" ht="15" customHeight="1" x14ac:dyDescent="0.2">
      <c r="A14" s="206" t="s">
        <v>993</v>
      </c>
      <c r="B14" s="207" t="s">
        <v>994</v>
      </c>
      <c r="C14" s="207" t="s">
        <v>995</v>
      </c>
      <c r="D14" s="274" t="s">
        <v>996</v>
      </c>
      <c r="E14" s="206" t="s">
        <v>997</v>
      </c>
      <c r="F14" s="206"/>
      <c r="G14" s="206"/>
      <c r="H14" s="208" t="s">
        <v>998</v>
      </c>
      <c r="I14" s="208"/>
      <c r="J14" s="208"/>
      <c r="K14" s="209" t="s">
        <v>999</v>
      </c>
      <c r="L14" s="35"/>
      <c r="M14" s="35"/>
      <c r="N14" s="35"/>
      <c r="O14" s="35"/>
      <c r="P14" s="35"/>
    </row>
    <row r="15" spans="1:16" s="36" customFormat="1" ht="39" customHeight="1" x14ac:dyDescent="0.2">
      <c r="A15" s="206"/>
      <c r="B15" s="207"/>
      <c r="C15" s="207"/>
      <c r="D15" s="275"/>
      <c r="E15" s="34" t="s">
        <v>1000</v>
      </c>
      <c r="F15" s="34" t="s">
        <v>1001</v>
      </c>
      <c r="G15" s="37" t="s">
        <v>1002</v>
      </c>
      <c r="H15" s="37" t="s">
        <v>1000</v>
      </c>
      <c r="I15" s="37" t="s">
        <v>1001</v>
      </c>
      <c r="J15" s="37" t="s">
        <v>1002</v>
      </c>
      <c r="K15" s="209"/>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[1]MEMÓRIA03!E5</f>
        <v>0</v>
      </c>
      <c r="G17" s="73">
        <f>F17+'[1]BM_02.'!H19</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[1]MEMÓRIA03!E6</f>
        <v>0</v>
      </c>
      <c r="G18" s="73">
        <f>F18+'[1]BM_02.'!H20</f>
        <v>10</v>
      </c>
      <c r="H18" s="55">
        <f t="shared" ref="H18:H34" si="0">E18*D18</f>
        <v>15429.900000000001</v>
      </c>
      <c r="I18" s="55">
        <f t="shared" ref="I18:I81" si="1">ROUND(D18*F18,2)</f>
        <v>0</v>
      </c>
      <c r="J18" s="55">
        <f t="shared" ref="J18:J81" si="2">ROUND(D18*G18,2)</f>
        <v>10286.6</v>
      </c>
      <c r="K18" s="159">
        <f t="shared" ref="K18:K85" si="3">J18/H18</f>
        <v>0.66666666666666663</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[1]MEMÓRIA03!E7</f>
        <v>0</v>
      </c>
      <c r="G19" s="73">
        <f>F19+'[1]BM_02.'!H21</f>
        <v>7</v>
      </c>
      <c r="H19" s="55">
        <f t="shared" si="0"/>
        <v>11744.8</v>
      </c>
      <c r="I19" s="55">
        <f t="shared" si="1"/>
        <v>0</v>
      </c>
      <c r="J19" s="55">
        <f t="shared" si="2"/>
        <v>8221.36</v>
      </c>
      <c r="K19" s="159">
        <f t="shared" si="3"/>
        <v>0.70000000000000007</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[1]MEMÓRIA03!E8</f>
        <v>0</v>
      </c>
      <c r="G20" s="73">
        <f>F20+'[1]BM_02.'!H22</f>
        <v>188.76</v>
      </c>
      <c r="H20" s="55">
        <f t="shared" si="0"/>
        <v>18109.410399999997</v>
      </c>
      <c r="I20" s="55">
        <f t="shared" si="1"/>
        <v>0</v>
      </c>
      <c r="J20" s="55">
        <f t="shared" si="2"/>
        <v>10836.71</v>
      </c>
      <c r="K20" s="159">
        <f t="shared" si="3"/>
        <v>0.59840214345134068</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[1]MEMÓRIA03!E9</f>
        <v>0</v>
      </c>
      <c r="G21" s="73">
        <f>F21+'[1]BM_02.'!H23</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[1]MEMÓRIA03!E11</f>
        <v>0.19000000000000006</v>
      </c>
      <c r="G23" s="73">
        <f>F23+'[1]BM_02.'!H25</f>
        <v>0.79</v>
      </c>
      <c r="H23" s="55">
        <f t="shared" si="0"/>
        <v>71888.850000000006</v>
      </c>
      <c r="I23" s="55">
        <f t="shared" si="1"/>
        <v>910.59</v>
      </c>
      <c r="J23" s="55">
        <f t="shared" si="2"/>
        <v>3786.15</v>
      </c>
      <c r="K23" s="159">
        <f t="shared" si="3"/>
        <v>5.266672091708241E-2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[1]MEMÓRIA03!E12</f>
        <v>0.79</v>
      </c>
      <c r="G24" s="73">
        <f>F24+'[1]BM_02.'!H26</f>
        <v>0.79</v>
      </c>
      <c r="H24" s="55">
        <f t="shared" si="0"/>
        <v>286974.15000000002</v>
      </c>
      <c r="I24" s="55">
        <f t="shared" si="1"/>
        <v>15113.97</v>
      </c>
      <c r="J24" s="55">
        <f t="shared" si="2"/>
        <v>15113.97</v>
      </c>
      <c r="K24" s="159">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[1]MEMÓRIA03!E13</f>
        <v>0.19000000000000006</v>
      </c>
      <c r="G25" s="73">
        <f>F25+'[1]BM_02.'!H27</f>
        <v>0.79</v>
      </c>
      <c r="H25" s="55">
        <f t="shared" si="0"/>
        <v>82445.399999999994</v>
      </c>
      <c r="I25" s="55">
        <f t="shared" si="1"/>
        <v>1044.31</v>
      </c>
      <c r="J25" s="55">
        <f t="shared" si="2"/>
        <v>4342.12</v>
      </c>
      <c r="K25" s="159">
        <f t="shared" si="3"/>
        <v>5.266661329801299E-2</v>
      </c>
    </row>
    <row r="26" spans="1:12" x14ac:dyDescent="0.25">
      <c r="A26" s="39" t="str">
        <f>[1]Orçamento!A15</f>
        <v xml:space="preserve"> 3 </v>
      </c>
      <c r="B26" s="45" t="str">
        <f>[1]Orçamento!D15</f>
        <v>MOVIMENTO DE TERRA</v>
      </c>
      <c r="C26" s="39"/>
      <c r="D26" s="48"/>
      <c r="E26" s="48"/>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[1]MEMÓRIA03!E15</f>
        <v>0</v>
      </c>
      <c r="G27" s="73">
        <f>F27+'[1]BM_02.'!H29</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[1]MEMÓRIA03!E16</f>
        <v>0</v>
      </c>
      <c r="G28" s="73">
        <f>F28+'[1]BM_02.'!H30</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[1]MEMÓRIA03!E17</f>
        <v>0</v>
      </c>
      <c r="G29" s="73">
        <f>F29+'[1]BM_02.'!H31</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[1]MEMÓRIA03!E18</f>
        <v>0</v>
      </c>
      <c r="G30" s="73">
        <f>F30+'[1]BM_02.'!H32</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[1]MEMÓRIA03!E19</f>
        <v>0</v>
      </c>
      <c r="G31" s="73">
        <f>F31+'[1]BM_02.'!H33</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[1]MEMÓRIA03!E20</f>
        <v>0</v>
      </c>
      <c r="G32" s="73">
        <f>F32+'[1]BM_02.'!H34</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[1]MEMÓRIA03!E21</f>
        <v>0</v>
      </c>
      <c r="G33" s="73">
        <f>F33+'[1]BM_02.'!H35</f>
        <v>1568.3000000000002</v>
      </c>
      <c r="H33" s="55">
        <f t="shared" si="0"/>
        <v>482470.43439999991</v>
      </c>
      <c r="I33" s="55">
        <f t="shared" si="1"/>
        <v>0</v>
      </c>
      <c r="J33" s="55">
        <f t="shared" si="2"/>
        <v>161409.44</v>
      </c>
      <c r="K33" s="159">
        <f t="shared" si="3"/>
        <v>0.33454783649225828</v>
      </c>
    </row>
    <row r="34" spans="1:11" ht="25.5" x14ac:dyDescent="0.25">
      <c r="A34" s="41" t="s">
        <v>1112</v>
      </c>
      <c r="B34" s="46" t="s">
        <v>1109</v>
      </c>
      <c r="C34" s="41" t="s">
        <v>103</v>
      </c>
      <c r="D34" s="43">
        <v>13.228900000000001</v>
      </c>
      <c r="E34" s="43">
        <v>4687.82</v>
      </c>
      <c r="F34" s="73">
        <f>[1]MEMÓRIA03!E22</f>
        <v>0</v>
      </c>
      <c r="G34" s="73">
        <f>F34+'[1]BM_02.'!H36</f>
        <v>1481.16</v>
      </c>
      <c r="H34" s="55">
        <f t="shared" si="0"/>
        <v>62014.701998000004</v>
      </c>
      <c r="I34" s="55">
        <f t="shared" si="1"/>
        <v>0</v>
      </c>
      <c r="J34" s="55">
        <f t="shared" si="2"/>
        <v>19594.12</v>
      </c>
      <c r="K34" s="159">
        <f t="shared" si="3"/>
        <v>0.31595927044254629</v>
      </c>
    </row>
    <row r="35" spans="1:11" x14ac:dyDescent="0.25">
      <c r="A35" s="41"/>
      <c r="B35" s="46"/>
      <c r="C35" s="41"/>
      <c r="D35" s="43"/>
      <c r="E35" s="43"/>
      <c r="F35" s="73">
        <f>[1]MEMÓRIA03!E23</f>
        <v>0</v>
      </c>
      <c r="G35" s="73">
        <f>F35+'[1]BM_02.'!H37</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[1]MEMÓRIA03!E25</f>
        <v>0</v>
      </c>
      <c r="G37" s="73">
        <f>F37+'[1]BM_02.'!H39</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[1]MEMÓRIA03!E26</f>
        <v>34.5</v>
      </c>
      <c r="G38" s="73">
        <f>F38+'[1]BM_02.'!H40</f>
        <v>81.279999999999987</v>
      </c>
      <c r="H38" s="55">
        <f t="shared" si="4"/>
        <v>48713.822599999992</v>
      </c>
      <c r="I38" s="55">
        <f t="shared" si="1"/>
        <v>19494.57</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[1]MEMÓRIA03!E27</f>
        <v>34.5</v>
      </c>
      <c r="G39" s="73">
        <f>F39+'[1]BM_02.'!H41</f>
        <v>76.329999999999984</v>
      </c>
      <c r="H39" s="55">
        <f t="shared" si="4"/>
        <v>3134.5955999999996</v>
      </c>
      <c r="I39" s="55">
        <f t="shared" si="1"/>
        <v>1254.42</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[1]MEMÓRIA03!E28</f>
        <v>464</v>
      </c>
      <c r="G40" s="73">
        <f>F40+'[1]BM_02.'!H42</f>
        <v>553.81100333333336</v>
      </c>
      <c r="H40" s="55">
        <f t="shared" si="4"/>
        <v>16282.24</v>
      </c>
      <c r="I40" s="55">
        <f t="shared" si="1"/>
        <v>9080.48</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[1]MEMÓRIA03!E29</f>
        <v>261</v>
      </c>
      <c r="G41" s="73">
        <f>F41+'[1]BM_02.'!H43</f>
        <v>261</v>
      </c>
      <c r="H41" s="55">
        <f t="shared" si="4"/>
        <v>14492.399999999998</v>
      </c>
      <c r="I41" s="55">
        <f t="shared" si="1"/>
        <v>4849.38</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[1]MEMÓRIA03!E30</f>
        <v>414</v>
      </c>
      <c r="G42" s="73">
        <f>F42+'[1]BM_02.'!H44</f>
        <v>414</v>
      </c>
      <c r="H42" s="55">
        <f t="shared" si="4"/>
        <v>10756.349999999999</v>
      </c>
      <c r="I42" s="55">
        <f t="shared" si="1"/>
        <v>7240.86</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[1]MEMÓRIA03!E31</f>
        <v>49.910000000000082</v>
      </c>
      <c r="G43" s="73">
        <f>F43+'[1]BM_02.'!H45</f>
        <v>1254.9973800000002</v>
      </c>
      <c r="H43" s="55">
        <f t="shared" si="4"/>
        <v>19753.7</v>
      </c>
      <c r="I43" s="55">
        <f t="shared" si="1"/>
        <v>785.58</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[1]MEMÓRIA03!E32</f>
        <v>40.870000000000005</v>
      </c>
      <c r="G44" s="73">
        <f>F44+'[1]BM_02.'!H46</f>
        <v>422.00000000000006</v>
      </c>
      <c r="H44" s="55">
        <f t="shared" si="4"/>
        <v>5642.1399999999994</v>
      </c>
      <c r="I44" s="55">
        <f t="shared" si="1"/>
        <v>546.42999999999995</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[1]MEMÓRIA03!E33</f>
        <v>45.53</v>
      </c>
      <c r="G45" s="73">
        <f>F45+'[1]BM_02.'!H47</f>
        <v>138.0008</v>
      </c>
      <c r="H45" s="55">
        <f t="shared" si="4"/>
        <v>1752.6</v>
      </c>
      <c r="I45" s="55">
        <f t="shared" si="1"/>
        <v>578.23</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[1]MEMÓRIA03!E34</f>
        <v>84</v>
      </c>
      <c r="G46" s="73">
        <f>F46+'[1]BM_02.'!H48</f>
        <v>84</v>
      </c>
      <c r="H46" s="55">
        <f t="shared" si="4"/>
        <v>1799.59</v>
      </c>
      <c r="I46" s="55">
        <f t="shared" si="1"/>
        <v>1190.28</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[1]MEMÓRIA03!E35</f>
        <v>0</v>
      </c>
      <c r="G47" s="73">
        <f>F47+'[1]BM_02.'!H49</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[1]MEMÓRIA03!E36</f>
        <v>339.01</v>
      </c>
      <c r="G48" s="73">
        <f>F48+'[1]BM_02.'!H50</f>
        <v>339.01</v>
      </c>
      <c r="H48" s="55">
        <f t="shared" si="4"/>
        <v>133186.9572</v>
      </c>
      <c r="I48" s="55">
        <f t="shared" si="1"/>
        <v>42386.42</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[1]MEMÓRIA03!E37</f>
        <v>99</v>
      </c>
      <c r="G49" s="73">
        <f>F49+'[1]BM_02.'!H51</f>
        <v>99</v>
      </c>
      <c r="H49" s="55">
        <f t="shared" si="4"/>
        <v>11796.99</v>
      </c>
      <c r="I49" s="55">
        <f t="shared" si="1"/>
        <v>1369.17</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[1]MEMÓRIA03!E38</f>
        <v>0</v>
      </c>
      <c r="G50" s="73">
        <f>F50+'[1]BM_02.'!H52</f>
        <v>0</v>
      </c>
      <c r="H50" s="55">
        <f t="shared" si="4"/>
        <v>36220.275000000001</v>
      </c>
      <c r="I50" s="55">
        <f t="shared" si="1"/>
        <v>0</v>
      </c>
      <c r="J50" s="55">
        <f t="shared" si="2"/>
        <v>0</v>
      </c>
      <c r="K50" s="159">
        <f t="shared" si="3"/>
        <v>0</v>
      </c>
    </row>
    <row r="51" spans="1:11" x14ac:dyDescent="0.25">
      <c r="A51" s="39" t="str">
        <f>[1]Orçamento!A36</f>
        <v xml:space="preserve"> 5 </v>
      </c>
      <c r="B51" s="45" t="str">
        <f>[1]Orçamento!D36</f>
        <v>SUPERESTRUTURA</v>
      </c>
      <c r="C51" s="39"/>
      <c r="D51" s="48"/>
      <c r="E51" s="48"/>
      <c r="F51" s="56"/>
      <c r="G51" s="56"/>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[1]MEMÓRIA03!E40</f>
        <v>3.23</v>
      </c>
      <c r="G52" s="73">
        <f>F52+'[1]BM_02.'!H54</f>
        <v>8.7099999999999991</v>
      </c>
      <c r="H52" s="55">
        <f t="shared" si="4"/>
        <v>240489.53599999999</v>
      </c>
      <c r="I52" s="55">
        <f t="shared" si="1"/>
        <v>1825.14</v>
      </c>
      <c r="J52" s="55">
        <f t="shared" si="2"/>
        <v>4921.67</v>
      </c>
      <c r="K52" s="159">
        <f t="shared" si="3"/>
        <v>2.0465214752628573E-2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[1]MEMÓRIA03!E41</f>
        <v>3.23</v>
      </c>
      <c r="G53" s="73">
        <f>F53+'[1]BM_02.'!H55</f>
        <v>8.7099999999999991</v>
      </c>
      <c r="H53" s="55">
        <f t="shared" si="4"/>
        <v>15474.816000000001</v>
      </c>
      <c r="I53" s="55">
        <f t="shared" si="1"/>
        <v>117.44</v>
      </c>
      <c r="J53" s="55">
        <f t="shared" si="2"/>
        <v>316.7</v>
      </c>
      <c r="K53" s="159">
        <f t="shared" si="3"/>
        <v>2.0465509896854344E-2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[1]MEMÓRIA03!E42</f>
        <v>129.88999999999999</v>
      </c>
      <c r="G54" s="73">
        <f>F54+'[1]BM_02.'!H56</f>
        <v>129.88999999999999</v>
      </c>
      <c r="H54" s="55">
        <f t="shared" si="4"/>
        <v>77294.28</v>
      </c>
      <c r="I54" s="55">
        <f t="shared" si="1"/>
        <v>2603</v>
      </c>
      <c r="J54" s="55">
        <f t="shared" si="2"/>
        <v>2603</v>
      </c>
      <c r="K54" s="159">
        <f t="shared" si="3"/>
        <v>3.3676489385760497E-2</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[1]MEMÓRIA03!E43</f>
        <v>0</v>
      </c>
      <c r="G55" s="73">
        <f>F55+'[1]BM_02.'!H57</f>
        <v>0</v>
      </c>
      <c r="H55" s="55">
        <f t="shared" si="4"/>
        <v>29392.84</v>
      </c>
      <c r="I55" s="55">
        <f t="shared" si="1"/>
        <v>0</v>
      </c>
      <c r="J55" s="55">
        <f t="shared" si="2"/>
        <v>0</v>
      </c>
      <c r="K55" s="159">
        <f t="shared" si="3"/>
        <v>0</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[1]MEMÓRIA03!E44</f>
        <v>0</v>
      </c>
      <c r="G56" s="73">
        <f>F56+'[1]BM_02.'!H58</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[1]MEMÓRIA03!E45</f>
        <v>320.25</v>
      </c>
      <c r="G57" s="73">
        <f>F57+'[1]BM_02.'!H59</f>
        <v>320.25</v>
      </c>
      <c r="H57" s="55">
        <f t="shared" si="4"/>
        <v>134442</v>
      </c>
      <c r="I57" s="55">
        <f t="shared" si="1"/>
        <v>5043.9399999999996</v>
      </c>
      <c r="J57" s="55">
        <f t="shared" si="2"/>
        <v>5043.9399999999996</v>
      </c>
      <c r="K57" s="159">
        <f t="shared" si="3"/>
        <v>3.7517591228931432E-2</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[1]MEMÓRIA03!E46</f>
        <v>0</v>
      </c>
      <c r="G58" s="73">
        <f>F58+'[1]BM_02.'!H60</f>
        <v>0</v>
      </c>
      <c r="H58" s="55">
        <f t="shared" si="4"/>
        <v>137515.68299999999</v>
      </c>
      <c r="I58" s="55">
        <f t="shared" si="1"/>
        <v>0</v>
      </c>
      <c r="J58" s="55">
        <f t="shared" si="2"/>
        <v>0</v>
      </c>
      <c r="K58" s="159">
        <f t="shared" si="3"/>
        <v>0</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[1]MEMÓRIA03!E47</f>
        <v>0</v>
      </c>
      <c r="G59" s="73">
        <f>F59+'[1]BM_02.'!H61</f>
        <v>0</v>
      </c>
      <c r="H59" s="55">
        <f t="shared" si="4"/>
        <v>44142.053999999996</v>
      </c>
      <c r="I59" s="55">
        <f t="shared" si="1"/>
        <v>0</v>
      </c>
      <c r="J59" s="55">
        <f t="shared" si="2"/>
        <v>0</v>
      </c>
      <c r="K59" s="159">
        <f t="shared" si="3"/>
        <v>0</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[1]MEMÓRIA03!E48</f>
        <v>0</v>
      </c>
      <c r="G60" s="73">
        <f>F60+'[1]BM_02.'!H62</f>
        <v>0</v>
      </c>
      <c r="H60" s="55">
        <f t="shared" si="4"/>
        <v>15567.279</v>
      </c>
      <c r="I60" s="55">
        <f t="shared" si="1"/>
        <v>0</v>
      </c>
      <c r="J60" s="55">
        <f t="shared" si="2"/>
        <v>0</v>
      </c>
      <c r="K60" s="159">
        <f t="shared" si="3"/>
        <v>0</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[1]MEMÓRIA03!E49</f>
        <v>0</v>
      </c>
      <c r="G61" s="73">
        <f>F61+'[1]BM_02.'!H63</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[1]MEMÓRIA03!E50</f>
        <v>0</v>
      </c>
      <c r="G62" s="73">
        <f>F62+'[1]BM_02.'!H64</f>
        <v>0</v>
      </c>
      <c r="H62" s="55">
        <f t="shared" si="4"/>
        <v>44675.28</v>
      </c>
      <c r="I62" s="55">
        <f t="shared" si="1"/>
        <v>0</v>
      </c>
      <c r="J62" s="55">
        <f t="shared" si="2"/>
        <v>0</v>
      </c>
      <c r="K62" s="159">
        <f t="shared" si="3"/>
        <v>0</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[1]MEMÓRIA03!E51</f>
        <v>0</v>
      </c>
      <c r="G63" s="73">
        <f>F63+'[1]BM_02.'!H65</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[1]MEMÓRIA03!E52</f>
        <v>0</v>
      </c>
      <c r="G64" s="73">
        <f>F64+'[1]BM_02.'!H66</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[1]MEMÓRIA03!E53</f>
        <v>64.98</v>
      </c>
      <c r="G65" s="73">
        <f>F65+'[1]BM_02.'!H67</f>
        <v>142.44499999999999</v>
      </c>
      <c r="H65" s="55">
        <f t="shared" si="4"/>
        <v>59881.711799999997</v>
      </c>
      <c r="I65" s="55">
        <f t="shared" si="1"/>
        <v>5056.74</v>
      </c>
      <c r="J65" s="55">
        <f t="shared" si="2"/>
        <v>11085.07</v>
      </c>
      <c r="K65" s="159">
        <f t="shared" si="3"/>
        <v>0.18511611753891111</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[1]MEMÓRIA03!E54</f>
        <v>0</v>
      </c>
      <c r="G66" s="73">
        <f>F66+'[1]BM_02.'!H68</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56"/>
      <c r="G67" s="56"/>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[1]MEMÓRIA03!E56</f>
        <v>311.45999999999998</v>
      </c>
      <c r="G68" s="73">
        <f>F68+'[1]BM_02.'!H70</f>
        <v>311.45999999999998</v>
      </c>
      <c r="H68" s="55">
        <f t="shared" si="4"/>
        <v>409519.85219999996</v>
      </c>
      <c r="I68" s="55">
        <f t="shared" si="1"/>
        <v>25458.74</v>
      </c>
      <c r="J68" s="55">
        <f t="shared" si="2"/>
        <v>25458.74</v>
      </c>
      <c r="K68" s="159">
        <f t="shared" si="3"/>
        <v>6.2167291434669071E-2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[1]MEMÓRIA03!E57</f>
        <v>0</v>
      </c>
      <c r="G69" s="73">
        <f>F69+'[1]BM_02.'!H71</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[1]MEMÓRIA03!E58</f>
        <v>0</v>
      </c>
      <c r="G70" s="73">
        <f>F70+'[1]BM_02.'!H72</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[1]MEMÓRIA03!E59</f>
        <v>0</v>
      </c>
      <c r="G71" s="73">
        <f>F71+'[1]BM_02.'!H73</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[1]MEMÓRIA03!E60</f>
        <v>0</v>
      </c>
      <c r="G72" s="73">
        <f>F72+'[1]BM_02.'!H74</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[1]MEMÓRIA03!E61</f>
        <v>0</v>
      </c>
      <c r="G73" s="73">
        <f>F73+'[1]BM_02.'!H75</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[1]MEMÓRIA03!E62</f>
        <v>19.96</v>
      </c>
      <c r="G74" s="73">
        <f>F74+'[1]BM_02.'!H76</f>
        <v>19.96</v>
      </c>
      <c r="H74" s="55">
        <f t="shared" si="4"/>
        <v>2390.232</v>
      </c>
      <c r="I74" s="55">
        <f t="shared" si="1"/>
        <v>1268.8599999999999</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[1]MEMÓRIA03!E63</f>
        <v>0</v>
      </c>
      <c r="G75" s="73">
        <f>F75+'[1]BM_02.'!H77</f>
        <v>0</v>
      </c>
      <c r="H75" s="55">
        <f t="shared" si="4"/>
        <v>2217.2719999999999</v>
      </c>
      <c r="I75" s="55">
        <f t="shared" si="1"/>
        <v>0</v>
      </c>
      <c r="J75" s="55">
        <f t="shared" si="2"/>
        <v>0</v>
      </c>
      <c r="K75" s="159">
        <f t="shared" si="3"/>
        <v>0</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[1]MEMÓRIA03!E64</f>
        <v>10.5</v>
      </c>
      <c r="G76" s="73">
        <f>F76+'[1]BM_02.'!H78</f>
        <v>10.5</v>
      </c>
      <c r="H76" s="55">
        <f t="shared" si="4"/>
        <v>2793.71</v>
      </c>
      <c r="I76" s="55">
        <f t="shared" si="1"/>
        <v>383.25</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[1]MEMÓRIA03!E65</f>
        <v>0</v>
      </c>
      <c r="G77" s="73">
        <f>F77+'[1]BM_02.'!H79</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[1]MEMÓRIA03!E66</f>
        <v>0</v>
      </c>
      <c r="G78" s="73">
        <f>F78+'[1]BM_02.'!H80</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[1]MEMÓRIA03!E67</f>
        <v>0</v>
      </c>
      <c r="G79" s="73">
        <f>F79+'[1]BM_02.'!H81</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56"/>
      <c r="G80" s="56"/>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[1]MEMÓRIA03!E69</f>
        <v>0</v>
      </c>
      <c r="G81" s="73">
        <f>F81+'[1]BM_02.'!H83</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[1]MEMÓRIA03!E70</f>
        <v>0</v>
      </c>
      <c r="G82" s="73">
        <f>F82+'[1]BM_02.'!H84</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[1]MEMÓRIA03!E71</f>
        <v>0</v>
      </c>
      <c r="G83" s="73">
        <f>F83+'[1]BM_02.'!H85</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[1]MEMÓRIA03!E72</f>
        <v>0</v>
      </c>
      <c r="G84" s="73">
        <f>F84+'[1]BM_02.'!H86</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[1]MEMÓRIA03!E73</f>
        <v>0</v>
      </c>
      <c r="G85" s="73">
        <f>F85+'[1]BM_02.'!H87</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[1]MEMÓRIA03!E74</f>
        <v>0</v>
      </c>
      <c r="G86" s="73">
        <f>F86+'[1]BM_02.'!H88</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[1]MEMÓRIA03!E75</f>
        <v>0</v>
      </c>
      <c r="G87" s="73">
        <f>F87+'[1]BM_02.'!H89</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[1]MEMÓRIA03!E76</f>
        <v>0</v>
      </c>
      <c r="G88" s="73">
        <f>F88+'[1]BM_02.'!H90</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[1]MEMÓRIA03!E77</f>
        <v>0</v>
      </c>
      <c r="G89" s="73">
        <f>F89+'[1]BM_02.'!H91</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[1]MEMÓRIA03!E78</f>
        <v>0</v>
      </c>
      <c r="G90" s="73">
        <f>F90+'[1]BM_02.'!H92</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[1]MEMÓRIA03!E79</f>
        <v>0</v>
      </c>
      <c r="G91" s="73">
        <f>F91+'[1]BM_02.'!H93</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[1]MEMÓRIA03!E80</f>
        <v>0</v>
      </c>
      <c r="G92" s="73">
        <f>F92+'[1]BM_02.'!H94</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[1]MEMÓRIA03!E81</f>
        <v>0</v>
      </c>
      <c r="G93" s="73">
        <f>F93+'[1]BM_02.'!H95</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56"/>
      <c r="G94" s="56"/>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[1]MEMÓRIA03!E83</f>
        <v>0</v>
      </c>
      <c r="G95" s="73">
        <f>F95+'[1]BM_02.'!H97</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[1]MEMÓRIA03!E84</f>
        <v>0</v>
      </c>
      <c r="G96" s="73">
        <f>F96+'[1]BM_02.'!H98</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[1]MEMÓRIA03!E85</f>
        <v>0</v>
      </c>
      <c r="G97" s="73">
        <f>F97+'[1]BM_02.'!H99</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[1]MEMÓRIA03!E86</f>
        <v>0</v>
      </c>
      <c r="G98" s="73">
        <f>F98+'[1]BM_02.'!H100</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56"/>
      <c r="G99" s="56"/>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[1]MEMÓRIA03!E88</f>
        <v>0</v>
      </c>
      <c r="G100" s="73">
        <f>F100+'[1]BM_02.'!H102</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[1]MEMÓRIA03!E89</f>
        <v>0</v>
      </c>
      <c r="G101" s="73">
        <f>F101+'[1]BM_02.'!H103</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[1]MEMÓRIA03!E90</f>
        <v>0</v>
      </c>
      <c r="G102" s="73">
        <f>F102+'[1]BM_02.'!H104</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[1]MEMÓRIA03!E91</f>
        <v>0</v>
      </c>
      <c r="G103" s="73">
        <f>F103+'[1]BM_02.'!H105</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56"/>
      <c r="G104" s="56"/>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[1]MEMÓRIA03!E93</f>
        <v>0</v>
      </c>
      <c r="G105" s="73">
        <f>F105+'[1]BM_02.'!H107</f>
        <v>0</v>
      </c>
      <c r="H105" s="55">
        <f t="shared" ref="H105:H168" si="9">E105*D105</f>
        <v>26263.0416</v>
      </c>
      <c r="I105" s="55">
        <f t="shared" si="5"/>
        <v>0</v>
      </c>
      <c r="J105" s="55">
        <f t="shared" si="6"/>
        <v>0</v>
      </c>
      <c r="K105" s="159">
        <f t="shared" si="7"/>
        <v>0</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[1]MEMÓRIA03!E94</f>
        <v>0</v>
      </c>
      <c r="G106" s="73">
        <f>F106+'[1]BM_02.'!H108</f>
        <v>0</v>
      </c>
      <c r="H106" s="55">
        <f t="shared" si="9"/>
        <v>226776.21460000001</v>
      </c>
      <c r="I106" s="55">
        <f t="shared" si="5"/>
        <v>0</v>
      </c>
      <c r="J106" s="55">
        <f t="shared" si="6"/>
        <v>0</v>
      </c>
      <c r="K106" s="159">
        <f t="shared" si="7"/>
        <v>0</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[1]MEMÓRIA03!E95</f>
        <v>0</v>
      </c>
      <c r="G107" s="73">
        <f>F107+'[1]BM_02.'!H109</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[1]MEMÓRIA03!E96</f>
        <v>0</v>
      </c>
      <c r="G108" s="73">
        <f>F108+'[1]BM_02.'!H110</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56"/>
      <c r="G109" s="56"/>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[1]MEMÓRIA03!E98</f>
        <v>0</v>
      </c>
      <c r="G110" s="73">
        <f>F110+'[1]BM_02.'!H112</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[1]MEMÓRIA03!E99</f>
        <v>0</v>
      </c>
      <c r="G111" s="73">
        <f>F111+'[1]BM_02.'!H113</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[1]MEMÓRIA03!E100</f>
        <v>0</v>
      </c>
      <c r="G112" s="73">
        <f>F112+'[1]BM_02.'!H114</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[1]MEMÓRIA03!E101</f>
        <v>0</v>
      </c>
      <c r="G113" s="73">
        <f>F113+'[1]BM_02.'!H115</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[1]MEMÓRIA03!E102</f>
        <v>0</v>
      </c>
      <c r="G114" s="73">
        <f>F114+'[1]BM_02.'!H116</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56"/>
      <c r="G115" s="56"/>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[1]MEMÓRIA03!E104</f>
        <v>0</v>
      </c>
      <c r="G116" s="73">
        <f>F116+'[1]BM_02.'!H118</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[1]MEMÓRIA03!E105</f>
        <v>0</v>
      </c>
      <c r="G117" s="73">
        <f>F117+'[1]BM_02.'!H119</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[1]MEMÓRIA03!E106</f>
        <v>0</v>
      </c>
      <c r="G118" s="73">
        <f>F118+'[1]BM_02.'!H120</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[1]MEMÓRIA03!E107</f>
        <v>0</v>
      </c>
      <c r="G119" s="73">
        <f>F119+'[1]BM_02.'!H121</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56"/>
      <c r="G120" s="56"/>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[1]MEMÓRIA03!E109</f>
        <v>0</v>
      </c>
      <c r="G121" s="73">
        <f>F121+'[1]BM_02.'!H123</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[1]MEMÓRIA03!E110</f>
        <v>0</v>
      </c>
      <c r="G122" s="73">
        <f>F122+'[1]BM_02.'!H124</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[1]MEMÓRIA03!E111</f>
        <v>0</v>
      </c>
      <c r="G123" s="73">
        <f>F123+'[1]BM_02.'!H125</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[1]MEMÓRIA03!E112</f>
        <v>0</v>
      </c>
      <c r="G124" s="73">
        <f>F124+'[1]BM_02.'!H126</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[1]MEMÓRIA03!E113</f>
        <v>0</v>
      </c>
      <c r="G125" s="73">
        <f>F125+'[1]BM_02.'!H127</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[1]MEMÓRIA03!E114</f>
        <v>0</v>
      </c>
      <c r="G126" s="73">
        <f>F126+'[1]BM_02.'!H128</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[1]MEMÓRIA03!E115</f>
        <v>0</v>
      </c>
      <c r="G127" s="73">
        <f>F127+'[1]BM_02.'!H129</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[1]MEMÓRIA03!E116</f>
        <v>0</v>
      </c>
      <c r="G128" s="73">
        <f>F128+'[1]BM_02.'!H130</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56"/>
      <c r="G129" s="56"/>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[1]MEMÓRIA03!E118</f>
        <v>0</v>
      </c>
      <c r="G130" s="73">
        <f>F130+'[1]BM_02.'!H132</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[1]MEMÓRIA03!E119</f>
        <v>0</v>
      </c>
      <c r="G131" s="73">
        <f>F131+'[1]BM_02.'!H133</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[1]MEMÓRIA03!E120</f>
        <v>0</v>
      </c>
      <c r="G132" s="73">
        <f>F132+'[1]BM_02.'!H134</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[1]MEMÓRIA03!E121</f>
        <v>0</v>
      </c>
      <c r="G133" s="73">
        <f>F133+'[1]BM_02.'!H135</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[1]MEMÓRIA03!E122</f>
        <v>0</v>
      </c>
      <c r="G134" s="73">
        <f>F134+'[1]BM_02.'!H136</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[1]MEMÓRIA03!E123</f>
        <v>0</v>
      </c>
      <c r="G135" s="73">
        <f>F135+'[1]BM_02.'!H137</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[1]MEMÓRIA03!E124</f>
        <v>0</v>
      </c>
      <c r="G136" s="73">
        <f>F136+'[1]BM_02.'!H138</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[1]MEMÓRIA03!E125</f>
        <v>0</v>
      </c>
      <c r="G137" s="73">
        <f>F137+'[1]BM_02.'!H139</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[1]MEMÓRIA03!E126</f>
        <v>0</v>
      </c>
      <c r="G138" s="73">
        <f>F138+'[1]BM_02.'!H140</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[1]MEMÓRIA03!E127</f>
        <v>0</v>
      </c>
      <c r="G139" s="73">
        <f>F139+'[1]BM_02.'!H141</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[1]MEMÓRIA03!E128</f>
        <v>0</v>
      </c>
      <c r="G140" s="73">
        <f>F140+'[1]BM_02.'!H142</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[1]MEMÓRIA03!E129</f>
        <v>0</v>
      </c>
      <c r="G141" s="73">
        <f>F141+'[1]BM_02.'!H143</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[1]MEMÓRIA03!E130</f>
        <v>0</v>
      </c>
      <c r="G142" s="73">
        <f>F142+'[1]BM_02.'!H144</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[1]MEMÓRIA03!E131</f>
        <v>0</v>
      </c>
      <c r="G143" s="73">
        <f>F143+'[1]BM_02.'!H145</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[1]MEMÓRIA03!E132</f>
        <v>0</v>
      </c>
      <c r="G144" s="73">
        <f>F144+'[1]BM_02.'!H146</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[1]MEMÓRIA03!E133</f>
        <v>0</v>
      </c>
      <c r="G145" s="73">
        <f>F145+'[1]BM_02.'!H147</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[1]MEMÓRIA03!E134</f>
        <v>0</v>
      </c>
      <c r="G146" s="73">
        <f>F146+'[1]BM_02.'!H148</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[1]MEMÓRIA03!E135</f>
        <v>0</v>
      </c>
      <c r="G147" s="73">
        <f>F147+'[1]BM_02.'!H149</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[1]MEMÓRIA03!E136</f>
        <v>0</v>
      </c>
      <c r="G148" s="73">
        <f>F148+'[1]BM_02.'!H150</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[1]MEMÓRIA03!E137</f>
        <v>0</v>
      </c>
      <c r="G149" s="73">
        <f>F149+'[1]BM_02.'!H151</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[1]MEMÓRIA03!E138</f>
        <v>0</v>
      </c>
      <c r="G150" s="73">
        <f>F150+'[1]BM_02.'!H152</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[1]MEMÓRIA03!E139</f>
        <v>0</v>
      </c>
      <c r="G151" s="73">
        <f>F151+'[1]BM_02.'!H153</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[1]MEMÓRIA03!E140</f>
        <v>0</v>
      </c>
      <c r="G152" s="73">
        <f>F152+'[1]BM_02.'!H154</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56"/>
      <c r="G153" s="56"/>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[1]MEMÓRIA03!E142</f>
        <v>0</v>
      </c>
      <c r="G154" s="73">
        <f>F154+'[1]BM_02.'!H156</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[1]MEMÓRIA03!E143</f>
        <v>0</v>
      </c>
      <c r="G155" s="73">
        <f>F155+'[1]BM_02.'!H157</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[1]MEMÓRIA03!E144</f>
        <v>0</v>
      </c>
      <c r="G156" s="73">
        <f>F156+'[1]BM_02.'!H158</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[1]MEMÓRIA03!E145</f>
        <v>0</v>
      </c>
      <c r="G157" s="73">
        <f>F157+'[1]BM_02.'!H159</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[1]MEMÓRIA03!E146</f>
        <v>0</v>
      </c>
      <c r="G158" s="73">
        <f>F158+'[1]BM_02.'!H160</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[1]MEMÓRIA03!E147</f>
        <v>0</v>
      </c>
      <c r="G159" s="73">
        <f>F159+'[1]BM_02.'!H161</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[1]MEMÓRIA03!E148</f>
        <v>0</v>
      </c>
      <c r="G160" s="73">
        <f>F160+'[1]BM_02.'!H162</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[1]MEMÓRIA03!E149</f>
        <v>0</v>
      </c>
      <c r="G161" s="73">
        <f>F161+'[1]BM_02.'!H163</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[1]MEMÓRIA03!E150</f>
        <v>0</v>
      </c>
      <c r="G162" s="73">
        <f>F162+'[1]BM_02.'!H164</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[1]MEMÓRIA03!E151</f>
        <v>0</v>
      </c>
      <c r="G163" s="73">
        <f>F163+'[1]BM_02.'!H165</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[1]MEMÓRIA03!E152</f>
        <v>0</v>
      </c>
      <c r="G164" s="73">
        <f>F164+'[1]BM_02.'!H166</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[1]MEMÓRIA03!E153</f>
        <v>0</v>
      </c>
      <c r="G165" s="73">
        <f>F165+'[1]BM_02.'!H167</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[1]MEMÓRIA03!E154</f>
        <v>0</v>
      </c>
      <c r="G166" s="73">
        <f>F166+'[1]BM_02.'!H168</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[1]MEMÓRIA03!E155</f>
        <v>0</v>
      </c>
      <c r="G167" s="73">
        <f>F167+'[1]BM_02.'!H169</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[1]MEMÓRIA03!E156</f>
        <v>0</v>
      </c>
      <c r="G168" s="73">
        <f>F168+'[1]BM_02.'!H170</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[1]MEMÓRIA03!E157</f>
        <v>0</v>
      </c>
      <c r="G169" s="73">
        <f>F169+'[1]BM_02.'!H171</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[1]MEMÓRIA03!E158</f>
        <v>0</v>
      </c>
      <c r="G170" s="73">
        <f>F170+'[1]BM_02.'!H172</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56"/>
      <c r="G171" s="56"/>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[1]MEMÓRIA03!E160</f>
        <v>0</v>
      </c>
      <c r="G172" s="73">
        <f>F172+'[1]BM_02.'!H174</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[1]MEMÓRIA03!E161</f>
        <v>0</v>
      </c>
      <c r="G173" s="73">
        <f>F173+'[1]BM_02.'!H175</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[1]MEMÓRIA03!E162</f>
        <v>0</v>
      </c>
      <c r="G174" s="73">
        <f>F174+'[1]BM_02.'!H176</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[1]MEMÓRIA03!E163</f>
        <v>0</v>
      </c>
      <c r="G175" s="73">
        <f>F175+'[1]BM_02.'!H177</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[1]MEMÓRIA03!E164</f>
        <v>0</v>
      </c>
      <c r="G176" s="73">
        <f>F176+'[1]BM_02.'!H178</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[1]MEMÓRIA03!E165</f>
        <v>0</v>
      </c>
      <c r="G177" s="73">
        <f>F177+'[1]BM_02.'!H179</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[1]MEMÓRIA03!E166</f>
        <v>0</v>
      </c>
      <c r="G178" s="73">
        <f>F178+'[1]BM_02.'!H180</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[1]MEMÓRIA03!E167</f>
        <v>0</v>
      </c>
      <c r="G179" s="73">
        <f>F179+'[1]BM_02.'!H181</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[1]MEMÓRIA03!E168</f>
        <v>0</v>
      </c>
      <c r="G180" s="73">
        <f>F180+'[1]BM_02.'!H182</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[1]MEMÓRIA03!E169</f>
        <v>0</v>
      </c>
      <c r="G181" s="73">
        <f>F181+'[1]BM_02.'!H183</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[1]MEMÓRIA03!E170</f>
        <v>0</v>
      </c>
      <c r="G182" s="73">
        <f>F182+'[1]BM_02.'!H184</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[1]MEMÓRIA03!E171</f>
        <v>0</v>
      </c>
      <c r="G183" s="73">
        <f>F183+'[1]BM_02.'!H185</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[1]MEMÓRIA03!E172</f>
        <v>0</v>
      </c>
      <c r="G184" s="73">
        <f>F184+'[1]BM_02.'!H186</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[1]MEMÓRIA03!E173</f>
        <v>0</v>
      </c>
      <c r="G185" s="73">
        <f>F185+'[1]BM_02.'!H187</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[1]MEMÓRIA03!E174</f>
        <v>0</v>
      </c>
      <c r="G186" s="73">
        <f>F186+'[1]BM_02.'!H188</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[1]MEMÓRIA03!E175</f>
        <v>0</v>
      </c>
      <c r="G187" s="73">
        <f>F187+'[1]BM_02.'!H189</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[1]MEMÓRIA03!E176</f>
        <v>0</v>
      </c>
      <c r="G188" s="73">
        <f>F188+'[1]BM_02.'!H190</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[1]MEMÓRIA03!E177</f>
        <v>0</v>
      </c>
      <c r="G189" s="73">
        <f>F189+'[1]BM_02.'!H191</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56"/>
      <c r="G190" s="56"/>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[1]MEMÓRIA03!E179</f>
        <v>0</v>
      </c>
      <c r="G191" s="73">
        <f>F191+'[1]BM_02.'!H193</f>
        <v>0</v>
      </c>
      <c r="H191" s="55">
        <f t="shared" si="13"/>
        <v>14059.51</v>
      </c>
      <c r="I191" s="55">
        <f t="shared" si="10"/>
        <v>0</v>
      </c>
      <c r="J191" s="55">
        <f t="shared" si="11"/>
        <v>0</v>
      </c>
      <c r="K191" s="159">
        <f t="shared" si="12"/>
        <v>0</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[1]MEMÓRIA03!E180</f>
        <v>0</v>
      </c>
      <c r="G192" s="73">
        <f>F192+'[1]BM_02.'!H194</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[1]MEMÓRIA03!E181</f>
        <v>0</v>
      </c>
      <c r="G193" s="73">
        <f>F193+'[1]BM_02.'!H195</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[1]MEMÓRIA03!E182</f>
        <v>0</v>
      </c>
      <c r="G194" s="73">
        <f>F194+'[1]BM_02.'!H196</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[1]MEMÓRIA03!E183</f>
        <v>0</v>
      </c>
      <c r="G195" s="73">
        <f>F195+'[1]BM_02.'!H197</f>
        <v>0</v>
      </c>
      <c r="H195" s="55">
        <f t="shared" si="13"/>
        <v>12749.1</v>
      </c>
      <c r="I195" s="55">
        <f t="shared" si="10"/>
        <v>0</v>
      </c>
      <c r="J195" s="55">
        <f t="shared" si="11"/>
        <v>0</v>
      </c>
      <c r="K195" s="159">
        <f t="shared" si="12"/>
        <v>0</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[1]MEMÓRIA03!E184</f>
        <v>0</v>
      </c>
      <c r="G196" s="73">
        <f>F196+'[1]BM_02.'!H198</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[1]MEMÓRIA03!E185</f>
        <v>0</v>
      </c>
      <c r="G197" s="73">
        <f>F197+'[1]BM_02.'!H199</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[1]MEMÓRIA03!E186</f>
        <v>0</v>
      </c>
      <c r="G198" s="73">
        <f>F198+'[1]BM_02.'!H200</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[1]MEMÓRIA03!E187</f>
        <v>0</v>
      </c>
      <c r="G199" s="73">
        <f>F199+'[1]BM_02.'!H201</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56"/>
      <c r="G200" s="56"/>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[1]MEMÓRIA03!E189</f>
        <v>0</v>
      </c>
      <c r="G201" s="73">
        <f>F201+'[1]BM_02.'!H203</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[1]MEMÓRIA03!E190</f>
        <v>0</v>
      </c>
      <c r="G202" s="73">
        <f>F202+'[1]BM_02.'!H204</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[1]MEMÓRIA03!E191</f>
        <v>0</v>
      </c>
      <c r="G203" s="73">
        <f>F203+'[1]BM_02.'!H205</f>
        <v>0</v>
      </c>
      <c r="H203" s="55">
        <f t="shared" si="13"/>
        <v>5949.58</v>
      </c>
      <c r="I203" s="55">
        <f t="shared" si="10"/>
        <v>0</v>
      </c>
      <c r="J203" s="55">
        <f t="shared" si="11"/>
        <v>0</v>
      </c>
      <c r="K203" s="159">
        <f t="shared" si="12"/>
        <v>0</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[1]MEMÓRIA03!E192</f>
        <v>0</v>
      </c>
      <c r="G204" s="73">
        <f>F204+'[1]BM_02.'!H206</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[1]MEMÓRIA03!E193</f>
        <v>0</v>
      </c>
      <c r="G205" s="73">
        <f>F205+'[1]BM_02.'!H207</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56"/>
      <c r="G206" s="56"/>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[1]MEMÓRIA03!E195</f>
        <v>0</v>
      </c>
      <c r="G207" s="73">
        <f>F207+'[1]BM_02.'!H209</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[1]MEMÓRIA03!E196</f>
        <v>0</v>
      </c>
      <c r="G208" s="73">
        <f>F208+'[1]BM_02.'!H210</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[1]MEMÓRIA03!E197</f>
        <v>0</v>
      </c>
      <c r="G209" s="73">
        <f>F209+'[1]BM_02.'!H211</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[1]MEMÓRIA03!E198</f>
        <v>0</v>
      </c>
      <c r="G210" s="73">
        <f>F210+'[1]BM_02.'!H212</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[1]MEMÓRIA03!E199</f>
        <v>0</v>
      </c>
      <c r="G211" s="73">
        <f>F211+'[1]BM_02.'!H213</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[1]MEMÓRIA03!E200</f>
        <v>0</v>
      </c>
      <c r="G212" s="73">
        <f>F212+'[1]BM_02.'!H214</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[1]MEMÓRIA03!E201</f>
        <v>0</v>
      </c>
      <c r="G213" s="73">
        <f>F213+'[1]BM_02.'!H215</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[1]MEMÓRIA03!E202</f>
        <v>0</v>
      </c>
      <c r="G214" s="73">
        <f>F214+'[1]BM_02.'!H216</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[1]MEMÓRIA03!E203</f>
        <v>0</v>
      </c>
      <c r="G215" s="73">
        <f>F215+'[1]BM_02.'!H217</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[1]MEMÓRIA03!E204</f>
        <v>0</v>
      </c>
      <c r="G216" s="73">
        <f>F216+'[1]BM_02.'!H218</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[1]MEMÓRIA03!E205</f>
        <v>0</v>
      </c>
      <c r="G217" s="73">
        <f>F217+'[1]BM_02.'!H219</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[1]MEMÓRIA03!E206</f>
        <v>0</v>
      </c>
      <c r="G218" s="73">
        <f>F218+'[1]BM_02.'!H220</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[1]MEMÓRIA03!E207</f>
        <v>0</v>
      </c>
      <c r="G219" s="73">
        <f>F219+'[1]BM_02.'!H221</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[1]MEMÓRIA03!E208</f>
        <v>0</v>
      </c>
      <c r="G220" s="73">
        <f>F220+'[1]BM_02.'!H222</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[1]MEMÓRIA03!E209</f>
        <v>0</v>
      </c>
      <c r="G221" s="73">
        <f>F221+'[1]BM_02.'!H223</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[1]MEMÓRIA03!E210</f>
        <v>0</v>
      </c>
      <c r="G222" s="73">
        <f>F222+'[1]BM_02.'!H224</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[1]MEMÓRIA03!E211</f>
        <v>0</v>
      </c>
      <c r="G223" s="73">
        <f>F223+'[1]BM_02.'!H225</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[1]MEMÓRIA03!E212</f>
        <v>0</v>
      </c>
      <c r="G224" s="73">
        <f>F224+'[1]BM_02.'!H226</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[1]MEMÓRIA03!E213</f>
        <v>0</v>
      </c>
      <c r="G225" s="73">
        <f>F225+'[1]BM_02.'!H227</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[1]MEMÓRIA03!E214</f>
        <v>0</v>
      </c>
      <c r="G226" s="73">
        <f>F226+'[1]BM_02.'!H228</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[1]MEMÓRIA03!E215</f>
        <v>0</v>
      </c>
      <c r="G227" s="73">
        <f>F227+'[1]BM_02.'!H229</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[1]MEMÓRIA03!E216</f>
        <v>0</v>
      </c>
      <c r="G228" s="73">
        <f>F228+'[1]BM_02.'!H230</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[1]MEMÓRIA03!E217</f>
        <v>0</v>
      </c>
      <c r="G229" s="73">
        <f>F229+'[1]BM_02.'!H231</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[1]MEMÓRIA03!E218</f>
        <v>0</v>
      </c>
      <c r="G230" s="73">
        <f>F230+'[1]BM_02.'!H232</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[1]MEMÓRIA03!E219</f>
        <v>0</v>
      </c>
      <c r="G231" s="73">
        <f>F231+'[1]BM_02.'!H233</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[1]MEMÓRIA03!E220</f>
        <v>0</v>
      </c>
      <c r="G232" s="73">
        <f>F232+'[1]BM_02.'!H234</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[1]MEMÓRIA03!E221</f>
        <v>0</v>
      </c>
      <c r="G233" s="73">
        <f>F233+'[1]BM_02.'!H235</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[1]MEMÓRIA03!E222</f>
        <v>0</v>
      </c>
      <c r="G234" s="73">
        <f>F234+'[1]BM_02.'!H236</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[1]MEMÓRIA03!E223</f>
        <v>0</v>
      </c>
      <c r="G235" s="73">
        <f>F235+'[1]BM_02.'!H237</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[1]MEMÓRIA03!E224</f>
        <v>0</v>
      </c>
      <c r="G236" s="73">
        <f>F236+'[1]BM_02.'!H238</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[1]MEMÓRIA03!E225</f>
        <v>0</v>
      </c>
      <c r="G237" s="73">
        <f>F237+'[1]BM_02.'!H239</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[1]MEMÓRIA03!E226</f>
        <v>0</v>
      </c>
      <c r="G238" s="73">
        <f>F238+'[1]BM_02.'!H240</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[1]MEMÓRIA03!E227</f>
        <v>0</v>
      </c>
      <c r="G239" s="73">
        <f>F239+'[1]BM_02.'!H241</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[1]MEMÓRIA03!E228</f>
        <v>0</v>
      </c>
      <c r="G240" s="73">
        <f>F240+'[1]BM_02.'!H242</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[1]MEMÓRIA03!E229</f>
        <v>0</v>
      </c>
      <c r="G241" s="73">
        <f>F241+'[1]BM_02.'!H243</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[1]MEMÓRIA03!E230</f>
        <v>0</v>
      </c>
      <c r="G242" s="73">
        <f>F242+'[1]BM_02.'!H244</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[1]MEMÓRIA03!E231</f>
        <v>0</v>
      </c>
      <c r="G243" s="73">
        <f>F243+'[1]BM_02.'!H245</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[1]MEMÓRIA03!E232</f>
        <v>0</v>
      </c>
      <c r="G244" s="73">
        <f>F244+'[1]BM_02.'!H246</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[1]MEMÓRIA03!E233</f>
        <v>0</v>
      </c>
      <c r="G245" s="73">
        <f>F245+'[1]BM_02.'!H247</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[1]MEMÓRIA03!E234</f>
        <v>0</v>
      </c>
      <c r="G246" s="73">
        <f>F246+'[1]BM_02.'!H248</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[1]MEMÓRIA03!E235</f>
        <v>0</v>
      </c>
      <c r="G247" s="73">
        <f>F247+'[1]BM_02.'!H249</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[1]MEMÓRIA03!E236</f>
        <v>0</v>
      </c>
      <c r="G248" s="73">
        <f>F248+'[1]BM_02.'!H250</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[1]MEMÓRIA03!E237</f>
        <v>0</v>
      </c>
      <c r="G249" s="73">
        <f>F249+'[1]BM_02.'!H251</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[1]MEMÓRIA03!E238</f>
        <v>0</v>
      </c>
      <c r="G250" s="73">
        <f>F250+'[1]BM_02.'!H252</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[1]MEMÓRIA03!E239</f>
        <v>0</v>
      </c>
      <c r="G251" s="73">
        <f>F251+'[1]BM_02.'!H253</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[1]MEMÓRIA03!E240</f>
        <v>0</v>
      </c>
      <c r="G252" s="73">
        <f>F252+'[1]BM_02.'!H254</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[1]MEMÓRIA03!E241</f>
        <v>0</v>
      </c>
      <c r="G253" s="73">
        <f>F253+'[1]BM_02.'!H255</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[1]MEMÓRIA03!E242</f>
        <v>0</v>
      </c>
      <c r="G254" s="73">
        <f>F254+'[1]BM_02.'!H256</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[1]MEMÓRIA03!E243</f>
        <v>0</v>
      </c>
      <c r="G255" s="73">
        <f>F255+'[1]BM_02.'!H257</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[1]MEMÓRIA03!E244</f>
        <v>0</v>
      </c>
      <c r="G256" s="73">
        <f>F256+'[1]BM_02.'!H258</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[1]MEMÓRIA03!E245</f>
        <v>0</v>
      </c>
      <c r="G257" s="73">
        <f>F257+'[1]BM_02.'!H259</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56"/>
      <c r="G258" s="56"/>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[1]MEMÓRIA03!E247</f>
        <v>0</v>
      </c>
      <c r="G259" s="73">
        <f>F259+'[1]BM_02.'!H261</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[1]MEMÓRIA03!E248</f>
        <v>0</v>
      </c>
      <c r="G260" s="73">
        <f>F260+'[1]BM_02.'!H262</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[1]MEMÓRIA03!E249</f>
        <v>0</v>
      </c>
      <c r="G261" s="73">
        <f>F261+'[1]BM_02.'!H263</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[1]MEMÓRIA03!E250</f>
        <v>0</v>
      </c>
      <c r="G262" s="73">
        <f>F262+'[1]BM_02.'!H264</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[1]MEMÓRIA03!E251</f>
        <v>0</v>
      </c>
      <c r="G263" s="73">
        <f>F263+'[1]BM_02.'!H265</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[1]MEMÓRIA03!E252</f>
        <v>0</v>
      </c>
      <c r="G264" s="73">
        <f>F264+'[1]BM_02.'!H266</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[1]MEMÓRIA03!E253</f>
        <v>0</v>
      </c>
      <c r="G265" s="73">
        <f>F265+'[1]BM_02.'!H267</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[1]MEMÓRIA03!E254</f>
        <v>0</v>
      </c>
      <c r="G266" s="73">
        <f>F266+'[1]BM_02.'!H268</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[1]MEMÓRIA03!E255</f>
        <v>0</v>
      </c>
      <c r="G267" s="73">
        <f>F267+'[1]BM_02.'!H269</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[1]MEMÓRIA03!E256</f>
        <v>0</v>
      </c>
      <c r="G268" s="73">
        <f>F268+'[1]BM_02.'!H270</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[1]MEMÓRIA03!E257</f>
        <v>0</v>
      </c>
      <c r="G269" s="73">
        <f>F269+'[1]BM_02.'!H271</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[1]MEMÓRIA03!E258</f>
        <v>0</v>
      </c>
      <c r="G270" s="73">
        <f>F270+'[1]BM_02.'!H272</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[1]MEMÓRIA03!E259</f>
        <v>0</v>
      </c>
      <c r="G271" s="73">
        <f>F271+'[1]BM_02.'!H273</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[1]MEMÓRIA03!E260</f>
        <v>0</v>
      </c>
      <c r="G272" s="73">
        <f>F272+'[1]BM_02.'!H274</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[1]MEMÓRIA03!E261</f>
        <v>0</v>
      </c>
      <c r="G273" s="73">
        <f>F273+'[1]BM_02.'!H275</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[1]MEMÓRIA03!E262</f>
        <v>0</v>
      </c>
      <c r="G274" s="73">
        <f>F274+'[1]BM_02.'!H276</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[1]MEMÓRIA03!E263</f>
        <v>0</v>
      </c>
      <c r="G275" s="73">
        <f>F275+'[1]BM_02.'!H277</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[1]MEMÓRIA03!E264</f>
        <v>0</v>
      </c>
      <c r="G276" s="73">
        <f>F276+'[1]BM_02.'!H278</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[1]MEMÓRIA03!E265</f>
        <v>0</v>
      </c>
      <c r="G277" s="73">
        <f>F277+'[1]BM_02.'!H279</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[1]MEMÓRIA03!E266</f>
        <v>0</v>
      </c>
      <c r="G278" s="73">
        <f>F278+'[1]BM_02.'!H280</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56"/>
      <c r="G279" s="56"/>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[1]MEMÓRIA03!E268</f>
        <v>0</v>
      </c>
      <c r="G280" s="73">
        <f>F280+'[1]BM_02.'!H282</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[1]MEMÓRIA03!E269</f>
        <v>0</v>
      </c>
      <c r="G281" s="73">
        <f>F281+'[1]BM_02.'!H283</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[1]MEMÓRIA03!E270</f>
        <v>0</v>
      </c>
      <c r="G282" s="73">
        <f>F282+'[1]BM_02.'!H284</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[1]MEMÓRIA03!E271</f>
        <v>0</v>
      </c>
      <c r="G283" s="73">
        <f>F283+'[1]BM_02.'!H285</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[1]MEMÓRIA03!E272</f>
        <v>0</v>
      </c>
      <c r="G284" s="73">
        <f>F284+'[1]BM_02.'!H286</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[1]MEMÓRIA03!E273</f>
        <v>0</v>
      </c>
      <c r="G285" s="73">
        <f>F285+'[1]BM_02.'!H287</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[1]MEMÓRIA03!E274</f>
        <v>0</v>
      </c>
      <c r="G286" s="73">
        <f>F286+'[1]BM_02.'!H288</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[1]MEMÓRIA03!E275</f>
        <v>0</v>
      </c>
      <c r="G287" s="73">
        <f>F287+'[1]BM_02.'!H289</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[1]MEMÓRIA03!E276</f>
        <v>0</v>
      </c>
      <c r="G288" s="73">
        <f>F288+'[1]BM_02.'!H290</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[1]MEMÓRIA03!E277</f>
        <v>0</v>
      </c>
      <c r="G289" s="73">
        <f>F289+'[1]BM_02.'!H291</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[1]MEMÓRIA03!E278</f>
        <v>0</v>
      </c>
      <c r="G290" s="73">
        <f>F290+'[1]BM_02.'!H292</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[1]MEMÓRIA03!E279</f>
        <v>0</v>
      </c>
      <c r="G291" s="73">
        <f>F291+'[1]BM_02.'!H293</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56"/>
      <c r="G292" s="56"/>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[1]MEMÓRIA03!E281</f>
        <v>0</v>
      </c>
      <c r="G293" s="73">
        <f>F293+'[1]BM_02.'!H295</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[1]MEMÓRIA03!E282</f>
        <v>0</v>
      </c>
      <c r="G294" s="73">
        <f>F294+'[1]BM_02.'!H296</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[1]MEMÓRIA03!E283</f>
        <v>0</v>
      </c>
      <c r="G295" s="73">
        <f>F295+'[1]BM_02.'!H297</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[1]MEMÓRIA03!E284</f>
        <v>0</v>
      </c>
      <c r="G296" s="73">
        <f>F296+'[1]BM_02.'!H298</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[1]MEMÓRIA03!E285</f>
        <v>0</v>
      </c>
      <c r="G297" s="73">
        <f>F297+'[1]BM_02.'!H299</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[1]MEMÓRIA03!E286</f>
        <v>0</v>
      </c>
      <c r="G298" s="73">
        <f>F298+'[1]BM_02.'!H300</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56"/>
      <c r="G299" s="56"/>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[1]MEMÓRIA03!E288</f>
        <v>0</v>
      </c>
      <c r="G300" s="73">
        <f>F300+'[1]BM_02.'!H302</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[1]MEMÓRIA03!E289</f>
        <v>0</v>
      </c>
      <c r="G301" s="73">
        <f>F301+'[1]BM_02.'!H303</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[1]MEMÓRIA03!E290</f>
        <v>0</v>
      </c>
      <c r="G302" s="73">
        <f>F302+'[1]BM_02.'!H304</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[1]MEMÓRIA03!E291</f>
        <v>0</v>
      </c>
      <c r="G303" s="73">
        <f>F303+'[1]BM_02.'!H305</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[1]MEMÓRIA03!E292</f>
        <v>0</v>
      </c>
      <c r="G304" s="73">
        <f>F304+'[1]BM_02.'!H306</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[1]MEMÓRIA03!E293</f>
        <v>0</v>
      </c>
      <c r="G305" s="73">
        <f>F305+'[1]BM_02.'!H307</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[1]MEMÓRIA03!E294</f>
        <v>0</v>
      </c>
      <c r="G306" s="73">
        <f>F306+'[1]BM_02.'!H308</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[1]MEMÓRIA03!E295</f>
        <v>0</v>
      </c>
      <c r="G307" s="73">
        <f>F307+'[1]BM_02.'!H309</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[1]MEMÓRIA03!E296</f>
        <v>0</v>
      </c>
      <c r="G308" s="73">
        <f>F308+'[1]BM_02.'!H310</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[1]MEMÓRIA03!E297</f>
        <v>0</v>
      </c>
      <c r="G309" s="73">
        <f>F309+'[1]BM_02.'!H311</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[1]MEMÓRIA03!E298</f>
        <v>0</v>
      </c>
      <c r="G310" s="73">
        <f>F310+'[1]BM_02.'!H312</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[1]MEMÓRIA03!E299</f>
        <v>0</v>
      </c>
      <c r="G311" s="73">
        <f>F311+'[1]BM_02.'!H313</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[1]MEMÓRIA03!E300</f>
        <v>0</v>
      </c>
      <c r="G312" s="73">
        <f>F312+'[1]BM_02.'!H314</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[1]MEMÓRIA03!E301</f>
        <v>0</v>
      </c>
      <c r="G313" s="73">
        <f>F313+'[1]BM_02.'!H315</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[1]MEMÓRIA03!E302</f>
        <v>0</v>
      </c>
      <c r="G314" s="73">
        <f>F314+'[1]BM_02.'!H316</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[1]MEMÓRIA03!E303</f>
        <v>0</v>
      </c>
      <c r="G315" s="73">
        <f>F315+'[1]BM_02.'!H317</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[1]MEMÓRIA03!E304</f>
        <v>0</v>
      </c>
      <c r="G316" s="73">
        <f>F316+'[1]BM_02.'!H318</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[1]MEMÓRIA03!E305</f>
        <v>0</v>
      </c>
      <c r="G317" s="73">
        <f>F317+'[1]BM_02.'!H319</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[1]MEMÓRIA03!E306</f>
        <v>0</v>
      </c>
      <c r="G318" s="73">
        <f>F318+'[1]BM_02.'!H320</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56"/>
      <c r="G319" s="56"/>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[1]MEMÓRIA03!E308</f>
        <v>0</v>
      </c>
      <c r="G320" s="73">
        <f>F320+'[1]BM_02.'!H322</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[1]MEMÓRIA03!E309</f>
        <v>0</v>
      </c>
      <c r="G321" s="73">
        <f>F321+'[1]BM_02.'!H323</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[1]MEMÓRIA03!E310</f>
        <v>0</v>
      </c>
      <c r="G322" s="73">
        <f>F322+'[1]BM_02.'!H324</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[1]MEMÓRIA03!E311</f>
        <v>0</v>
      </c>
      <c r="G323" s="73">
        <f>F323+'[1]BM_02.'!H325</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[1]MEMÓRIA03!E312</f>
        <v>0</v>
      </c>
      <c r="G324" s="73">
        <f>F324+'[1]BM_02.'!H326</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[1]MEMÓRIA03!E313</f>
        <v>0</v>
      </c>
      <c r="G325" s="73">
        <f>F325+'[1]BM_02.'!H327</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[1]MEMÓRIA03!E314</f>
        <v>0</v>
      </c>
      <c r="G326" s="73">
        <f>F326+'[1]BM_02.'!H328</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[1]MEMÓRIA03!E315</f>
        <v>0</v>
      </c>
      <c r="G327" s="73">
        <f>F327+'[1]BM_02.'!H329</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[1]MEMÓRIA03!E316</f>
        <v>0</v>
      </c>
      <c r="G328" s="73">
        <f>F328+'[1]BM_02.'!H330</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[1]MEMÓRIA03!E317</f>
        <v>0</v>
      </c>
      <c r="G329" s="73">
        <f>F329+'[1]BM_02.'!H331</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[1]MEMÓRIA03!E318</f>
        <v>0</v>
      </c>
      <c r="G330" s="73">
        <f>F330+'[1]BM_02.'!H332</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[1]MEMÓRIA03!E319</f>
        <v>0</v>
      </c>
      <c r="G331" s="73">
        <f>F331+'[1]BM_02.'!H333</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[1]MEMÓRIA03!E320</f>
        <v>0</v>
      </c>
      <c r="G332" s="73">
        <f>F332+'[1]BM_02.'!H334</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[1]MEMÓRIA03!E321</f>
        <v>0</v>
      </c>
      <c r="G333" s="73">
        <f>F333+'[1]BM_02.'!H335</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[1]MEMÓRIA03!E322</f>
        <v>0</v>
      </c>
      <c r="G334" s="73">
        <f>F334+'[1]BM_02.'!H336</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[1]MEMÓRIA03!E323</f>
        <v>0</v>
      </c>
      <c r="G335" s="73">
        <f>F335+'[1]BM_02.'!H337</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[1]MEMÓRIA03!E324</f>
        <v>0</v>
      </c>
      <c r="G336" s="73">
        <f>F336+'[1]BM_02.'!H338</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[1]MEMÓRIA03!E325</f>
        <v>0</v>
      </c>
      <c r="G337" s="73">
        <f>F337+'[1]BM_02.'!H339</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[1]MEMÓRIA03!E326</f>
        <v>0</v>
      </c>
      <c r="G338" s="73">
        <f>F338+'[1]BM_02.'!H340</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56"/>
      <c r="G339" s="56"/>
      <c r="H339" s="56"/>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[1]MEMÓRIA03!E328</f>
        <v>0</v>
      </c>
      <c r="G340" s="73">
        <f>F340+'[1]BM_02.'!H342</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[1]MEMÓRIA03!E329</f>
        <v>0</v>
      </c>
      <c r="G341" s="73">
        <f>F341+'[1]BM_02.'!H343</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[1]MEMÓRIA03!E330</f>
        <v>0</v>
      </c>
      <c r="G342" s="73">
        <f>F342+'[1]BM_02.'!H344</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[1]MEMÓRIA03!E331</f>
        <v>0</v>
      </c>
      <c r="G343" s="73">
        <f>F343+'[1]BM_02.'!H345</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[1]MEMÓRIA03!E332</f>
        <v>0</v>
      </c>
      <c r="G344" s="73">
        <f>F344+'[1]BM_02.'!H346</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[1]MEMÓRIA03!E333</f>
        <v>0</v>
      </c>
      <c r="G345" s="73">
        <f>F345+'[1]BM_02.'!H347</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[1]MEMÓRIA03!E334</f>
        <v>0</v>
      </c>
      <c r="G346" s="73">
        <f>F346+'[1]BM_02.'!H348</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[1]MEMÓRIA03!E335</f>
        <v>0</v>
      </c>
      <c r="G347" s="73">
        <f>F347+'[1]BM_02.'!H349</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[1]MEMÓRIA03!E336</f>
        <v>0</v>
      </c>
      <c r="G348" s="73">
        <f>F348+'[1]BM_02.'!H350</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[1]MEMÓRIA03!E337</f>
        <v>0</v>
      </c>
      <c r="G349" s="73">
        <f>F349+'[1]BM_02.'!H351</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[1]MEMÓRIA03!E338</f>
        <v>0</v>
      </c>
      <c r="G350" s="73">
        <f>F350+'[1]BM_02.'!H352</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[1]MEMÓRIA03!E339</f>
        <v>0</v>
      </c>
      <c r="G351" s="73">
        <f>F351+'[1]BM_02.'!H353</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56"/>
      <c r="G352" s="56"/>
      <c r="H352" s="56"/>
      <c r="I352" s="56"/>
      <c r="J352" s="56"/>
      <c r="K352" s="160"/>
    </row>
    <row r="353" spans="1:11" ht="25.5" x14ac:dyDescent="0.25">
      <c r="A353" s="41" t="s">
        <v>1086</v>
      </c>
      <c r="B353" s="111" t="s">
        <v>1073</v>
      </c>
      <c r="C353" s="112" t="s">
        <v>1053</v>
      </c>
      <c r="D353" s="43">
        <v>506.60999999999996</v>
      </c>
      <c r="E353" s="43">
        <v>58.121700000000004</v>
      </c>
      <c r="F353" s="73">
        <f>[1]MEMÓRIA03!E341</f>
        <v>0</v>
      </c>
      <c r="G353" s="73">
        <f>F353+'[1]BM_02.'!H355</f>
        <v>58.121700000000004</v>
      </c>
      <c r="H353" s="55">
        <f>E353*D353</f>
        <v>29445.034436999998</v>
      </c>
      <c r="I353" s="55">
        <f t="shared" si="22"/>
        <v>0</v>
      </c>
      <c r="J353" s="55">
        <f t="shared" si="23"/>
        <v>29445.03</v>
      </c>
      <c r="K353" s="159">
        <f t="shared" si="24"/>
        <v>0.99999984931245334</v>
      </c>
    </row>
    <row r="354" spans="1:11" ht="38.25" x14ac:dyDescent="0.25">
      <c r="A354" s="41" t="s">
        <v>1087</v>
      </c>
      <c r="B354" s="111" t="s">
        <v>1074</v>
      </c>
      <c r="C354" s="112" t="s">
        <v>1053</v>
      </c>
      <c r="D354" s="43">
        <v>7.33</v>
      </c>
      <c r="E354" s="43">
        <v>58.73</v>
      </c>
      <c r="F354" s="73">
        <f>[1]MEMÓRIA03!E342</f>
        <v>0</v>
      </c>
      <c r="G354" s="73">
        <f>F354+'[1]BM_02.'!H356</f>
        <v>58.73</v>
      </c>
      <c r="H354" s="55">
        <f t="shared" ref="H354:H369" si="25">E354*D354</f>
        <v>430.49089999999995</v>
      </c>
      <c r="I354" s="55">
        <f t="shared" si="22"/>
        <v>0</v>
      </c>
      <c r="J354" s="55">
        <f t="shared" si="23"/>
        <v>430.49</v>
      </c>
      <c r="K354" s="159">
        <f t="shared" si="24"/>
        <v>0.99999790936347333</v>
      </c>
    </row>
    <row r="355" spans="1:11" x14ac:dyDescent="0.25">
      <c r="A355" s="41" t="s">
        <v>1088</v>
      </c>
      <c r="B355" s="113" t="s">
        <v>106</v>
      </c>
      <c r="C355" s="114" t="s">
        <v>1053</v>
      </c>
      <c r="D355" s="43">
        <v>27.73</v>
      </c>
      <c r="E355" s="43">
        <v>20.239999999999998</v>
      </c>
      <c r="F355" s="73">
        <f>[1]MEMÓRIA03!E343</f>
        <v>0</v>
      </c>
      <c r="G355" s="73">
        <f>F355+'[1]BM_02.'!H357</f>
        <v>20.239999999999998</v>
      </c>
      <c r="H355" s="55">
        <f t="shared" si="25"/>
        <v>561.25519999999995</v>
      </c>
      <c r="I355" s="55">
        <f t="shared" si="22"/>
        <v>0</v>
      </c>
      <c r="J355" s="55">
        <f t="shared" si="23"/>
        <v>561.26</v>
      </c>
      <c r="K355" s="159">
        <f t="shared" si="24"/>
        <v>1.0000085522592932</v>
      </c>
    </row>
    <row r="356" spans="1:11" ht="25.5" x14ac:dyDescent="0.25">
      <c r="A356" s="41" t="s">
        <v>1089</v>
      </c>
      <c r="B356" s="111" t="s">
        <v>1075</v>
      </c>
      <c r="C356" s="112" t="s">
        <v>1054</v>
      </c>
      <c r="D356" s="43">
        <v>5.1899999999999995</v>
      </c>
      <c r="E356" s="43">
        <v>84.24</v>
      </c>
      <c r="F356" s="73">
        <f>[1]MEMÓRIA03!E344</f>
        <v>0</v>
      </c>
      <c r="G356" s="73">
        <f>F356+'[1]BM_02.'!H358</f>
        <v>84.24</v>
      </c>
      <c r="H356" s="55">
        <f t="shared" si="25"/>
        <v>437.20559999999995</v>
      </c>
      <c r="I356" s="55">
        <f t="shared" si="22"/>
        <v>0</v>
      </c>
      <c r="J356" s="55">
        <f t="shared" si="23"/>
        <v>437.21</v>
      </c>
      <c r="K356" s="159">
        <f t="shared" si="24"/>
        <v>1.0000100639150094</v>
      </c>
    </row>
    <row r="357" spans="1:11" ht="25.5" x14ac:dyDescent="0.25">
      <c r="A357" s="41" t="s">
        <v>1090</v>
      </c>
      <c r="B357" s="111" t="s">
        <v>1076</v>
      </c>
      <c r="C357" s="112" t="s">
        <v>1054</v>
      </c>
      <c r="D357" s="43">
        <v>30.78</v>
      </c>
      <c r="E357" s="43">
        <v>37.44</v>
      </c>
      <c r="F357" s="73">
        <f>[1]MEMÓRIA03!E345</f>
        <v>0</v>
      </c>
      <c r="G357" s="73">
        <f>F357+'[1]BM_02.'!H359</f>
        <v>37.44</v>
      </c>
      <c r="H357" s="55">
        <f t="shared" si="25"/>
        <v>1152.4032</v>
      </c>
      <c r="I357" s="55">
        <f t="shared" si="22"/>
        <v>0</v>
      </c>
      <c r="J357" s="55">
        <f t="shared" si="23"/>
        <v>1152.4000000000001</v>
      </c>
      <c r="K357" s="159">
        <f t="shared" si="24"/>
        <v>0.99999722319410445</v>
      </c>
    </row>
    <row r="358" spans="1:11" ht="25.5" x14ac:dyDescent="0.25">
      <c r="A358" s="41" t="s">
        <v>1091</v>
      </c>
      <c r="B358" s="111" t="s">
        <v>1103</v>
      </c>
      <c r="C358" s="112" t="s">
        <v>1054</v>
      </c>
      <c r="D358" s="43">
        <v>120.51</v>
      </c>
      <c r="E358" s="43">
        <v>62.13</v>
      </c>
      <c r="F358" s="73">
        <f>[1]MEMÓRIA03!E346</f>
        <v>0</v>
      </c>
      <c r="G358" s="73">
        <f>F358+'[1]BM_02.'!H360</f>
        <v>69.23</v>
      </c>
      <c r="H358" s="55">
        <f t="shared" si="25"/>
        <v>7487.2863000000007</v>
      </c>
      <c r="I358" s="55">
        <f t="shared" si="22"/>
        <v>0</v>
      </c>
      <c r="J358" s="55">
        <f t="shared" si="23"/>
        <v>8342.91</v>
      </c>
      <c r="K358" s="159">
        <f t="shared" si="24"/>
        <v>1.1142768775918184</v>
      </c>
    </row>
    <row r="359" spans="1:11" ht="26.25" x14ac:dyDescent="0.25">
      <c r="A359" s="41" t="s">
        <v>1092</v>
      </c>
      <c r="B359" s="115" t="s">
        <v>202</v>
      </c>
      <c r="C359" s="114" t="s">
        <v>1054</v>
      </c>
      <c r="D359" s="43">
        <v>78.73</v>
      </c>
      <c r="E359" s="43">
        <v>361.56</v>
      </c>
      <c r="F359" s="73">
        <f>[1]MEMÓRIA03!E347</f>
        <v>0</v>
      </c>
      <c r="G359" s="73">
        <f>F359+'[1]BM_02.'!H361</f>
        <v>384.81</v>
      </c>
      <c r="H359" s="55">
        <f t="shared" si="25"/>
        <v>28465.6188</v>
      </c>
      <c r="I359" s="55">
        <f t="shared" si="22"/>
        <v>0</v>
      </c>
      <c r="J359" s="55">
        <f t="shared" si="23"/>
        <v>30296.09</v>
      </c>
      <c r="K359" s="159">
        <f t="shared" si="24"/>
        <v>1.0643046340520796</v>
      </c>
    </row>
    <row r="360" spans="1:11" ht="25.5" x14ac:dyDescent="0.25">
      <c r="A360" s="41" t="s">
        <v>1093</v>
      </c>
      <c r="B360" s="111" t="s">
        <v>1077</v>
      </c>
      <c r="C360" s="112" t="s">
        <v>1054</v>
      </c>
      <c r="D360" s="43">
        <v>187.49</v>
      </c>
      <c r="E360" s="43">
        <v>62.4</v>
      </c>
      <c r="F360" s="73">
        <f>[1]MEMÓRIA03!E348</f>
        <v>0</v>
      </c>
      <c r="G360" s="73">
        <f>F360+'[1]BM_02.'!H362</f>
        <v>62.4</v>
      </c>
      <c r="H360" s="55">
        <f t="shared" si="25"/>
        <v>11699.376</v>
      </c>
      <c r="I360" s="55">
        <f t="shared" si="22"/>
        <v>0</v>
      </c>
      <c r="J360" s="55">
        <f t="shared" si="23"/>
        <v>11699.38</v>
      </c>
      <c r="K360" s="159">
        <f t="shared" si="24"/>
        <v>1.0000003418985763</v>
      </c>
    </row>
    <row r="361" spans="1:11" ht="25.5" x14ac:dyDescent="0.25">
      <c r="A361" s="41" t="s">
        <v>1094</v>
      </c>
      <c r="B361" s="111" t="s">
        <v>1078</v>
      </c>
      <c r="C361" s="112" t="s">
        <v>1054</v>
      </c>
      <c r="D361" s="43">
        <v>86.800000000000011</v>
      </c>
      <c r="E361" s="43">
        <v>52.5</v>
      </c>
      <c r="F361" s="73">
        <f>[1]MEMÓRIA03!E349</f>
        <v>0</v>
      </c>
      <c r="G361" s="73">
        <f>F361+'[1]BM_02.'!H363</f>
        <v>52.5</v>
      </c>
      <c r="H361" s="55">
        <f t="shared" si="25"/>
        <v>4557.0000000000009</v>
      </c>
      <c r="I361" s="55">
        <f t="shared" si="22"/>
        <v>0</v>
      </c>
      <c r="J361" s="55">
        <f t="shared" si="23"/>
        <v>4557</v>
      </c>
      <c r="K361" s="159">
        <f t="shared" si="24"/>
        <v>0.99999999999999978</v>
      </c>
    </row>
    <row r="362" spans="1:11" ht="25.5" x14ac:dyDescent="0.25">
      <c r="A362" s="41" t="s">
        <v>1095</v>
      </c>
      <c r="B362" s="111" t="s">
        <v>1079</v>
      </c>
      <c r="C362" s="112" t="s">
        <v>1054</v>
      </c>
      <c r="D362" s="43">
        <v>60.559999999999995</v>
      </c>
      <c r="E362" s="43">
        <v>151.36000000000001</v>
      </c>
      <c r="F362" s="73">
        <f>[1]MEMÓRIA03!E350</f>
        <v>0</v>
      </c>
      <c r="G362" s="73">
        <f>F362+'[1]BM_02.'!H364</f>
        <v>136.56</v>
      </c>
      <c r="H362" s="55">
        <f t="shared" si="25"/>
        <v>9166.3616000000002</v>
      </c>
      <c r="I362" s="55">
        <f t="shared" si="22"/>
        <v>0</v>
      </c>
      <c r="J362" s="55">
        <f t="shared" si="23"/>
        <v>8270.07</v>
      </c>
      <c r="K362" s="159">
        <f t="shared" si="24"/>
        <v>0.90221948040976252</v>
      </c>
    </row>
    <row r="363" spans="1:11" ht="25.5" x14ac:dyDescent="0.25">
      <c r="A363" s="41" t="s">
        <v>1096</v>
      </c>
      <c r="B363" s="111" t="s">
        <v>1080</v>
      </c>
      <c r="C363" s="112" t="s">
        <v>1054</v>
      </c>
      <c r="D363" s="43">
        <v>90.710000000000008</v>
      </c>
      <c r="E363" s="43">
        <v>60.81</v>
      </c>
      <c r="F363" s="73">
        <f>[1]MEMÓRIA03!E351</f>
        <v>0</v>
      </c>
      <c r="G363" s="73">
        <f>F363+'[1]BM_02.'!H365</f>
        <v>0</v>
      </c>
      <c r="H363" s="55">
        <f t="shared" si="25"/>
        <v>5516.0751000000009</v>
      </c>
      <c r="I363" s="55">
        <f t="shared" si="22"/>
        <v>0</v>
      </c>
      <c r="J363" s="55">
        <f t="shared" si="23"/>
        <v>0</v>
      </c>
      <c r="K363" s="159">
        <f t="shared" si="24"/>
        <v>0</v>
      </c>
    </row>
    <row r="364" spans="1:11" ht="25.5" x14ac:dyDescent="0.25">
      <c r="A364" s="41" t="s">
        <v>1097</v>
      </c>
      <c r="B364" s="111" t="s">
        <v>1081</v>
      </c>
      <c r="C364" s="112" t="s">
        <v>128</v>
      </c>
      <c r="D364" s="43">
        <v>16.34</v>
      </c>
      <c r="E364" s="43">
        <v>442.42</v>
      </c>
      <c r="F364" s="73">
        <f>[1]MEMÓRIA03!E352</f>
        <v>0</v>
      </c>
      <c r="G364" s="73">
        <f>F364+'[1]BM_02.'!H366</f>
        <v>352.14</v>
      </c>
      <c r="H364" s="55">
        <f t="shared" si="25"/>
        <v>7229.1428000000005</v>
      </c>
      <c r="I364" s="55">
        <f t="shared" si="22"/>
        <v>0</v>
      </c>
      <c r="J364" s="55">
        <f t="shared" si="23"/>
        <v>5753.97</v>
      </c>
      <c r="K364" s="159">
        <f t="shared" si="24"/>
        <v>0.79594084100814833</v>
      </c>
    </row>
    <row r="365" spans="1:11" ht="25.5" x14ac:dyDescent="0.25">
      <c r="A365" s="41" t="s">
        <v>1098</v>
      </c>
      <c r="B365" s="111" t="s">
        <v>1082</v>
      </c>
      <c r="C365" s="112" t="s">
        <v>128</v>
      </c>
      <c r="D365" s="43">
        <v>15.680000000000001</v>
      </c>
      <c r="E365" s="43">
        <v>611.6</v>
      </c>
      <c r="F365" s="73">
        <f>[1]MEMÓRIA03!E353</f>
        <v>0</v>
      </c>
      <c r="G365" s="73">
        <f>F365+'[1]BM_02.'!H367</f>
        <v>611.6</v>
      </c>
      <c r="H365" s="55">
        <f t="shared" si="25"/>
        <v>9589.8880000000008</v>
      </c>
      <c r="I365" s="55">
        <f t="shared" si="22"/>
        <v>0</v>
      </c>
      <c r="J365" s="55">
        <f t="shared" si="23"/>
        <v>9589.89</v>
      </c>
      <c r="K365" s="159">
        <f t="shared" si="24"/>
        <v>1.0000002085530091</v>
      </c>
    </row>
    <row r="366" spans="1:11" ht="25.5" x14ac:dyDescent="0.25">
      <c r="A366" s="41" t="s">
        <v>1099</v>
      </c>
      <c r="B366" s="111" t="s">
        <v>1083</v>
      </c>
      <c r="C366" s="112" t="s">
        <v>128</v>
      </c>
      <c r="D366" s="43">
        <v>14.28</v>
      </c>
      <c r="E366" s="43">
        <v>813.95</v>
      </c>
      <c r="F366" s="73">
        <f>[1]MEMÓRIA03!E354</f>
        <v>0</v>
      </c>
      <c r="G366" s="73">
        <f>F366+'[1]BM_02.'!H368</f>
        <v>813.95</v>
      </c>
      <c r="H366" s="55">
        <f t="shared" si="25"/>
        <v>11623.206</v>
      </c>
      <c r="I366" s="55">
        <f t="shared" si="22"/>
        <v>0</v>
      </c>
      <c r="J366" s="55">
        <f t="shared" si="23"/>
        <v>11623.21</v>
      </c>
      <c r="K366" s="159">
        <f t="shared" si="24"/>
        <v>1.0000003441391299</v>
      </c>
    </row>
    <row r="367" spans="1:11" ht="25.5" x14ac:dyDescent="0.25">
      <c r="A367" s="41" t="s">
        <v>1100</v>
      </c>
      <c r="B367" s="116" t="s">
        <v>1084</v>
      </c>
      <c r="C367" s="112" t="s">
        <v>1053</v>
      </c>
      <c r="D367" s="43">
        <v>502.33000000000004</v>
      </c>
      <c r="E367" s="43">
        <v>24.86</v>
      </c>
      <c r="F367" s="73">
        <f>[1]MEMÓRIA03!E355</f>
        <v>0</v>
      </c>
      <c r="G367" s="73">
        <f>F367+'[1]BM_02.'!H369</f>
        <v>19.61</v>
      </c>
      <c r="H367" s="55">
        <f t="shared" si="25"/>
        <v>12487.9238</v>
      </c>
      <c r="I367" s="55">
        <f t="shared" si="22"/>
        <v>0</v>
      </c>
      <c r="J367" s="55">
        <f t="shared" si="23"/>
        <v>9850.69</v>
      </c>
      <c r="K367" s="159">
        <f t="shared" si="24"/>
        <v>0.78881727321238138</v>
      </c>
    </row>
    <row r="368" spans="1:11" ht="25.5" x14ac:dyDescent="0.25">
      <c r="A368" s="41" t="s">
        <v>1101</v>
      </c>
      <c r="B368" s="116" t="s">
        <v>1085</v>
      </c>
      <c r="C368" s="112" t="s">
        <v>1053</v>
      </c>
      <c r="D368" s="43">
        <v>244.23</v>
      </c>
      <c r="E368" s="43">
        <v>24.86</v>
      </c>
      <c r="F368" s="73">
        <f>[1]MEMÓRIA03!E356</f>
        <v>0</v>
      </c>
      <c r="G368" s="73">
        <f>F368+'[1]BM_02.'!H370</f>
        <v>19.61</v>
      </c>
      <c r="H368" s="55">
        <f t="shared" si="25"/>
        <v>6071.5577999999996</v>
      </c>
      <c r="I368" s="55">
        <f t="shared" si="22"/>
        <v>0</v>
      </c>
      <c r="J368" s="55">
        <f t="shared" si="23"/>
        <v>4789.3500000000004</v>
      </c>
      <c r="K368" s="159">
        <f t="shared" si="24"/>
        <v>0.78881732790223968</v>
      </c>
    </row>
    <row r="369" spans="1:11" x14ac:dyDescent="0.25">
      <c r="A369" s="41" t="s">
        <v>1102</v>
      </c>
      <c r="B369" s="117" t="s">
        <v>1104</v>
      </c>
      <c r="C369" s="112" t="s">
        <v>1054</v>
      </c>
      <c r="D369" s="43">
        <v>341.69409999999999</v>
      </c>
      <c r="E369" s="43">
        <v>258.83999999999997</v>
      </c>
      <c r="F369" s="73">
        <f>[1]MEMÓRIA03!E357</f>
        <v>0</v>
      </c>
      <c r="G369" s="73">
        <f>F369+'[1]BM_02.'!H371</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147601.79999999999</v>
      </c>
      <c r="J371" s="57">
        <f>SUM(J17:J369)</f>
        <v>606005.66999999981</v>
      </c>
      <c r="K371" s="128">
        <f>J371/F11</f>
        <v>5.8364375561807381E-2</v>
      </c>
    </row>
    <row r="372" spans="1:11" x14ac:dyDescent="0.25">
      <c r="B372" s="53"/>
      <c r="E372" s="54"/>
    </row>
    <row r="373" spans="1:11" ht="17.25" customHeight="1" x14ac:dyDescent="0.25">
      <c r="A373" s="273" t="s">
        <v>1214</v>
      </c>
      <c r="B373" s="273"/>
      <c r="C373" s="273"/>
      <c r="D373" s="273"/>
      <c r="E373" s="273"/>
      <c r="F373" s="273"/>
      <c r="G373" s="273"/>
      <c r="H373" s="273"/>
      <c r="I373" s="273"/>
      <c r="J373" s="273"/>
      <c r="K373" s="273"/>
    </row>
    <row r="374" spans="1:11" ht="25.5" customHeight="1" x14ac:dyDescent="0.25">
      <c r="A374" s="273"/>
      <c r="B374" s="273"/>
      <c r="C374" s="273"/>
      <c r="D374" s="273"/>
      <c r="E374" s="273"/>
      <c r="F374" s="273"/>
      <c r="G374" s="273"/>
      <c r="H374" s="273"/>
      <c r="I374" s="273"/>
      <c r="J374" s="273"/>
      <c r="K374" s="273"/>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373:K374"/>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E719D-6B6E-4E3C-8CAE-6F2CE3B76FB5}">
  <dimension ref="A1:I577"/>
  <sheetViews>
    <sheetView view="pageBreakPreview" topLeftCell="A45" zoomScale="85" zoomScaleNormal="85" zoomScaleSheetLayoutView="85" workbookViewId="0">
      <selection activeCell="E53" sqref="E5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5"/>
      <c r="B1" s="205"/>
      <c r="C1" s="205"/>
      <c r="D1" s="205"/>
      <c r="E1" s="27"/>
      <c r="F1" s="27"/>
      <c r="G1" s="27"/>
      <c r="H1" s="27"/>
      <c r="I1" s="27"/>
    </row>
    <row r="2" spans="1:9" s="28" customFormat="1" ht="18" x14ac:dyDescent="0.25">
      <c r="A2" s="276" t="s">
        <v>1215</v>
      </c>
      <c r="B2" s="277"/>
      <c r="C2" s="277"/>
      <c r="D2" s="277"/>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1216</v>
      </c>
      <c r="E11">
        <f>0.79-0.6</f>
        <v>0.19000000000000006</v>
      </c>
      <c r="F11">
        <f>0.0528*15</f>
        <v>0.79200000000000004</v>
      </c>
    </row>
    <row r="12" spans="1:9" ht="30" x14ac:dyDescent="0.25">
      <c r="A12" s="41" t="str">
        <f>[1]Orçamento!A13</f>
        <v xml:space="preserve"> 2.2 </v>
      </c>
      <c r="B12" s="46" t="str">
        <f>[1]Orçamento!D13</f>
        <v>ENGENHEIRO CIVIL DE OBRA JUNIOR (MENSALISTA)</v>
      </c>
      <c r="C12" s="41" t="str">
        <f>[1]Orçamento!E13</f>
        <v>MES</v>
      </c>
      <c r="D12" s="167" t="s">
        <v>1216</v>
      </c>
      <c r="E12">
        <v>0.79</v>
      </c>
    </row>
    <row r="13" spans="1:9" ht="30" x14ac:dyDescent="0.25">
      <c r="A13" s="41" t="str">
        <f>[1]Orçamento!A14</f>
        <v xml:space="preserve"> 2.3 </v>
      </c>
      <c r="B13" s="46" t="str">
        <f>[1]Orçamento!D14</f>
        <v>MESTRE DE OBRAS (MENSALISTA)</v>
      </c>
      <c r="C13" s="41" t="str">
        <f>[1]Orçamento!E14</f>
        <v>MES</v>
      </c>
      <c r="D13" s="167" t="s">
        <v>1216</v>
      </c>
      <c r="E13">
        <f>E11</f>
        <v>0.19000000000000006</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5"/>
    </row>
    <row r="22" spans="1:7" ht="25.5" x14ac:dyDescent="0.25">
      <c r="A22" s="41" t="s">
        <v>1112</v>
      </c>
      <c r="B22" s="46" t="s">
        <v>1109</v>
      </c>
      <c r="C22" s="41" t="s">
        <v>103</v>
      </c>
      <c r="D22" s="165"/>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30"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t="s">
        <v>1217</v>
      </c>
      <c r="E26">
        <f>6.04+28.46</f>
        <v>34.5</v>
      </c>
    </row>
    <row r="27" spans="1:7" ht="30" x14ac:dyDescent="0.25">
      <c r="A27" s="41" t="str">
        <f>[1]Orçamento!A24</f>
        <v xml:space="preserve"> 4.3 </v>
      </c>
      <c r="B27" s="46" t="str">
        <f>[1]Orçamento!D24</f>
        <v>LANÇAMENTO COM USO DE BOMBA, ADENSAMENTO E ACABAMENTO DE CONCRETO EM ESTRUTURAS. AF_02/2022</v>
      </c>
      <c r="C27" s="41" t="str">
        <f>[1]Orçamento!E24</f>
        <v>m³</v>
      </c>
      <c r="D27" s="167" t="str">
        <f>D26</f>
        <v>Vigas baldrames da praça de alimentação - 6,04 m³ (prancha03/09). Vigas baldrames da escola - 28,46 m³ (prancha 10/36)</v>
      </c>
      <c r="E27">
        <f>E26</f>
        <v>34.5</v>
      </c>
    </row>
    <row r="28" spans="1:7" ht="30" x14ac:dyDescent="0.25">
      <c r="A28" s="41" t="str">
        <f>[1]Orçamento!A25</f>
        <v xml:space="preserve"> 4.4 </v>
      </c>
      <c r="B28" s="46" t="str">
        <f>[1]Orçamento!D25</f>
        <v>ARMAÇÃO DE BLOCO, VIGA BALDRAME E SAPATA UTILIZANDO AÇO CA-60 DE 5 MM - MONTAGEM. AF_06/2017</v>
      </c>
      <c r="C28" s="41" t="str">
        <f>[1]Orçamento!E25</f>
        <v>KG</v>
      </c>
      <c r="D28" s="167" t="s">
        <v>1218</v>
      </c>
      <c r="E28">
        <f>83+381</f>
        <v>464</v>
      </c>
    </row>
    <row r="29" spans="1:7" ht="30" x14ac:dyDescent="0.25">
      <c r="A29" s="41" t="str">
        <f>[1]Orçamento!A26</f>
        <v xml:space="preserve"> 4.5 </v>
      </c>
      <c r="B29" s="46" t="str">
        <f>[1]Orçamento!D26</f>
        <v>ARMAÇÃO DE BLOCO, VIGA BALDRAME OU SAPATA UTILIZANDO AÇO CA-50 DE 6,3 MM - MONTAGEM. AF_06/2017</v>
      </c>
      <c r="C29" s="41" t="str">
        <f>[1]Orçamento!E26</f>
        <v>KG</v>
      </c>
      <c r="D29" s="167" t="s">
        <v>1219</v>
      </c>
      <c r="E29">
        <f>22+239</f>
        <v>261</v>
      </c>
    </row>
    <row r="30" spans="1:7" ht="30" x14ac:dyDescent="0.25">
      <c r="A30" s="41" t="str">
        <f>[1]Orçamento!A27</f>
        <v xml:space="preserve"> 4.6 </v>
      </c>
      <c r="B30" s="46" t="str">
        <f>[1]Orçamento!D27</f>
        <v>ARMAÇÃO DE BLOCO, VIGA BALDRAME OU SAPATA UTILIZANDO AÇO CA-50 DE 8 MM - MONTAGEM. AF_06/2017</v>
      </c>
      <c r="C30" s="41" t="str">
        <f>[1]Orçamento!E27</f>
        <v>KG</v>
      </c>
      <c r="D30" s="167" t="s">
        <v>1220</v>
      </c>
      <c r="E30">
        <f>109+305</f>
        <v>414</v>
      </c>
    </row>
    <row r="31" spans="1:7" ht="30" x14ac:dyDescent="0.25">
      <c r="A31" s="41" t="str">
        <f>[1]Orçamento!A28</f>
        <v xml:space="preserve"> 4.7 </v>
      </c>
      <c r="B31" s="46" t="str">
        <f>[1]Orçamento!D28</f>
        <v>ARMAÇÃO DE BLOCO, VIGA BALDRAME OU SAPATA UTILIZANDO AÇO CA-50 DE 10 MM - MONTAGEM. AF_06/2017</v>
      </c>
      <c r="C31" s="41" t="str">
        <f>[1]Orçamento!E28</f>
        <v>KG</v>
      </c>
      <c r="D31" s="167" t="s">
        <v>1221</v>
      </c>
      <c r="E31">
        <f>1255-1205.09</f>
        <v>49.910000000000082</v>
      </c>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t="s">
        <v>1223</v>
      </c>
      <c r="E32">
        <f>422-381.13</f>
        <v>40.870000000000005</v>
      </c>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t="s">
        <v>1224</v>
      </c>
      <c r="E33">
        <f>138-92.47</f>
        <v>45.53</v>
      </c>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t="s">
        <v>1225</v>
      </c>
      <c r="E34">
        <v>84</v>
      </c>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30"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t="s">
        <v>1226</v>
      </c>
      <c r="E36">
        <f>74.93+264.08</f>
        <v>339.01</v>
      </c>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t="s">
        <v>1227</v>
      </c>
      <c r="E37">
        <v>99</v>
      </c>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5"/>
    </row>
    <row r="39" spans="1:8" x14ac:dyDescent="0.25">
      <c r="A39" s="39" t="str">
        <f>[1]Orçamento!A36</f>
        <v xml:space="preserve"> 5 </v>
      </c>
      <c r="B39" s="45" t="str">
        <f>[1]Orçamento!D36</f>
        <v>SUPERESTRUTURA</v>
      </c>
      <c r="C39" s="39"/>
      <c r="D39" s="166"/>
    </row>
    <row r="40" spans="1:8" ht="30"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1228</v>
      </c>
      <c r="E40">
        <v>3.23</v>
      </c>
    </row>
    <row r="41" spans="1:8" ht="30" x14ac:dyDescent="0.25">
      <c r="A41" s="41" t="str">
        <f>[1]Orçamento!A38</f>
        <v xml:space="preserve"> 5.2 </v>
      </c>
      <c r="B41" s="46" t="str">
        <f>[1]Orçamento!D38</f>
        <v>LANÇAMENTO COM USO DE BOMBA, ADENSAMENTO E ACABAMENTO DE CONCRETO EM ESTRUTURAS. AF_02/2022</v>
      </c>
      <c r="C41" s="41" t="str">
        <f>[1]Orçamento!E38</f>
        <v>m³</v>
      </c>
      <c r="D41" s="167" t="str">
        <f>D40</f>
        <v>Pilares (entre baldrame e vigas superiores) praça de alimentação - 3,23 m³ (prancha 03/09)</v>
      </c>
      <c r="E41">
        <f>E40</f>
        <v>3.23</v>
      </c>
    </row>
    <row r="42" spans="1:8" ht="60"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1229</v>
      </c>
      <c r="E42">
        <f>149-19.11</f>
        <v>129.88999999999999</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60"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1230</v>
      </c>
      <c r="E45">
        <f>431-110.75</f>
        <v>320.25</v>
      </c>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t="s">
        <v>1231</v>
      </c>
      <c r="E53">
        <v>64.98</v>
      </c>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90"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1232</v>
      </c>
      <c r="E56">
        <f>342.38-30.92</f>
        <v>311.45999999999998</v>
      </c>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ht="30" x14ac:dyDescent="0.25">
      <c r="A62" s="41" t="str">
        <f>[1]Orçamento!A59</f>
        <v xml:space="preserve"> 6.7 </v>
      </c>
      <c r="B62" s="46" t="str">
        <f>[1]Orçamento!D59</f>
        <v>VERGA PRÉ-MOLDADA PARA JANELAS COM MAIS DE 1,5 M DE VÃO. AF_03/2016</v>
      </c>
      <c r="C62" s="41" t="str">
        <f>[1]Orçamento!E59</f>
        <v>M</v>
      </c>
      <c r="D62" s="167" t="s">
        <v>1233</v>
      </c>
      <c r="E62">
        <f>2.16*3 + 4.11+5.95+3.42</f>
        <v>19.96</v>
      </c>
    </row>
    <row r="63" spans="1:7" ht="25.5" x14ac:dyDescent="0.25">
      <c r="A63" s="41" t="str">
        <f>[1]Orçamento!A60</f>
        <v xml:space="preserve"> 6.8 </v>
      </c>
      <c r="B63" s="46" t="str">
        <f>[1]Orçamento!D60</f>
        <v>CONTRAVERGA PRÉ-MOLDADA PARA VÃOS DE MAIS DE 1,5 M DE COMPRIMENTO. AF_03/2016</v>
      </c>
      <c r="C63" s="41" t="str">
        <f>[1]Orçamento!E60</f>
        <v>M</v>
      </c>
      <c r="D63" s="165"/>
    </row>
    <row r="64" spans="1:7" x14ac:dyDescent="0.25">
      <c r="A64" s="41" t="str">
        <f>[1]Orçamento!A61</f>
        <v xml:space="preserve"> 6.9 </v>
      </c>
      <c r="B64" s="46" t="str">
        <f>[1]Orçamento!D61</f>
        <v>VERGA PRÉ-MOLDADA PARA PORTAS COM ATÉ 1,5 M DE VÃO. AF_03/2016</v>
      </c>
      <c r="C64" s="41" t="str">
        <f>[1]Orçamento!E61</f>
        <v>M</v>
      </c>
      <c r="D64" s="165" t="s">
        <v>1234</v>
      </c>
      <c r="E64">
        <f>1.5*7</f>
        <v>10.5</v>
      </c>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4" x14ac:dyDescent="0.25">
      <c r="A81" s="41" t="str">
        <f>[1]Orçamento!A78</f>
        <v xml:space="preserve"> 7.13 </v>
      </c>
      <c r="B81" s="46" t="str">
        <f>[1]Orçamento!D78</f>
        <v>AREIA PARA ATERRO - POSTO JAZIDA/FORNECEDOR (RETIRADO NA JAZIDA, SEM TRANSPORTE)</v>
      </c>
      <c r="C81" s="41" t="str">
        <f>[1]Orçamento!E78</f>
        <v>m³</v>
      </c>
      <c r="D81" s="165"/>
    </row>
    <row r="82" spans="1:4" x14ac:dyDescent="0.25">
      <c r="A82" s="39" t="str">
        <f>[1]Orçamento!A79</f>
        <v xml:space="preserve"> 8 </v>
      </c>
      <c r="B82" s="45" t="str">
        <f>[1]Orçamento!D79</f>
        <v>C0BERTA</v>
      </c>
      <c r="C82" s="39"/>
      <c r="D82" s="166"/>
    </row>
    <row r="83" spans="1:4"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4"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4"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4"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4" x14ac:dyDescent="0.25">
      <c r="A87" s="39" t="str">
        <f>[1]Orçamento!A84</f>
        <v xml:space="preserve"> 9 </v>
      </c>
      <c r="B87" s="45" t="str">
        <f>[1]Orçamento!D84</f>
        <v>IMPERMEABILIZAÇÕES</v>
      </c>
      <c r="C87" s="39"/>
      <c r="D87" s="166"/>
    </row>
    <row r="88" spans="1:4"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4"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4" x14ac:dyDescent="0.25">
      <c r="A90" s="41" t="str">
        <f>[1]Orçamento!A87</f>
        <v xml:space="preserve"> 9.3 </v>
      </c>
      <c r="B90" s="46" t="str">
        <f>[1]Orçamento!D87</f>
        <v>IMPERMEABILIZAÇÃO DE SUPERFÍCIE COM EMULSÃO ASFÁLTICA, 2 DEMÃOS AF_06/2018</v>
      </c>
      <c r="C90" s="41" t="str">
        <f>[1]Orçamento!E87</f>
        <v>m²</v>
      </c>
      <c r="D90" s="165"/>
    </row>
    <row r="91" spans="1:4"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4" x14ac:dyDescent="0.25">
      <c r="A92" s="39" t="str">
        <f>[1]Orçamento!A89</f>
        <v xml:space="preserve"> 10 </v>
      </c>
      <c r="B92" s="45" t="str">
        <f>[1]Orçamento!D89</f>
        <v>REVESTIMENTOS INTERNOS</v>
      </c>
      <c r="C92" s="39"/>
      <c r="D92" s="166"/>
    </row>
    <row r="93" spans="1:4"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5"/>
    </row>
    <row r="94" spans="1:4"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5"/>
    </row>
    <row r="95" spans="1:4"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4"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5"/>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5"/>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5"/>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204"/>
      <c r="C362" s="204"/>
      <c r="D362" s="204"/>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08840-64EE-4E27-AAA7-931E8AD73751}">
  <sheetPr>
    <pageSetUpPr fitToPage="1"/>
  </sheetPr>
  <dimension ref="A1:P589"/>
  <sheetViews>
    <sheetView view="pageBreakPreview" topLeftCell="A362" zoomScale="90" zoomScaleNormal="85" zoomScaleSheetLayoutView="90" workbookViewId="0">
      <selection activeCell="D377" sqref="D377"/>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7" t="s">
        <v>1235</v>
      </c>
      <c r="D1" s="177"/>
      <c r="E1" s="177"/>
      <c r="F1" s="177"/>
      <c r="G1" s="177"/>
      <c r="H1" s="177"/>
      <c r="I1" s="177"/>
      <c r="J1" s="177"/>
      <c r="K1" s="178"/>
      <c r="L1" s="27"/>
      <c r="M1" s="27"/>
      <c r="N1" s="27"/>
      <c r="O1" s="27"/>
      <c r="P1" s="27"/>
    </row>
    <row r="2" spans="1:16" s="28" customFormat="1" ht="12.75" customHeight="1" x14ac:dyDescent="0.25">
      <c r="A2" s="25"/>
      <c r="B2" s="26"/>
      <c r="C2" s="177"/>
      <c r="D2" s="177"/>
      <c r="E2" s="177"/>
      <c r="F2" s="177"/>
      <c r="G2" s="177"/>
      <c r="H2" s="177"/>
      <c r="I2" s="177"/>
      <c r="J2" s="177"/>
      <c r="K2" s="178"/>
      <c r="L2" s="27"/>
      <c r="M2" s="27"/>
      <c r="N2" s="27"/>
      <c r="O2" s="27"/>
      <c r="P2" s="27"/>
    </row>
    <row r="3" spans="1:16" s="28" customFormat="1" ht="12.75" customHeight="1" x14ac:dyDescent="0.25">
      <c r="A3" s="25"/>
      <c r="C3" s="177"/>
      <c r="D3" s="177"/>
      <c r="E3" s="177"/>
      <c r="F3" s="177"/>
      <c r="G3" s="177"/>
      <c r="H3" s="177"/>
      <c r="I3" s="177"/>
      <c r="J3" s="177"/>
      <c r="K3" s="178"/>
      <c r="L3" s="27"/>
      <c r="M3" s="27"/>
      <c r="N3" s="27"/>
      <c r="O3" s="27"/>
      <c r="P3" s="27"/>
    </row>
    <row r="4" spans="1:16" s="28" customFormat="1" ht="12.75" customHeight="1" x14ac:dyDescent="0.25">
      <c r="A4" s="25"/>
      <c r="B4" s="29" t="s">
        <v>978</v>
      </c>
      <c r="C4" s="177"/>
      <c r="D4" s="177"/>
      <c r="E4" s="177"/>
      <c r="F4" s="177"/>
      <c r="G4" s="177"/>
      <c r="H4" s="177"/>
      <c r="I4" s="177"/>
      <c r="J4" s="177"/>
      <c r="K4" s="178"/>
      <c r="L4" s="27"/>
      <c r="M4" s="27"/>
      <c r="N4" s="27"/>
      <c r="O4" s="27"/>
      <c r="P4" s="27"/>
    </row>
    <row r="5" spans="1:16" s="28" customFormat="1" ht="12.75" customHeight="1" x14ac:dyDescent="0.25">
      <c r="A5" s="30"/>
      <c r="B5" s="29" t="s">
        <v>979</v>
      </c>
      <c r="C5" s="179"/>
      <c r="D5" s="179"/>
      <c r="E5" s="179"/>
      <c r="F5" s="179"/>
      <c r="G5" s="179"/>
      <c r="H5" s="179"/>
      <c r="I5" s="179"/>
      <c r="J5" s="179"/>
      <c r="K5" s="180"/>
      <c r="L5" s="27"/>
      <c r="M5" s="27"/>
      <c r="N5" s="27"/>
      <c r="O5" s="27"/>
      <c r="P5" s="27"/>
    </row>
    <row r="6" spans="1:16" s="28" customFormat="1" ht="24" customHeight="1" x14ac:dyDescent="0.25">
      <c r="A6" s="181" t="s">
        <v>1211</v>
      </c>
      <c r="B6" s="182"/>
      <c r="C6" s="182"/>
      <c r="D6" s="182"/>
      <c r="E6" s="183"/>
      <c r="F6" s="184" t="s">
        <v>981</v>
      </c>
      <c r="G6" s="185"/>
      <c r="H6" s="185"/>
      <c r="I6" s="186"/>
      <c r="J6" s="31" t="s">
        <v>982</v>
      </c>
      <c r="K6" s="31" t="s">
        <v>983</v>
      </c>
      <c r="L6" s="27"/>
      <c r="M6" s="27"/>
      <c r="N6" s="27"/>
      <c r="O6" s="27"/>
      <c r="P6" s="27"/>
    </row>
    <row r="7" spans="1:16" s="28" customFormat="1" ht="12.75" customHeight="1" x14ac:dyDescent="0.25">
      <c r="A7" s="187" t="s">
        <v>64</v>
      </c>
      <c r="B7" s="188"/>
      <c r="C7" s="188"/>
      <c r="D7" s="188"/>
      <c r="E7" s="189"/>
      <c r="F7" s="187" t="s">
        <v>979</v>
      </c>
      <c r="G7" s="188"/>
      <c r="H7" s="188"/>
      <c r="I7" s="189"/>
      <c r="J7" s="124">
        <v>45267</v>
      </c>
      <c r="K7" s="125" t="s">
        <v>1236</v>
      </c>
      <c r="L7" s="27"/>
      <c r="M7" s="27"/>
      <c r="N7" s="27"/>
      <c r="O7" s="27"/>
      <c r="P7" s="27"/>
    </row>
    <row r="8" spans="1:16" s="28" customFormat="1" ht="29.45" customHeight="1" x14ac:dyDescent="0.25">
      <c r="A8" s="181" t="s">
        <v>984</v>
      </c>
      <c r="B8" s="182"/>
      <c r="C8" s="182"/>
      <c r="D8" s="182"/>
      <c r="E8" s="183"/>
      <c r="F8" s="195" t="s">
        <v>985</v>
      </c>
      <c r="G8" s="195"/>
      <c r="H8" s="195"/>
      <c r="I8" s="195"/>
      <c r="J8" s="32" t="s">
        <v>986</v>
      </c>
      <c r="K8" s="33" t="s">
        <v>987</v>
      </c>
      <c r="L8" s="27"/>
      <c r="M8" s="27"/>
      <c r="N8" s="27"/>
      <c r="O8" s="27"/>
      <c r="P8" s="27"/>
    </row>
    <row r="9" spans="1:16" s="28" customFormat="1" ht="12.75" customHeight="1" x14ac:dyDescent="0.25">
      <c r="A9" s="187" t="s">
        <v>1005</v>
      </c>
      <c r="B9" s="188"/>
      <c r="C9" s="188"/>
      <c r="D9" s="188"/>
      <c r="E9" s="189"/>
      <c r="F9" s="196" t="s">
        <v>1028</v>
      </c>
      <c r="G9" s="196"/>
      <c r="H9" s="196"/>
      <c r="I9" s="196"/>
      <c r="J9" s="124">
        <v>45035</v>
      </c>
      <c r="K9" s="124">
        <v>45492</v>
      </c>
      <c r="L9" s="27"/>
      <c r="M9" s="27"/>
      <c r="N9" s="27"/>
      <c r="O9" s="27"/>
      <c r="P9" s="27"/>
    </row>
    <row r="10" spans="1:16" s="28" customFormat="1" ht="12.75" x14ac:dyDescent="0.25">
      <c r="A10" s="195" t="s">
        <v>988</v>
      </c>
      <c r="B10" s="195"/>
      <c r="C10" s="195" t="s">
        <v>989</v>
      </c>
      <c r="D10" s="195"/>
      <c r="E10" s="195"/>
      <c r="F10" s="195" t="s">
        <v>990</v>
      </c>
      <c r="G10" s="195"/>
      <c r="H10" s="202" t="s">
        <v>991</v>
      </c>
      <c r="I10" s="202"/>
      <c r="J10" s="203" t="s">
        <v>992</v>
      </c>
      <c r="K10" s="203"/>
      <c r="L10" s="27"/>
      <c r="M10" s="27"/>
      <c r="N10" s="27"/>
      <c r="O10" s="27"/>
      <c r="P10" s="27"/>
    </row>
    <row r="11" spans="1:16" s="28" customFormat="1" ht="12.75" x14ac:dyDescent="0.25">
      <c r="A11" s="196" t="s">
        <v>1029</v>
      </c>
      <c r="B11" s="196"/>
      <c r="C11" s="196" t="s">
        <v>1030</v>
      </c>
      <c r="D11" s="196"/>
      <c r="E11" s="196"/>
      <c r="F11" s="197">
        <f>H371</f>
        <v>10383143.213076012</v>
      </c>
      <c r="G11" s="198"/>
      <c r="H11" s="201">
        <f>I371</f>
        <v>82148.47</v>
      </c>
      <c r="I11" s="201"/>
      <c r="J11" s="196" t="s">
        <v>1237</v>
      </c>
      <c r="K11" s="196"/>
      <c r="L11" s="27"/>
      <c r="M11" s="27"/>
      <c r="N11" s="27"/>
      <c r="O11" s="27"/>
      <c r="P11" s="27"/>
    </row>
    <row r="12" spans="1:16" s="28" customFormat="1" ht="15" customHeight="1" x14ac:dyDescent="0.25">
      <c r="A12" s="196"/>
      <c r="B12" s="196"/>
      <c r="C12" s="196"/>
      <c r="D12" s="196"/>
      <c r="E12" s="196"/>
      <c r="F12" s="199"/>
      <c r="G12" s="200"/>
      <c r="H12" s="201"/>
      <c r="I12" s="201"/>
      <c r="J12" s="196"/>
      <c r="K12" s="196"/>
      <c r="L12" s="27"/>
      <c r="M12" s="27"/>
      <c r="N12" s="27"/>
      <c r="O12" s="27"/>
      <c r="P12" s="27"/>
    </row>
    <row r="13" spans="1:16" s="28" customFormat="1" ht="12.75" x14ac:dyDescent="0.25">
      <c r="A13" s="205"/>
      <c r="B13" s="205"/>
      <c r="C13" s="205"/>
      <c r="D13" s="205"/>
      <c r="E13" s="205"/>
      <c r="F13" s="205"/>
      <c r="G13" s="205"/>
      <c r="H13" s="205"/>
      <c r="I13" s="205"/>
      <c r="J13" s="205"/>
      <c r="K13" s="205"/>
      <c r="L13" s="27"/>
      <c r="M13" s="27"/>
      <c r="N13" s="27"/>
      <c r="O13" s="27"/>
      <c r="P13" s="27"/>
    </row>
    <row r="14" spans="1:16" s="36" customFormat="1" ht="15" customHeight="1" x14ac:dyDescent="0.2">
      <c r="A14" s="206" t="s">
        <v>993</v>
      </c>
      <c r="B14" s="207" t="s">
        <v>994</v>
      </c>
      <c r="C14" s="207" t="s">
        <v>995</v>
      </c>
      <c r="D14" s="274" t="s">
        <v>996</v>
      </c>
      <c r="E14" s="206" t="s">
        <v>997</v>
      </c>
      <c r="F14" s="206"/>
      <c r="G14" s="206"/>
      <c r="H14" s="208" t="s">
        <v>998</v>
      </c>
      <c r="I14" s="208"/>
      <c r="J14" s="208"/>
      <c r="K14" s="209" t="s">
        <v>999</v>
      </c>
      <c r="L14" s="35"/>
      <c r="M14" s="35"/>
      <c r="N14" s="35"/>
      <c r="O14" s="35"/>
      <c r="P14" s="35"/>
    </row>
    <row r="15" spans="1:16" s="36" customFormat="1" ht="39" customHeight="1" x14ac:dyDescent="0.2">
      <c r="A15" s="206"/>
      <c r="B15" s="207"/>
      <c r="C15" s="207"/>
      <c r="D15" s="275"/>
      <c r="E15" s="34" t="s">
        <v>1000</v>
      </c>
      <c r="F15" s="34" t="s">
        <v>1001</v>
      </c>
      <c r="G15" s="37" t="s">
        <v>1002</v>
      </c>
      <c r="H15" s="37" t="s">
        <v>1000</v>
      </c>
      <c r="I15" s="37" t="s">
        <v>1001</v>
      </c>
      <c r="J15" s="37" t="s">
        <v>1002</v>
      </c>
      <c r="K15" s="209"/>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[1]MEMÓRIA04!E5</f>
        <v>0</v>
      </c>
      <c r="G17" s="73">
        <f>F17+[1]BM_03!G17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[1]MEMÓRIA04!E6</f>
        <v>5</v>
      </c>
      <c r="G18" s="73">
        <f>F18+[1]BM_03!G18</f>
        <v>15</v>
      </c>
      <c r="H18" s="55">
        <f t="shared" ref="H18:H34" si="0">E18*D18</f>
        <v>15429.900000000001</v>
      </c>
      <c r="I18" s="55">
        <f t="shared" ref="I18:I81" si="1">ROUND(D18*F18,2)</f>
        <v>5143.3</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[1]MEMÓRIA04!E7</f>
        <v>3</v>
      </c>
      <c r="G19" s="73">
        <f>F19+[1]BM_03!G19</f>
        <v>10</v>
      </c>
      <c r="H19" s="55">
        <f t="shared" si="0"/>
        <v>11744.8</v>
      </c>
      <c r="I19" s="55">
        <f t="shared" si="1"/>
        <v>3523.44</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[1]MEMÓRIA04!E8</f>
        <v>126.68</v>
      </c>
      <c r="G20" s="73">
        <f>F20+[1]BM_03!G20</f>
        <v>315.44</v>
      </c>
      <c r="H20" s="55">
        <f t="shared" si="0"/>
        <v>18109.410399999997</v>
      </c>
      <c r="I20" s="55">
        <f t="shared" si="1"/>
        <v>7272.7</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[1]MEMÓRIA04!E9</f>
        <v>0</v>
      </c>
      <c r="G21" s="73">
        <f>F21+[1]BM_03!G21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[1]MEMÓRIA04!E11</f>
        <v>0</v>
      </c>
      <c r="G23" s="73">
        <f>F23+[1]BM_03!G23</f>
        <v>0.79</v>
      </c>
      <c r="H23" s="55">
        <f t="shared" si="0"/>
        <v>71888.850000000006</v>
      </c>
      <c r="I23" s="55">
        <f t="shared" si="1"/>
        <v>0</v>
      </c>
      <c r="J23" s="55">
        <f t="shared" si="2"/>
        <v>3786.15</v>
      </c>
      <c r="K23" s="159">
        <f t="shared" si="3"/>
        <v>5.266672091708241E-2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[1]MEMÓRIA04!E12</f>
        <v>0</v>
      </c>
      <c r="G24" s="73">
        <f>F24+[1]BM_03!G24</f>
        <v>0.79</v>
      </c>
      <c r="H24" s="55">
        <f t="shared" si="0"/>
        <v>286974.15000000002</v>
      </c>
      <c r="I24" s="55">
        <f t="shared" si="1"/>
        <v>0</v>
      </c>
      <c r="J24" s="55">
        <f t="shared" si="2"/>
        <v>15113.97</v>
      </c>
      <c r="K24" s="159">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[1]MEMÓRIA04!E13</f>
        <v>0</v>
      </c>
      <c r="G25" s="73">
        <f>F25+[1]BM_03!G25</f>
        <v>0.79</v>
      </c>
      <c r="H25" s="55">
        <f t="shared" si="0"/>
        <v>82445.399999999994</v>
      </c>
      <c r="I25" s="55">
        <f t="shared" si="1"/>
        <v>0</v>
      </c>
      <c r="J25" s="55">
        <f t="shared" si="2"/>
        <v>4342.12</v>
      </c>
      <c r="K25" s="159">
        <f t="shared" si="3"/>
        <v>5.266661329801299E-2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[1]MEMÓRIA04!E15</f>
        <v>0</v>
      </c>
      <c r="G27" s="73">
        <f>F27+[1]BM_03!G27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[1]MEMÓRIA04!E16</f>
        <v>0</v>
      </c>
      <c r="G28" s="73">
        <f>F28+[1]BM_03!G28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[1]MEMÓRIA04!E17</f>
        <v>0</v>
      </c>
      <c r="G29" s="73">
        <f>F29+[1]BM_03!G29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[1]MEMÓRIA04!E18</f>
        <v>0</v>
      </c>
      <c r="G30" s="73">
        <f>F30+[1]BM_03!G30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[1]MEMÓRIA04!E19</f>
        <v>0</v>
      </c>
      <c r="G31" s="73">
        <f>F31+[1]BM_03!G31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[1]MEMÓRIA04!E20</f>
        <v>0</v>
      </c>
      <c r="G32" s="73">
        <f>F32+[1]BM_03!G32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[1]MEMÓRIA04!E21</f>
        <v>0</v>
      </c>
      <c r="G33" s="73">
        <f>F33+[1]BM_03!G33</f>
        <v>1568.3000000000002</v>
      </c>
      <c r="H33" s="55">
        <f t="shared" si="0"/>
        <v>482470.43439999991</v>
      </c>
      <c r="I33" s="55">
        <f t="shared" si="1"/>
        <v>0</v>
      </c>
      <c r="J33" s="55">
        <f t="shared" si="2"/>
        <v>161409.44</v>
      </c>
      <c r="K33" s="159">
        <f t="shared" si="3"/>
        <v>0.33454783649225828</v>
      </c>
    </row>
    <row r="34" spans="1:11" ht="25.5" x14ac:dyDescent="0.25">
      <c r="A34" s="41" t="s">
        <v>1112</v>
      </c>
      <c r="B34" s="46" t="s">
        <v>1109</v>
      </c>
      <c r="C34" s="41" t="s">
        <v>103</v>
      </c>
      <c r="D34" s="43">
        <v>13.228900000000001</v>
      </c>
      <c r="E34" s="43">
        <v>4687.82</v>
      </c>
      <c r="F34" s="73">
        <f>[1]MEMÓRIA04!E22</f>
        <v>0</v>
      </c>
      <c r="G34" s="73">
        <f>F34+[1]BM_03!G34</f>
        <v>1481.16</v>
      </c>
      <c r="H34" s="55">
        <f t="shared" si="0"/>
        <v>62014.701998000004</v>
      </c>
      <c r="I34" s="55">
        <f t="shared" si="1"/>
        <v>0</v>
      </c>
      <c r="J34" s="55">
        <f t="shared" si="2"/>
        <v>19594.12</v>
      </c>
      <c r="K34" s="159">
        <f t="shared" si="3"/>
        <v>0.31595927044254629</v>
      </c>
    </row>
    <row r="35" spans="1:11" x14ac:dyDescent="0.25">
      <c r="A35" s="41"/>
      <c r="B35" s="46"/>
      <c r="C35" s="41"/>
      <c r="D35" s="43"/>
      <c r="E35" s="43"/>
      <c r="F35" s="73">
        <f>[1]MEMÓRIA04!E23</f>
        <v>0</v>
      </c>
      <c r="G35" s="73">
        <f>F35+[1]BM_03!G35</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[1]MEMÓRIA04!E25</f>
        <v>0</v>
      </c>
      <c r="G37" s="73">
        <f>F37+[1]BM_03!G37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[1]MEMÓRIA04!E26</f>
        <v>0</v>
      </c>
      <c r="G38" s="73">
        <f>F38+[1]BM_03!G38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[1]MEMÓRIA04!E27</f>
        <v>0</v>
      </c>
      <c r="G39" s="73">
        <f>F39+[1]BM_03!G39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[1]MEMÓRIA04!E28</f>
        <v>0</v>
      </c>
      <c r="G40" s="73">
        <f>F40+[1]BM_03!G40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[1]MEMÓRIA04!E29</f>
        <v>0</v>
      </c>
      <c r="G41" s="73">
        <f>F41+[1]BM_03!G41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[1]MEMÓRIA04!E30</f>
        <v>0</v>
      </c>
      <c r="G42" s="73">
        <f>F42+[1]BM_03!G42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[1]MEMÓRIA04!E31</f>
        <v>0</v>
      </c>
      <c r="G43" s="73">
        <f>F43+[1]BM_03!G43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[1]MEMÓRIA04!E32</f>
        <v>0</v>
      </c>
      <c r="G44" s="73">
        <f>F44+[1]BM_03!G44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[1]MEMÓRIA04!E33</f>
        <v>0</v>
      </c>
      <c r="G45" s="73">
        <f>F45+[1]BM_03!G45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[1]MEMÓRIA04!E34</f>
        <v>0</v>
      </c>
      <c r="G46" s="73">
        <f>F46+[1]BM_03!G46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[1]MEMÓRIA04!E35</f>
        <v>0</v>
      </c>
      <c r="G47" s="73">
        <f>F47+[1]BM_03!G47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[1]MEMÓRIA04!E36</f>
        <v>0</v>
      </c>
      <c r="G48" s="73">
        <f>F48+[1]BM_03!G48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[1]MEMÓRIA04!E37</f>
        <v>0</v>
      </c>
      <c r="G49" s="73">
        <f>F49+[1]BM_03!G49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[1]MEMÓRIA04!E38</f>
        <v>339.01</v>
      </c>
      <c r="G50" s="73">
        <f>F50+[1]BM_03!G50</f>
        <v>339.01</v>
      </c>
      <c r="H50" s="55">
        <f t="shared" si="4"/>
        <v>36220.275000000001</v>
      </c>
      <c r="I50" s="55">
        <f t="shared" si="1"/>
        <v>14746.94</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[1]MEMÓRIA04!E40</f>
        <v>0</v>
      </c>
      <c r="G52" s="73">
        <f>F52+[1]BM_03!G52</f>
        <v>8.7099999999999991</v>
      </c>
      <c r="H52" s="55">
        <f t="shared" si="4"/>
        <v>240489.53599999999</v>
      </c>
      <c r="I52" s="55">
        <f t="shared" si="1"/>
        <v>0</v>
      </c>
      <c r="J52" s="55">
        <f t="shared" si="2"/>
        <v>4921.67</v>
      </c>
      <c r="K52" s="159">
        <f t="shared" si="3"/>
        <v>2.0465214752628573E-2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[1]MEMÓRIA04!E41</f>
        <v>0</v>
      </c>
      <c r="G53" s="73">
        <f>F53+[1]BM_03!G53</f>
        <v>8.7099999999999991</v>
      </c>
      <c r="H53" s="55">
        <f t="shared" si="4"/>
        <v>15474.816000000001</v>
      </c>
      <c r="I53" s="55">
        <f t="shared" si="1"/>
        <v>0</v>
      </c>
      <c r="J53" s="55">
        <f t="shared" si="2"/>
        <v>316.7</v>
      </c>
      <c r="K53" s="159">
        <f t="shared" si="3"/>
        <v>2.0465509896854344E-2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[1]MEMÓRIA04!E42</f>
        <v>0</v>
      </c>
      <c r="G54" s="73">
        <f>F54+[1]BM_03!G54</f>
        <v>129.88999999999999</v>
      </c>
      <c r="H54" s="55">
        <f t="shared" si="4"/>
        <v>77294.28</v>
      </c>
      <c r="I54" s="55">
        <f t="shared" si="1"/>
        <v>0</v>
      </c>
      <c r="J54" s="55">
        <f t="shared" si="2"/>
        <v>2603</v>
      </c>
      <c r="K54" s="159">
        <f t="shared" si="3"/>
        <v>3.3676489385760497E-2</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[1]MEMÓRIA04!E43</f>
        <v>0</v>
      </c>
      <c r="G55" s="73">
        <f>F55+[1]BM_03!G55</f>
        <v>0</v>
      </c>
      <c r="H55" s="55">
        <f t="shared" si="4"/>
        <v>29392.84</v>
      </c>
      <c r="I55" s="55">
        <f t="shared" si="1"/>
        <v>0</v>
      </c>
      <c r="J55" s="55">
        <f t="shared" si="2"/>
        <v>0</v>
      </c>
      <c r="K55" s="159">
        <f t="shared" si="3"/>
        <v>0</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[1]MEMÓRIA04!E44</f>
        <v>0</v>
      </c>
      <c r="G56" s="73">
        <f>F56+[1]BM_03!G56</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[1]MEMÓRIA04!E45</f>
        <v>0</v>
      </c>
      <c r="G57" s="73">
        <f>F57+[1]BM_03!G57</f>
        <v>320.25</v>
      </c>
      <c r="H57" s="55">
        <f t="shared" si="4"/>
        <v>134442</v>
      </c>
      <c r="I57" s="55">
        <f t="shared" si="1"/>
        <v>0</v>
      </c>
      <c r="J57" s="55">
        <f t="shared" si="2"/>
        <v>5043.9399999999996</v>
      </c>
      <c r="K57" s="159">
        <f t="shared" si="3"/>
        <v>3.7517591228931432E-2</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[1]MEMÓRIA04!E46</f>
        <v>0</v>
      </c>
      <c r="G58" s="73">
        <f>F58+[1]BM_03!G58</f>
        <v>0</v>
      </c>
      <c r="H58" s="55">
        <f t="shared" si="4"/>
        <v>137515.68299999999</v>
      </c>
      <c r="I58" s="55">
        <f t="shared" si="1"/>
        <v>0</v>
      </c>
      <c r="J58" s="55">
        <f t="shared" si="2"/>
        <v>0</v>
      </c>
      <c r="K58" s="159">
        <f t="shared" si="3"/>
        <v>0</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[1]MEMÓRIA04!E47</f>
        <v>0</v>
      </c>
      <c r="G59" s="73">
        <f>F59+[1]BM_03!G59</f>
        <v>0</v>
      </c>
      <c r="H59" s="55">
        <f t="shared" si="4"/>
        <v>44142.053999999996</v>
      </c>
      <c r="I59" s="55">
        <f t="shared" si="1"/>
        <v>0</v>
      </c>
      <c r="J59" s="55">
        <f t="shared" si="2"/>
        <v>0</v>
      </c>
      <c r="K59" s="159">
        <f t="shared" si="3"/>
        <v>0</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[1]MEMÓRIA04!E48</f>
        <v>0</v>
      </c>
      <c r="G60" s="73">
        <f>F60+[1]BM_03!G60</f>
        <v>0</v>
      </c>
      <c r="H60" s="55">
        <f t="shared" si="4"/>
        <v>15567.279</v>
      </c>
      <c r="I60" s="55">
        <f t="shared" si="1"/>
        <v>0</v>
      </c>
      <c r="J60" s="55">
        <f t="shared" si="2"/>
        <v>0</v>
      </c>
      <c r="K60" s="159">
        <f t="shared" si="3"/>
        <v>0</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[1]MEMÓRIA04!E49</f>
        <v>0</v>
      </c>
      <c r="G61" s="73">
        <f>F61+[1]BM_03!G61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[1]MEMÓRIA04!E50</f>
        <v>82.86</v>
      </c>
      <c r="G62" s="73">
        <f>F62+[1]BM_03!G62</f>
        <v>82.86</v>
      </c>
      <c r="H62" s="55">
        <f t="shared" si="4"/>
        <v>44675.28</v>
      </c>
      <c r="I62" s="55">
        <f t="shared" si="1"/>
        <v>14348.04</v>
      </c>
      <c r="J62" s="55">
        <f t="shared" si="2"/>
        <v>14348.04</v>
      </c>
      <c r="K62" s="159">
        <f t="shared" si="3"/>
        <v>0.32116284441865839</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[1]MEMÓRIA04!E51</f>
        <v>0</v>
      </c>
      <c r="G63" s="73">
        <f>F63+[1]BM_03!G63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[1]MEMÓRIA04!E52</f>
        <v>0</v>
      </c>
      <c r="G64" s="73">
        <f>F64+[1]BM_03!G64</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[1]MEMÓRIA04!E53</f>
        <v>0</v>
      </c>
      <c r="G65" s="73">
        <f>F65+[1]BM_03!G65</f>
        <v>142.44499999999999</v>
      </c>
      <c r="H65" s="55">
        <f t="shared" si="4"/>
        <v>59881.711799999997</v>
      </c>
      <c r="I65" s="55">
        <f t="shared" si="1"/>
        <v>0</v>
      </c>
      <c r="J65" s="55">
        <f t="shared" si="2"/>
        <v>11085.07</v>
      </c>
      <c r="K65" s="159">
        <f t="shared" si="3"/>
        <v>0.18511611753891111</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[1]MEMÓRIA04!E54</f>
        <v>0</v>
      </c>
      <c r="G66" s="73">
        <f>F66+[1]BM_03!G66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[1]MEMÓRIA04!E56</f>
        <v>0</v>
      </c>
      <c r="G68" s="73">
        <f>F68+[1]BM_03!G68</f>
        <v>311.45999999999998</v>
      </c>
      <c r="H68" s="55">
        <f t="shared" si="4"/>
        <v>409519.85219999996</v>
      </c>
      <c r="I68" s="55">
        <f t="shared" si="1"/>
        <v>0</v>
      </c>
      <c r="J68" s="55">
        <f t="shared" si="2"/>
        <v>25458.74</v>
      </c>
      <c r="K68" s="159">
        <f t="shared" si="3"/>
        <v>6.2167291434669071E-2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[1]MEMÓRIA04!E57</f>
        <v>0</v>
      </c>
      <c r="G69" s="73">
        <f>F69+[1]BM_03!G69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[1]MEMÓRIA04!E58</f>
        <v>0</v>
      </c>
      <c r="G70" s="73">
        <f>F70+[1]BM_03!G70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[1]MEMÓRIA04!E59</f>
        <v>0</v>
      </c>
      <c r="G71" s="73">
        <f>F71+[1]BM_03!G71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[1]MEMÓRIA04!E60</f>
        <v>0</v>
      </c>
      <c r="G72" s="73">
        <f>F72+[1]BM_03!G72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[1]MEMÓRIA04!E61</f>
        <v>0</v>
      </c>
      <c r="G73" s="73">
        <f>F73+[1]BM_03!G73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[1]MEMÓRIA04!E62</f>
        <v>0</v>
      </c>
      <c r="G74" s="73">
        <f>F74+[1]BM_03!G74</f>
        <v>19.96</v>
      </c>
      <c r="H74" s="55">
        <f t="shared" si="4"/>
        <v>2390.232</v>
      </c>
      <c r="I74" s="55">
        <f t="shared" si="1"/>
        <v>0</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[1]MEMÓRIA04!E63</f>
        <v>19.96</v>
      </c>
      <c r="G75" s="73">
        <f>F75+[1]BM_03!G75</f>
        <v>19.96</v>
      </c>
      <c r="H75" s="55">
        <f t="shared" si="4"/>
        <v>2217.2719999999999</v>
      </c>
      <c r="I75" s="55">
        <f t="shared" si="1"/>
        <v>1177.04</v>
      </c>
      <c r="J75" s="55">
        <f t="shared" si="2"/>
        <v>1177.04</v>
      </c>
      <c r="K75" s="159">
        <f t="shared" si="3"/>
        <v>0.53085052262419763</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[1]MEMÓRIA04!E64</f>
        <v>0</v>
      </c>
      <c r="G76" s="73">
        <f>F76+[1]BM_03!G76</f>
        <v>10.5</v>
      </c>
      <c r="H76" s="55">
        <f t="shared" si="4"/>
        <v>2793.71</v>
      </c>
      <c r="I76" s="55">
        <f t="shared" si="1"/>
        <v>0</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[1]MEMÓRIA04!E65</f>
        <v>0</v>
      </c>
      <c r="G77" s="73">
        <f>F77+[1]BM_03!G77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[1]MEMÓRIA04!E66</f>
        <v>0</v>
      </c>
      <c r="G78" s="73">
        <f>F78+[1]BM_03!G78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[1]MEMÓRIA04!E67</f>
        <v>0</v>
      </c>
      <c r="G79" s="73">
        <f>F79+[1]BM_03!G79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[1]MEMÓRIA04!E69</f>
        <v>0</v>
      </c>
      <c r="G81" s="73">
        <f>F81+[1]BM_03!G81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[1]MEMÓRIA04!E70</f>
        <v>0</v>
      </c>
      <c r="G82" s="73">
        <f>F82+[1]BM_03!G82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[1]MEMÓRIA04!E71</f>
        <v>0</v>
      </c>
      <c r="G83" s="73">
        <f>F83+[1]BM_03!G83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[1]MEMÓRIA04!E72</f>
        <v>0</v>
      </c>
      <c r="G84" s="73">
        <f>F84+[1]BM_03!G84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[1]MEMÓRIA04!E73</f>
        <v>0</v>
      </c>
      <c r="G85" s="73">
        <f>F85+[1]BM_03!G85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[1]MEMÓRIA04!E74</f>
        <v>0</v>
      </c>
      <c r="G86" s="73">
        <f>F86+[1]BM_03!G86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[1]MEMÓRIA04!E75</f>
        <v>0</v>
      </c>
      <c r="G87" s="73">
        <f>F87+[1]BM_03!G87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[1]MEMÓRIA04!E76</f>
        <v>0</v>
      </c>
      <c r="G88" s="73">
        <f>F88+[1]BM_03!G88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[1]MEMÓRIA04!E77</f>
        <v>0</v>
      </c>
      <c r="G89" s="73">
        <f>F89+[1]BM_03!G89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[1]MEMÓRIA04!E78</f>
        <v>0</v>
      </c>
      <c r="G90" s="73">
        <f>F90+[1]BM_03!G90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[1]MEMÓRIA04!E79</f>
        <v>0</v>
      </c>
      <c r="G91" s="73">
        <f>F91+[1]BM_03!G91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[1]MEMÓRIA04!E80</f>
        <v>0</v>
      </c>
      <c r="G92" s="73">
        <f>F92+[1]BM_03!G92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[1]MEMÓRIA04!E81</f>
        <v>0</v>
      </c>
      <c r="G93" s="73">
        <f>F93+[1]BM_03!G93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[1]MEMÓRIA04!E83</f>
        <v>0</v>
      </c>
      <c r="G95" s="73">
        <f>F95+[1]BM_03!G95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[1]MEMÓRIA04!E84</f>
        <v>0</v>
      </c>
      <c r="G96" s="73">
        <f>F96+[1]BM_03!G96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[1]MEMÓRIA04!E85</f>
        <v>0</v>
      </c>
      <c r="G97" s="73">
        <f>F97+[1]BM_03!G97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[1]MEMÓRIA04!E86</f>
        <v>0</v>
      </c>
      <c r="G98" s="73">
        <f>F98+[1]BM_03!G98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[1]MEMÓRIA04!E88</f>
        <v>0</v>
      </c>
      <c r="G100" s="73">
        <f>F100+[1]BM_03!G100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[1]MEMÓRIA04!E89</f>
        <v>0</v>
      </c>
      <c r="G101" s="73">
        <f>F101+[1]BM_03!G101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[1]MEMÓRIA04!E90</f>
        <v>0</v>
      </c>
      <c r="G102" s="73">
        <f>F102+[1]BM_03!G102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[1]MEMÓRIA04!E91</f>
        <v>0</v>
      </c>
      <c r="G103" s="73">
        <f>F103+[1]BM_03!G103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[1]MEMÓRIA04!E93</f>
        <v>1034.58</v>
      </c>
      <c r="G105" s="73">
        <f>F105+[1]BM_03!G105</f>
        <v>1034.58</v>
      </c>
      <c r="H105" s="55">
        <f t="shared" ref="H105:H168" si="9">E105*D105</f>
        <v>26263.0416</v>
      </c>
      <c r="I105" s="55">
        <f t="shared" si="5"/>
        <v>4221.09</v>
      </c>
      <c r="J105" s="55">
        <f t="shared" si="6"/>
        <v>4221.09</v>
      </c>
      <c r="K105" s="159">
        <f t="shared" si="7"/>
        <v>0.16072357742448232</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[1]MEMÓRIA04!E94</f>
        <v>311.45999999999998</v>
      </c>
      <c r="G106" s="73">
        <f>F106+[1]BM_03!G106</f>
        <v>311.45999999999998</v>
      </c>
      <c r="H106" s="55">
        <f t="shared" si="9"/>
        <v>226776.21460000001</v>
      </c>
      <c r="I106" s="55">
        <f t="shared" si="5"/>
        <v>10972.74</v>
      </c>
      <c r="J106" s="55">
        <f t="shared" si="6"/>
        <v>10972.74</v>
      </c>
      <c r="K106" s="159">
        <f t="shared" si="7"/>
        <v>4.8385762234166858E-2</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[1]MEMÓRIA04!E95</f>
        <v>0</v>
      </c>
      <c r="G107" s="73">
        <f>F107+[1]BM_03!G107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[1]MEMÓRIA04!E96</f>
        <v>0</v>
      </c>
      <c r="G108" s="73">
        <f>F108+[1]BM_03!G108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[1]MEMÓRIA04!E98</f>
        <v>0</v>
      </c>
      <c r="G110" s="73">
        <f>F110+[1]BM_03!G110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[1]MEMÓRIA04!E99</f>
        <v>0</v>
      </c>
      <c r="G111" s="73">
        <f>F111+[1]BM_03!G111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[1]MEMÓRIA04!E100</f>
        <v>0</v>
      </c>
      <c r="G112" s="73">
        <f>F112+[1]BM_03!G112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[1]MEMÓRIA04!E101</f>
        <v>0</v>
      </c>
      <c r="G113" s="73">
        <f>F113+[1]BM_03!G113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[1]MEMÓRIA04!E102</f>
        <v>0</v>
      </c>
      <c r="G114" s="73">
        <f>F114+[1]BM_03!G114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[1]MEMÓRIA04!E104</f>
        <v>0</v>
      </c>
      <c r="G116" s="73">
        <f>F116+[1]BM_03!G116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[1]MEMÓRIA04!E105</f>
        <v>0</v>
      </c>
      <c r="G117" s="73">
        <f>F117+[1]BM_03!G117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[1]MEMÓRIA04!E106</f>
        <v>0</v>
      </c>
      <c r="G118" s="73">
        <f>F118+[1]BM_03!G118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[1]MEMÓRIA04!E107</f>
        <v>0</v>
      </c>
      <c r="G119" s="73">
        <f>F119+[1]BM_03!G119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[1]MEMÓRIA04!E109</f>
        <v>0</v>
      </c>
      <c r="G121" s="73">
        <f>F121+[1]BM_03!G121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[1]MEMÓRIA04!E110</f>
        <v>0</v>
      </c>
      <c r="G122" s="73">
        <f>F122+[1]BM_03!G122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[1]MEMÓRIA04!E111</f>
        <v>0</v>
      </c>
      <c r="G123" s="73">
        <f>F123+[1]BM_03!G123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[1]MEMÓRIA04!E112</f>
        <v>0</v>
      </c>
      <c r="G124" s="73">
        <f>F124+[1]BM_03!G124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[1]MEMÓRIA04!E113</f>
        <v>0</v>
      </c>
      <c r="G125" s="73">
        <f>F125+[1]BM_03!G125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[1]MEMÓRIA04!E114</f>
        <v>0</v>
      </c>
      <c r="G126" s="73">
        <f>F126+[1]BM_03!G126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[1]MEMÓRIA04!E115</f>
        <v>0</v>
      </c>
      <c r="G127" s="73">
        <f>F127+[1]BM_03!G127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[1]MEMÓRIA04!E116</f>
        <v>0</v>
      </c>
      <c r="G128" s="73">
        <f>F128+[1]BM_03!G128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[1]MEMÓRIA04!E118</f>
        <v>0</v>
      </c>
      <c r="G130" s="73">
        <f>F130+[1]BM_03!G130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[1]MEMÓRIA04!E119</f>
        <v>0</v>
      </c>
      <c r="G131" s="73">
        <f>F131+[1]BM_03!G131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[1]MEMÓRIA04!E120</f>
        <v>0</v>
      </c>
      <c r="G132" s="73">
        <f>F132+[1]BM_03!G132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[1]MEMÓRIA04!E121</f>
        <v>0</v>
      </c>
      <c r="G133" s="73">
        <f>F133+[1]BM_03!G133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[1]MEMÓRIA04!E122</f>
        <v>0</v>
      </c>
      <c r="G134" s="73">
        <f>F134+[1]BM_03!G134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[1]MEMÓRIA04!E123</f>
        <v>0</v>
      </c>
      <c r="G135" s="73">
        <f>F135+[1]BM_03!G135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[1]MEMÓRIA04!E124</f>
        <v>0</v>
      </c>
      <c r="G136" s="73">
        <f>F136+[1]BM_03!G136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[1]MEMÓRIA04!E125</f>
        <v>0</v>
      </c>
      <c r="G137" s="73">
        <f>F137+[1]BM_03!G137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[1]MEMÓRIA04!E126</f>
        <v>0</v>
      </c>
      <c r="G138" s="73">
        <f>F138+[1]BM_03!G138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[1]MEMÓRIA04!E127</f>
        <v>0</v>
      </c>
      <c r="G139" s="73">
        <f>F139+[1]BM_03!G139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[1]MEMÓRIA04!E128</f>
        <v>0</v>
      </c>
      <c r="G140" s="73">
        <f>F140+[1]BM_03!G140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[1]MEMÓRIA04!E129</f>
        <v>0</v>
      </c>
      <c r="G141" s="73">
        <f>F141+[1]BM_03!G141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[1]MEMÓRIA04!E130</f>
        <v>0</v>
      </c>
      <c r="G142" s="73">
        <f>F142+[1]BM_03!G142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[1]MEMÓRIA04!E131</f>
        <v>0</v>
      </c>
      <c r="G143" s="73">
        <f>F143+[1]BM_03!G143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[1]MEMÓRIA04!E132</f>
        <v>0</v>
      </c>
      <c r="G144" s="73">
        <f>F144+[1]BM_03!G144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[1]MEMÓRIA04!E133</f>
        <v>0</v>
      </c>
      <c r="G145" s="73">
        <f>F145+[1]BM_03!G145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[1]MEMÓRIA04!E134</f>
        <v>0</v>
      </c>
      <c r="G146" s="73">
        <f>F146+[1]BM_03!G146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[1]MEMÓRIA04!E135</f>
        <v>0</v>
      </c>
      <c r="G147" s="73">
        <f>F147+[1]BM_03!G147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[1]MEMÓRIA04!E136</f>
        <v>0</v>
      </c>
      <c r="G148" s="73">
        <f>F148+[1]BM_03!G148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[1]MEMÓRIA04!E137</f>
        <v>0</v>
      </c>
      <c r="G149" s="73">
        <f>F149+[1]BM_03!G149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[1]MEMÓRIA04!E138</f>
        <v>0</v>
      </c>
      <c r="G150" s="73">
        <f>F150+[1]BM_03!G150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[1]MEMÓRIA04!E139</f>
        <v>0</v>
      </c>
      <c r="G151" s="73">
        <f>F151+[1]BM_03!G151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[1]MEMÓRIA04!E140</f>
        <v>0</v>
      </c>
      <c r="G152" s="73">
        <f>F152+[1]BM_03!G152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[1]MEMÓRIA04!E142</f>
        <v>0</v>
      </c>
      <c r="G154" s="73">
        <f>F154+[1]BM_03!G154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[1]MEMÓRIA04!E143</f>
        <v>0</v>
      </c>
      <c r="G155" s="73">
        <f>F155+[1]BM_03!G155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[1]MEMÓRIA04!E144</f>
        <v>0</v>
      </c>
      <c r="G156" s="73">
        <f>F156+[1]BM_03!G156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[1]MEMÓRIA04!E145</f>
        <v>0</v>
      </c>
      <c r="G157" s="73">
        <f>F157+[1]BM_03!G157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[1]MEMÓRIA04!E146</f>
        <v>0</v>
      </c>
      <c r="G158" s="73">
        <f>F158+[1]BM_03!G158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[1]MEMÓRIA04!E147</f>
        <v>0</v>
      </c>
      <c r="G159" s="73">
        <f>F159+[1]BM_03!G159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[1]MEMÓRIA04!E148</f>
        <v>0</v>
      </c>
      <c r="G160" s="73">
        <f>F160+[1]BM_03!G160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[1]MEMÓRIA04!E149</f>
        <v>0</v>
      </c>
      <c r="G161" s="73">
        <f>F161+[1]BM_03!G161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[1]MEMÓRIA04!E150</f>
        <v>0</v>
      </c>
      <c r="G162" s="73">
        <f>F162+[1]BM_03!G162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[1]MEMÓRIA04!E151</f>
        <v>0</v>
      </c>
      <c r="G163" s="73">
        <f>F163+[1]BM_03!G163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[1]MEMÓRIA04!E152</f>
        <v>0</v>
      </c>
      <c r="G164" s="73">
        <f>F164+[1]BM_03!G164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[1]MEMÓRIA04!E153</f>
        <v>0</v>
      </c>
      <c r="G165" s="73">
        <f>F165+[1]BM_03!G165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[1]MEMÓRIA04!E154</f>
        <v>0</v>
      </c>
      <c r="G166" s="73">
        <f>F166+[1]BM_03!G166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[1]MEMÓRIA04!E155</f>
        <v>0</v>
      </c>
      <c r="G167" s="73">
        <f>F167+[1]BM_03!G167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[1]MEMÓRIA04!E156</f>
        <v>0</v>
      </c>
      <c r="G168" s="73">
        <f>F168+[1]BM_03!G168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[1]MEMÓRIA04!E157</f>
        <v>0</v>
      </c>
      <c r="G169" s="73">
        <f>F169+[1]BM_03!G169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[1]MEMÓRIA04!E158</f>
        <v>0</v>
      </c>
      <c r="G170" s="73">
        <f>F170+[1]BM_03!G170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[1]MEMÓRIA04!E160</f>
        <v>0</v>
      </c>
      <c r="G172" s="73">
        <f>F172+[1]BM_03!G172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[1]MEMÓRIA04!E161</f>
        <v>0</v>
      </c>
      <c r="G173" s="73">
        <f>F173+[1]BM_03!G173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[1]MEMÓRIA04!E162</f>
        <v>0</v>
      </c>
      <c r="G174" s="73">
        <f>F174+[1]BM_03!G174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[1]MEMÓRIA04!E163</f>
        <v>0</v>
      </c>
      <c r="G175" s="73">
        <f>F175+[1]BM_03!G175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[1]MEMÓRIA04!E164</f>
        <v>0</v>
      </c>
      <c r="G176" s="73">
        <f>F176+[1]BM_03!G176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[1]MEMÓRIA04!E165</f>
        <v>0</v>
      </c>
      <c r="G177" s="73">
        <f>F177+[1]BM_03!G177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[1]MEMÓRIA04!E166</f>
        <v>0</v>
      </c>
      <c r="G178" s="73">
        <f>F178+[1]BM_03!G178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[1]MEMÓRIA04!E167</f>
        <v>0</v>
      </c>
      <c r="G179" s="73">
        <f>F179+[1]BM_03!G179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[1]MEMÓRIA04!E168</f>
        <v>0</v>
      </c>
      <c r="G180" s="73">
        <f>F180+[1]BM_03!G180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[1]MEMÓRIA04!E169</f>
        <v>0</v>
      </c>
      <c r="G181" s="73">
        <f>F181+[1]BM_03!G181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[1]MEMÓRIA04!E170</f>
        <v>0</v>
      </c>
      <c r="G182" s="73">
        <f>F182+[1]BM_03!G182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[1]MEMÓRIA04!E171</f>
        <v>0</v>
      </c>
      <c r="G183" s="73">
        <f>F183+[1]BM_03!G183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[1]MEMÓRIA04!E172</f>
        <v>0</v>
      </c>
      <c r="G184" s="73">
        <f>F184+[1]BM_03!G184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[1]MEMÓRIA04!E173</f>
        <v>0</v>
      </c>
      <c r="G185" s="73">
        <f>F185+[1]BM_03!G185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[1]MEMÓRIA04!E174</f>
        <v>0</v>
      </c>
      <c r="G186" s="73">
        <f>F186+[1]BM_03!G186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[1]MEMÓRIA04!E175</f>
        <v>0</v>
      </c>
      <c r="G187" s="73">
        <f>F187+[1]BM_03!G187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[1]MEMÓRIA04!E176</f>
        <v>0</v>
      </c>
      <c r="G188" s="73">
        <f>F188+[1]BM_03!G188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[1]MEMÓRIA04!E177</f>
        <v>0</v>
      </c>
      <c r="G189" s="73">
        <f>F189+[1]BM_03!G189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[1]MEMÓRIA04!E179</f>
        <v>18.11</v>
      </c>
      <c r="G191" s="73">
        <f>F191+[1]BM_03!G191</f>
        <v>18.11</v>
      </c>
      <c r="H191" s="55">
        <f t="shared" si="13"/>
        <v>14059.51</v>
      </c>
      <c r="I191" s="55">
        <f t="shared" si="10"/>
        <v>1333.08</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[1]MEMÓRIA04!E180</f>
        <v>0</v>
      </c>
      <c r="G192" s="73">
        <f>F192+[1]BM_03!G192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[1]MEMÓRIA04!E181</f>
        <v>0</v>
      </c>
      <c r="G193" s="73">
        <f>F193+[1]BM_03!G193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[1]MEMÓRIA04!E182</f>
        <v>0</v>
      </c>
      <c r="G194" s="73">
        <f>F194+[1]BM_03!G194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[1]MEMÓRIA04!E183</f>
        <v>17</v>
      </c>
      <c r="G195" s="73">
        <f>F195+[1]BM_03!G195</f>
        <v>17</v>
      </c>
      <c r="H195" s="55">
        <f t="shared" si="13"/>
        <v>12749.1</v>
      </c>
      <c r="I195" s="55">
        <f t="shared" si="10"/>
        <v>7224.49</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[1]MEMÓRIA04!E184</f>
        <v>0</v>
      </c>
      <c r="G196" s="73">
        <f>F196+[1]BM_03!G196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[1]MEMÓRIA04!E185</f>
        <v>0</v>
      </c>
      <c r="G197" s="73">
        <f>F197+[1]BM_03!G197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[1]MEMÓRIA04!E186</f>
        <v>0</v>
      </c>
      <c r="G198" s="73">
        <f>F198+[1]BM_03!G198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[1]MEMÓRIA04!E187</f>
        <v>0</v>
      </c>
      <c r="G199" s="73">
        <f>F199+[1]BM_03!G199</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[1]MEMÓRIA04!E189</f>
        <v>0</v>
      </c>
      <c r="G201" s="73">
        <f>F201+[1]BM_03!G201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[1]MEMÓRIA04!E190</f>
        <v>0</v>
      </c>
      <c r="G202" s="73">
        <f>F202+[1]BM_03!G202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[1]MEMÓRIA04!E191</f>
        <v>3</v>
      </c>
      <c r="G203" s="73">
        <f>F203+[1]BM_03!G203</f>
        <v>3</v>
      </c>
      <c r="H203" s="55">
        <f t="shared" si="13"/>
        <v>5949.58</v>
      </c>
      <c r="I203" s="55">
        <f t="shared" si="10"/>
        <v>1274.9100000000001</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[1]MEMÓRIA04!E192</f>
        <v>0</v>
      </c>
      <c r="G204" s="73">
        <f>F204+[1]BM_03!G204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[1]MEMÓRIA04!E193</f>
        <v>0</v>
      </c>
      <c r="G205" s="73">
        <f>F205+[1]BM_03!G205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[1]MEMÓRIA04!E195</f>
        <v>0</v>
      </c>
      <c r="G207" s="73">
        <f>F207+[1]BM_03!G207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[1]MEMÓRIA04!E196</f>
        <v>0</v>
      </c>
      <c r="G208" s="73">
        <f>F208+[1]BM_03!G208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[1]MEMÓRIA04!E197</f>
        <v>0</v>
      </c>
      <c r="G209" s="73">
        <f>F209+[1]BM_03!G209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[1]MEMÓRIA04!E198</f>
        <v>0</v>
      </c>
      <c r="G210" s="73">
        <f>F210+[1]BM_03!G210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[1]MEMÓRIA04!E199</f>
        <v>0</v>
      </c>
      <c r="G211" s="73">
        <f>F211+[1]BM_03!G211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[1]MEMÓRIA04!E200</f>
        <v>0</v>
      </c>
      <c r="G212" s="73">
        <f>F212+[1]BM_03!G212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[1]MEMÓRIA04!E201</f>
        <v>0</v>
      </c>
      <c r="G213" s="73">
        <f>F213+[1]BM_03!G213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[1]MEMÓRIA04!E202</f>
        <v>0</v>
      </c>
      <c r="G214" s="73">
        <f>F214+[1]BM_03!G214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[1]MEMÓRIA04!E203</f>
        <v>0</v>
      </c>
      <c r="G215" s="73">
        <f>F215+[1]BM_03!G215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[1]MEMÓRIA04!E204</f>
        <v>0</v>
      </c>
      <c r="G216" s="73">
        <f>F216+[1]BM_03!G216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[1]MEMÓRIA04!E205</f>
        <v>0</v>
      </c>
      <c r="G217" s="73">
        <f>F217+[1]BM_03!G217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[1]MEMÓRIA04!E206</f>
        <v>0</v>
      </c>
      <c r="G218" s="73">
        <f>F218+[1]BM_03!G218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[1]MEMÓRIA04!E207</f>
        <v>0</v>
      </c>
      <c r="G219" s="73">
        <f>F219+[1]BM_03!G219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[1]MEMÓRIA04!E208</f>
        <v>0</v>
      </c>
      <c r="G220" s="73">
        <f>F220+[1]BM_03!G220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[1]MEMÓRIA04!E209</f>
        <v>0</v>
      </c>
      <c r="G221" s="73">
        <f>F221+[1]BM_03!G221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[1]MEMÓRIA04!E210</f>
        <v>0</v>
      </c>
      <c r="G222" s="73">
        <f>F222+[1]BM_03!G222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[1]MEMÓRIA04!E211</f>
        <v>0</v>
      </c>
      <c r="G223" s="73">
        <f>F223+[1]BM_03!G223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[1]MEMÓRIA04!E212</f>
        <v>0</v>
      </c>
      <c r="G224" s="73">
        <f>F224+[1]BM_03!G224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[1]MEMÓRIA04!E213</f>
        <v>0</v>
      </c>
      <c r="G225" s="73">
        <f>F225+[1]BM_03!G225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[1]MEMÓRIA04!E214</f>
        <v>0</v>
      </c>
      <c r="G226" s="73">
        <f>F226+[1]BM_03!G226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[1]MEMÓRIA04!E215</f>
        <v>0</v>
      </c>
      <c r="G227" s="73">
        <f>F227+[1]BM_03!G227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[1]MEMÓRIA04!E216</f>
        <v>0</v>
      </c>
      <c r="G228" s="73">
        <f>F228+[1]BM_03!G228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[1]MEMÓRIA04!E217</f>
        <v>0</v>
      </c>
      <c r="G229" s="73">
        <f>F229+[1]BM_03!G229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[1]MEMÓRIA04!E218</f>
        <v>0</v>
      </c>
      <c r="G230" s="73">
        <f>F230+[1]BM_03!G230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[1]MEMÓRIA04!E219</f>
        <v>0</v>
      </c>
      <c r="G231" s="73">
        <f>F231+[1]BM_03!G231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[1]MEMÓRIA04!E220</f>
        <v>0</v>
      </c>
      <c r="G232" s="73">
        <f>F232+[1]BM_03!G232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[1]MEMÓRIA04!E221</f>
        <v>0</v>
      </c>
      <c r="G233" s="73">
        <f>F233+[1]BM_03!G233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[1]MEMÓRIA04!E222</f>
        <v>0</v>
      </c>
      <c r="G234" s="73">
        <f>F234+[1]BM_03!G234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[1]MEMÓRIA04!E223</f>
        <v>0</v>
      </c>
      <c r="G235" s="73">
        <f>F235+[1]BM_03!G235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[1]MEMÓRIA04!E224</f>
        <v>0</v>
      </c>
      <c r="G236" s="73">
        <f>F236+[1]BM_03!G236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[1]MEMÓRIA04!E225</f>
        <v>0</v>
      </c>
      <c r="G237" s="73">
        <f>F237+[1]BM_03!G237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[1]MEMÓRIA04!E226</f>
        <v>0</v>
      </c>
      <c r="G238" s="73">
        <f>F238+[1]BM_03!G238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[1]MEMÓRIA04!E227</f>
        <v>0</v>
      </c>
      <c r="G239" s="73">
        <f>F239+[1]BM_03!G239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[1]MEMÓRIA04!E228</f>
        <v>0</v>
      </c>
      <c r="G240" s="73">
        <f>F240+[1]BM_03!G240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[1]MEMÓRIA04!E229</f>
        <v>0</v>
      </c>
      <c r="G241" s="73">
        <f>F241+[1]BM_03!G241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[1]MEMÓRIA04!E230</f>
        <v>0</v>
      </c>
      <c r="G242" s="73">
        <f>F242+[1]BM_03!G242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[1]MEMÓRIA04!E231</f>
        <v>0</v>
      </c>
      <c r="G243" s="73">
        <f>F243+[1]BM_03!G243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[1]MEMÓRIA04!E232</f>
        <v>0</v>
      </c>
      <c r="G244" s="73">
        <f>F244+[1]BM_03!G244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[1]MEMÓRIA04!E233</f>
        <v>0</v>
      </c>
      <c r="G245" s="73">
        <f>F245+[1]BM_03!G245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[1]MEMÓRIA04!E234</f>
        <v>0</v>
      </c>
      <c r="G246" s="73">
        <f>F246+[1]BM_03!G246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[1]MEMÓRIA04!E235</f>
        <v>0</v>
      </c>
      <c r="G247" s="73">
        <f>F247+[1]BM_03!G247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[1]MEMÓRIA04!E236</f>
        <v>0</v>
      </c>
      <c r="G248" s="73">
        <f>F248+[1]BM_03!G248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[1]MEMÓRIA04!E237</f>
        <v>0</v>
      </c>
      <c r="G249" s="73">
        <f>F249+[1]BM_03!G249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[1]MEMÓRIA04!E238</f>
        <v>0</v>
      </c>
      <c r="G250" s="73">
        <f>F250+[1]BM_03!G250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[1]MEMÓRIA04!E239</f>
        <v>0</v>
      </c>
      <c r="G251" s="73">
        <f>F251+[1]BM_03!G251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[1]MEMÓRIA04!E240</f>
        <v>0</v>
      </c>
      <c r="G252" s="73">
        <f>F252+[1]BM_03!G252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[1]MEMÓRIA04!E241</f>
        <v>0</v>
      </c>
      <c r="G253" s="73">
        <f>F253+[1]BM_03!G253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[1]MEMÓRIA04!E242</f>
        <v>0</v>
      </c>
      <c r="G254" s="73">
        <f>F254+[1]BM_03!G254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[1]MEMÓRIA04!E243</f>
        <v>0</v>
      </c>
      <c r="G255" s="73">
        <f>F255+[1]BM_03!G255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[1]MEMÓRIA04!E244</f>
        <v>0</v>
      </c>
      <c r="G256" s="73">
        <f>F256+[1]BM_03!G256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[1]MEMÓRIA04!E245</f>
        <v>0</v>
      </c>
      <c r="G257" s="73">
        <f>F257+[1]BM_03!G257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[1]MEMÓRIA04!E247</f>
        <v>0</v>
      </c>
      <c r="G259" s="73">
        <f>F259+[1]BM_03!G259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[1]MEMÓRIA04!E248</f>
        <v>0</v>
      </c>
      <c r="G260" s="73">
        <f>F260+[1]BM_03!G260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[1]MEMÓRIA04!E249</f>
        <v>0</v>
      </c>
      <c r="G261" s="73">
        <f>F261+[1]BM_03!G261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[1]MEMÓRIA04!E250</f>
        <v>0</v>
      </c>
      <c r="G262" s="73">
        <f>F262+[1]BM_03!G262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[1]MEMÓRIA04!E251</f>
        <v>0</v>
      </c>
      <c r="G263" s="73">
        <f>F263+[1]BM_03!G263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[1]MEMÓRIA04!E252</f>
        <v>0</v>
      </c>
      <c r="G264" s="73">
        <f>F264+[1]BM_03!G264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[1]MEMÓRIA04!E253</f>
        <v>0</v>
      </c>
      <c r="G265" s="73">
        <f>F265+[1]BM_03!G265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[1]MEMÓRIA04!E254</f>
        <v>0</v>
      </c>
      <c r="G266" s="73">
        <f>F266+[1]BM_03!G266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[1]MEMÓRIA04!E255</f>
        <v>0</v>
      </c>
      <c r="G267" s="73">
        <f>F267+[1]BM_03!G267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[1]MEMÓRIA04!E256</f>
        <v>0</v>
      </c>
      <c r="G268" s="73">
        <f>F268+[1]BM_03!G268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[1]MEMÓRIA04!E257</f>
        <v>0</v>
      </c>
      <c r="G269" s="73">
        <f>F269+[1]BM_03!G269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[1]MEMÓRIA04!E258</f>
        <v>0</v>
      </c>
      <c r="G270" s="73">
        <f>F270+[1]BM_03!G270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[1]MEMÓRIA04!E259</f>
        <v>0</v>
      </c>
      <c r="G271" s="73">
        <f>F271+[1]BM_03!G271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[1]MEMÓRIA04!E260</f>
        <v>0</v>
      </c>
      <c r="G272" s="73">
        <f>F272+[1]BM_03!G272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[1]MEMÓRIA04!E261</f>
        <v>0</v>
      </c>
      <c r="G273" s="73">
        <f>F273+[1]BM_03!G273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[1]MEMÓRIA04!E262</f>
        <v>0</v>
      </c>
      <c r="G274" s="73">
        <f>F274+[1]BM_03!G274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[1]MEMÓRIA04!E263</f>
        <v>0</v>
      </c>
      <c r="G275" s="73">
        <f>F275+[1]BM_03!G275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[1]MEMÓRIA04!E264</f>
        <v>0</v>
      </c>
      <c r="G276" s="73">
        <f>F276+[1]BM_03!G276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[1]MEMÓRIA04!E265</f>
        <v>0</v>
      </c>
      <c r="G277" s="73">
        <f>F277+[1]BM_03!G277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[1]MEMÓRIA04!E266</f>
        <v>0</v>
      </c>
      <c r="G278" s="73">
        <f>F278+[1]BM_03!G278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[1]MEMÓRIA04!E268</f>
        <v>0</v>
      </c>
      <c r="G280" s="73">
        <f>F280+[1]BM_03!G280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[1]MEMÓRIA04!E269</f>
        <v>0</v>
      </c>
      <c r="G281" s="73">
        <f>F281+[1]BM_03!G281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[1]MEMÓRIA04!E270</f>
        <v>0</v>
      </c>
      <c r="G282" s="73">
        <f>F282+[1]BM_03!G282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[1]MEMÓRIA04!E271</f>
        <v>0</v>
      </c>
      <c r="G283" s="73">
        <f>F283+[1]BM_03!G283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[1]MEMÓRIA04!E272</f>
        <v>0</v>
      </c>
      <c r="G284" s="73">
        <f>F284+[1]BM_03!G284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[1]MEMÓRIA04!E273</f>
        <v>0</v>
      </c>
      <c r="G285" s="73">
        <f>F285+[1]BM_03!G285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[1]MEMÓRIA04!E274</f>
        <v>0</v>
      </c>
      <c r="G286" s="73">
        <f>F286+[1]BM_03!G286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[1]MEMÓRIA04!E275</f>
        <v>0</v>
      </c>
      <c r="G287" s="73">
        <f>F287+[1]BM_03!G287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[1]MEMÓRIA04!E276</f>
        <v>0</v>
      </c>
      <c r="G288" s="73">
        <f>F288+[1]BM_03!G288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[1]MEMÓRIA04!E277</f>
        <v>0</v>
      </c>
      <c r="G289" s="73">
        <f>F289+[1]BM_03!G289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[1]MEMÓRIA04!E278</f>
        <v>0</v>
      </c>
      <c r="G290" s="73">
        <f>F290+[1]BM_03!G290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[1]MEMÓRIA04!E279</f>
        <v>0</v>
      </c>
      <c r="G291" s="73">
        <f>F291+[1]BM_03!G291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[1]MEMÓRIA04!E281</f>
        <v>0</v>
      </c>
      <c r="G293" s="73">
        <f>F293+[1]BM_03!G293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[1]MEMÓRIA04!E282</f>
        <v>0</v>
      </c>
      <c r="G294" s="73">
        <f>F294+[1]BM_03!G294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[1]MEMÓRIA04!E283</f>
        <v>0</v>
      </c>
      <c r="G295" s="73">
        <f>F295+[1]BM_03!G295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[1]MEMÓRIA04!E284</f>
        <v>0</v>
      </c>
      <c r="G296" s="73">
        <f>F296+[1]BM_03!G296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[1]MEMÓRIA04!E285</f>
        <v>0</v>
      </c>
      <c r="G297" s="73">
        <f>F297+[1]BM_03!G297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[1]MEMÓRIA04!E286</f>
        <v>0</v>
      </c>
      <c r="G298" s="73">
        <f>F298+[1]BM_03!G298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[1]MEMÓRIA04!E288</f>
        <v>0</v>
      </c>
      <c r="G300" s="73">
        <f>F300+[1]BM_03!G300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[1]MEMÓRIA04!E289</f>
        <v>0</v>
      </c>
      <c r="G301" s="73">
        <f>F301+[1]BM_03!G301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[1]MEMÓRIA04!E290</f>
        <v>0</v>
      </c>
      <c r="G302" s="73">
        <f>F302+[1]BM_03!G302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[1]MEMÓRIA04!E291</f>
        <v>0</v>
      </c>
      <c r="G303" s="73">
        <f>F303+[1]BM_03!G303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[1]MEMÓRIA04!E292</f>
        <v>0</v>
      </c>
      <c r="G304" s="73">
        <f>F304+[1]BM_03!G304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[1]MEMÓRIA04!E293</f>
        <v>0</v>
      </c>
      <c r="G305" s="73">
        <f>F305+[1]BM_03!G305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[1]MEMÓRIA04!E294</f>
        <v>0</v>
      </c>
      <c r="G306" s="73">
        <f>F306+[1]BM_03!G306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[1]MEMÓRIA04!E295</f>
        <v>0</v>
      </c>
      <c r="G307" s="73">
        <f>F307+[1]BM_03!G307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[1]MEMÓRIA04!E296</f>
        <v>0</v>
      </c>
      <c r="G308" s="73">
        <f>F308+[1]BM_03!G308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[1]MEMÓRIA04!E297</f>
        <v>0</v>
      </c>
      <c r="G309" s="73">
        <f>F309+[1]BM_03!G309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[1]MEMÓRIA04!E298</f>
        <v>0</v>
      </c>
      <c r="G310" s="73">
        <f>F310+[1]BM_03!G310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[1]MEMÓRIA04!E299</f>
        <v>0</v>
      </c>
      <c r="G311" s="73">
        <f>F311+[1]BM_03!G311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[1]MEMÓRIA04!E300</f>
        <v>0</v>
      </c>
      <c r="G312" s="73">
        <f>F312+[1]BM_03!G312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[1]MEMÓRIA04!E301</f>
        <v>0</v>
      </c>
      <c r="G313" s="73">
        <f>F313+[1]BM_03!G313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[1]MEMÓRIA04!E302</f>
        <v>0</v>
      </c>
      <c r="G314" s="73">
        <f>F314+[1]BM_03!G314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[1]MEMÓRIA04!E303</f>
        <v>0</v>
      </c>
      <c r="G315" s="73">
        <f>F315+[1]BM_03!G315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[1]MEMÓRIA04!E304</f>
        <v>0</v>
      </c>
      <c r="G316" s="73">
        <f>F316+[1]BM_03!G316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[1]MEMÓRIA04!E305</f>
        <v>0</v>
      </c>
      <c r="G317" s="73">
        <f>F317+[1]BM_03!G317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[1]MEMÓRIA04!E306</f>
        <v>0</v>
      </c>
      <c r="G318" s="73">
        <f>F318+[1]BM_03!G318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[1]MEMÓRIA04!E308</f>
        <v>0</v>
      </c>
      <c r="G320" s="73">
        <f>F320+[1]BM_03!G320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[1]MEMÓRIA04!E309</f>
        <v>0</v>
      </c>
      <c r="G321" s="73">
        <f>F321+[1]BM_03!G321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[1]MEMÓRIA04!E310</f>
        <v>0</v>
      </c>
      <c r="G322" s="73">
        <f>F322+[1]BM_03!G322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[1]MEMÓRIA04!E311</f>
        <v>0</v>
      </c>
      <c r="G323" s="73">
        <f>F323+[1]BM_03!G323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[1]MEMÓRIA04!E312</f>
        <v>0</v>
      </c>
      <c r="G324" s="73">
        <f>F324+[1]BM_03!G324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[1]MEMÓRIA04!E313</f>
        <v>0</v>
      </c>
      <c r="G325" s="73">
        <f>F325+[1]BM_03!G325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[1]MEMÓRIA04!E314</f>
        <v>0</v>
      </c>
      <c r="G326" s="73">
        <f>F326+[1]BM_03!G326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[1]MEMÓRIA04!E315</f>
        <v>0</v>
      </c>
      <c r="G327" s="73">
        <f>F327+[1]BM_03!G327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[1]MEMÓRIA04!E316</f>
        <v>0</v>
      </c>
      <c r="G328" s="73">
        <f>F328+[1]BM_03!G328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[1]MEMÓRIA04!E317</f>
        <v>0</v>
      </c>
      <c r="G329" s="73">
        <f>F329+[1]BM_03!G329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[1]MEMÓRIA04!E318</f>
        <v>0</v>
      </c>
      <c r="G330" s="73">
        <f>F330+[1]BM_03!G330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[1]MEMÓRIA04!E319</f>
        <v>0</v>
      </c>
      <c r="G331" s="73">
        <f>F331+[1]BM_03!G331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[1]MEMÓRIA04!E320</f>
        <v>0</v>
      </c>
      <c r="G332" s="73">
        <f>F332+[1]BM_03!G332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[1]MEMÓRIA04!E321</f>
        <v>0</v>
      </c>
      <c r="G333" s="73">
        <f>F333+[1]BM_03!G333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[1]MEMÓRIA04!E322</f>
        <v>0</v>
      </c>
      <c r="G334" s="73">
        <f>F334+[1]BM_03!G334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[1]MEMÓRIA04!E323</f>
        <v>0</v>
      </c>
      <c r="G335" s="73">
        <f>F335+[1]BM_03!G335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[1]MEMÓRIA04!E324</f>
        <v>0</v>
      </c>
      <c r="G336" s="73">
        <f>F336+[1]BM_03!G336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[1]MEMÓRIA04!E325</f>
        <v>0</v>
      </c>
      <c r="G337" s="73">
        <f>F337+[1]BM_03!G337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[1]MEMÓRIA04!E326</f>
        <v>0</v>
      </c>
      <c r="G338" s="73">
        <f>F338+[1]BM_03!G338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[1]MEMÓRIA04!E328</f>
        <v>0</v>
      </c>
      <c r="G340" s="73">
        <f>F340+[1]BM_03!G340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[1]MEMÓRIA04!E329</f>
        <v>0</v>
      </c>
      <c r="G341" s="73">
        <f>F341+[1]BM_03!G341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[1]MEMÓRIA04!E330</f>
        <v>0</v>
      </c>
      <c r="G342" s="73">
        <f>F342+[1]BM_03!G342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[1]MEMÓRIA04!E331</f>
        <v>0</v>
      </c>
      <c r="G343" s="73">
        <f>F343+[1]BM_03!G343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[1]MEMÓRIA04!E332</f>
        <v>0</v>
      </c>
      <c r="G344" s="73">
        <f>F344+[1]BM_03!G344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[1]MEMÓRIA04!E333</f>
        <v>0</v>
      </c>
      <c r="G345" s="73">
        <f>F345+[1]BM_03!G345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[1]MEMÓRIA04!E334</f>
        <v>0</v>
      </c>
      <c r="G346" s="73">
        <f>F346+[1]BM_03!G346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[1]MEMÓRIA04!E335</f>
        <v>0</v>
      </c>
      <c r="G347" s="73">
        <f>F347+[1]BM_03!G347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[1]MEMÓRIA04!E336</f>
        <v>0</v>
      </c>
      <c r="G348" s="73">
        <f>F348+[1]BM_03!G348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[1]MEMÓRIA04!E337</f>
        <v>0</v>
      </c>
      <c r="G349" s="73">
        <f>F349+[1]BM_03!G349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[1]MEMÓRIA04!E338</f>
        <v>0</v>
      </c>
      <c r="G350" s="73">
        <f>F350+[1]BM_03!G350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[1]MEMÓRIA04!E339</f>
        <v>0</v>
      </c>
      <c r="G351" s="73">
        <f>F351+[1]BM_03!G351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[1]MEMÓRIA04!E341</f>
        <v>0</v>
      </c>
      <c r="G353" s="73">
        <f>F353+[1]BM_03!G353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[1]MEMÓRIA04!E342</f>
        <v>0</v>
      </c>
      <c r="G354" s="73">
        <f>F354+[1]BM_03!G354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[1]MEMÓRIA04!E343</f>
        <v>0</v>
      </c>
      <c r="G355" s="73">
        <f>F355+[1]BM_03!G355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[1]MEMÓRIA04!E344</f>
        <v>0</v>
      </c>
      <c r="G356" s="73">
        <f>F356+[1]BM_03!G356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[1]MEMÓRIA04!E345</f>
        <v>0</v>
      </c>
      <c r="G357" s="73">
        <f>F357+[1]BM_03!G357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[1]MEMÓRIA04!E346</f>
        <v>0</v>
      </c>
      <c r="G358" s="73">
        <f>F358+[1]BM_03!G358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[1]MEMÓRIA04!E347</f>
        <v>0</v>
      </c>
      <c r="G359" s="73">
        <f>F359+[1]BM_03!G359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[1]MEMÓRIA04!E348</f>
        <v>0</v>
      </c>
      <c r="G360" s="73">
        <f>F360+[1]BM_03!G360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[1]MEMÓRIA04!E349</f>
        <v>0</v>
      </c>
      <c r="G361" s="73">
        <f>F361+[1]BM_03!G361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[1]MEMÓRIA04!E350</f>
        <v>0</v>
      </c>
      <c r="G362" s="73">
        <f>F362+[1]BM_03!G362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[1]MEMÓRIA04!E351</f>
        <v>60.81</v>
      </c>
      <c r="G363" s="73">
        <f>F363+[1]BM_03!G363</f>
        <v>60.81</v>
      </c>
      <c r="H363" s="55">
        <f t="shared" si="25"/>
        <v>5516.0751000000009</v>
      </c>
      <c r="I363" s="55">
        <f t="shared" si="22"/>
        <v>5516.08</v>
      </c>
      <c r="J363" s="55">
        <f t="shared" si="23"/>
        <v>5516.08</v>
      </c>
      <c r="K363" s="159">
        <f t="shared" si="24"/>
        <v>1.0000008883127787</v>
      </c>
    </row>
    <row r="364" spans="1:12" ht="25.5" x14ac:dyDescent="0.25">
      <c r="A364" s="41" t="s">
        <v>1097</v>
      </c>
      <c r="B364" s="111" t="s">
        <v>1081</v>
      </c>
      <c r="C364" s="112" t="s">
        <v>128</v>
      </c>
      <c r="D364" s="43">
        <v>16.34</v>
      </c>
      <c r="E364" s="43">
        <v>442.42</v>
      </c>
      <c r="F364" s="73">
        <f>[1]MEMÓRIA04!E352</f>
        <v>90.28</v>
      </c>
      <c r="G364" s="73">
        <f>F364+[1]BM_03!G364</f>
        <v>442.41999999999996</v>
      </c>
      <c r="H364" s="55">
        <f t="shared" si="25"/>
        <v>7229.1428000000005</v>
      </c>
      <c r="I364" s="55">
        <f t="shared" si="22"/>
        <v>1475.18</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[1]MEMÓRIA04!E353</f>
        <v>0</v>
      </c>
      <c r="G365" s="73">
        <f>F365+[1]BM_03!G365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[1]MEMÓRIA04!E354</f>
        <v>0</v>
      </c>
      <c r="G366" s="73">
        <f>F366+[1]BM_03!G366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[1]MEMÓRIA04!E355</f>
        <v>5.25</v>
      </c>
      <c r="G367" s="73">
        <f>F367+[1]BM_03!G367</f>
        <v>24.86</v>
      </c>
      <c r="H367" s="55">
        <f t="shared" si="25"/>
        <v>12487.9238</v>
      </c>
      <c r="I367" s="55">
        <f t="shared" si="22"/>
        <v>2637.23</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[1]MEMÓRIA04!E356</f>
        <v>5.25</v>
      </c>
      <c r="G368" s="73">
        <f>F368+[1]BM_03!G368</f>
        <v>24.86</v>
      </c>
      <c r="H368" s="55">
        <f t="shared" si="25"/>
        <v>6071.5577999999996</v>
      </c>
      <c r="I368" s="55">
        <f t="shared" si="22"/>
        <v>1282.21</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[1]MEMÓRIA04!E357</f>
        <v>0</v>
      </c>
      <c r="G369" s="73">
        <f>F369+[1]BM_03!G369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82148.47</v>
      </c>
      <c r="J371" s="57">
        <f>SUM(J17:J369)</f>
        <v>688154.13</v>
      </c>
      <c r="K371" s="128">
        <f>J371/F11</f>
        <v>6.6276089607757022E-2</v>
      </c>
    </row>
    <row r="372" spans="1:11" x14ac:dyDescent="0.25">
      <c r="B372" s="53"/>
      <c r="E372" s="54"/>
    </row>
    <row r="373" spans="1:11" ht="17.25" customHeight="1" x14ac:dyDescent="0.25">
      <c r="A373" s="273" t="s">
        <v>1214</v>
      </c>
      <c r="B373" s="273"/>
      <c r="C373" s="273"/>
      <c r="D373" s="273"/>
      <c r="E373" s="273"/>
      <c r="F373" s="273"/>
      <c r="G373" s="273"/>
      <c r="H373" s="273"/>
      <c r="I373" s="273"/>
      <c r="J373" s="273"/>
      <c r="K373" s="273"/>
    </row>
    <row r="374" spans="1:11" ht="25.5" customHeight="1" x14ac:dyDescent="0.25">
      <c r="A374" s="273"/>
      <c r="B374" s="273"/>
      <c r="C374" s="273"/>
      <c r="D374" s="273"/>
      <c r="E374" s="273"/>
      <c r="F374" s="273"/>
      <c r="G374" s="273"/>
      <c r="H374" s="273"/>
      <c r="I374" s="273"/>
      <c r="J374" s="273"/>
      <c r="K374" s="273"/>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373:K374"/>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C1:K5"/>
    <mergeCell ref="A6:E6"/>
    <mergeCell ref="F6:I6"/>
    <mergeCell ref="A7:E7"/>
    <mergeCell ref="F7:I7"/>
    <mergeCell ref="A8:E8"/>
    <mergeCell ref="F8:I8"/>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F659-8903-422C-87E0-F9958BCB6776}">
  <dimension ref="A1:I577"/>
  <sheetViews>
    <sheetView tabSelected="1" view="pageBreakPreview" topLeftCell="A45" zoomScale="90" zoomScaleNormal="85" zoomScaleSheetLayoutView="90" workbookViewId="0">
      <selection activeCell="D53" sqref="D5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5"/>
      <c r="B1" s="205"/>
      <c r="C1" s="205"/>
      <c r="D1" s="205"/>
      <c r="E1" s="27"/>
      <c r="F1" s="27"/>
      <c r="G1" s="27"/>
      <c r="H1" s="27"/>
      <c r="I1" s="27"/>
    </row>
    <row r="2" spans="1:9" s="28" customFormat="1" ht="18" x14ac:dyDescent="0.25">
      <c r="A2" s="276" t="s">
        <v>1238</v>
      </c>
      <c r="B2" s="277"/>
      <c r="C2" s="277"/>
      <c r="D2" s="277"/>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t="s">
        <v>1239</v>
      </c>
      <c r="E6">
        <v>5</v>
      </c>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t="s">
        <v>1239</v>
      </c>
      <c r="E7">
        <v>3</v>
      </c>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t="s">
        <v>1240</v>
      </c>
      <c r="E8">
        <v>126.68</v>
      </c>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F11">
        <f>0.0528*15</f>
        <v>0.79200000000000004</v>
      </c>
    </row>
    <row r="12" spans="1:9" x14ac:dyDescent="0.25">
      <c r="A12" s="41" t="str">
        <f>[1]Orçamento!A13</f>
        <v xml:space="preserve"> 2.2 </v>
      </c>
      <c r="B12" s="46" t="str">
        <f>[1]Orçamento!D13</f>
        <v>ENGENHEIRO CIVIL DE OBRA JUNIOR (MENSALISTA)</v>
      </c>
      <c r="C12" s="41" t="str">
        <f>[1]Orçamento!E13</f>
        <v>MES</v>
      </c>
      <c r="D12" s="167"/>
    </row>
    <row r="13" spans="1:9" x14ac:dyDescent="0.25">
      <c r="A13" s="41" t="str">
        <f>[1]Orçamento!A14</f>
        <v xml:space="preserve"> 2.3 </v>
      </c>
      <c r="B13" s="46" t="str">
        <f>[1]Orçamento!D14</f>
        <v>MESTRE DE OBRAS (MENSALISTA)</v>
      </c>
      <c r="C13" s="41" t="str">
        <f>[1]Orçamento!E14</f>
        <v>MES</v>
      </c>
      <c r="D13" s="167"/>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5"/>
    </row>
    <row r="22" spans="1:7" ht="25.5" x14ac:dyDescent="0.25">
      <c r="A22" s="41" t="s">
        <v>1112</v>
      </c>
      <c r="B22" s="46" t="s">
        <v>1109</v>
      </c>
      <c r="C22" s="41" t="s">
        <v>103</v>
      </c>
      <c r="D22" s="165"/>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4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t="s">
        <v>1241</v>
      </c>
      <c r="E38">
        <f>74.93+264.08</f>
        <v>339.01</v>
      </c>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row>
    <row r="41" spans="1:8" ht="25.5" x14ac:dyDescent="0.25">
      <c r="A41" s="41" t="str">
        <f>[1]Orçamento!A38</f>
        <v xml:space="preserve"> 5.2 </v>
      </c>
      <c r="B41" s="46" t="str">
        <f>[1]Orçamento!D38</f>
        <v>LANÇAMENTO COM USO DE BOMBA, ADENSAMENTO E ACABAMENTO DE CONCRETO EM ESTRUTURAS. AF_02/2022</v>
      </c>
      <c r="C41" s="41" t="str">
        <f>[1]Orçamento!E38</f>
        <v>m³</v>
      </c>
      <c r="D41" s="167"/>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t="s">
        <v>1242</v>
      </c>
      <c r="E50">
        <v>82.86</v>
      </c>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x14ac:dyDescent="0.25">
      <c r="A62" s="41" t="str">
        <f>[1]Orçamento!A59</f>
        <v xml:space="preserve"> 6.7 </v>
      </c>
      <c r="B62" s="46" t="str">
        <f>[1]Orçamento!D59</f>
        <v>VERGA PRÉ-MOLDADA PARA JANELAS COM MAIS DE 1,5 M DE VÃO. AF_03/2016</v>
      </c>
      <c r="C62" s="41" t="str">
        <f>[1]Orçamento!E59</f>
        <v>M</v>
      </c>
      <c r="D62" s="167"/>
    </row>
    <row r="63" spans="1:7" ht="30" x14ac:dyDescent="0.25">
      <c r="A63" s="41" t="str">
        <f>[1]Orçamento!A60</f>
        <v xml:space="preserve"> 6.8 </v>
      </c>
      <c r="B63" s="46" t="str">
        <f>[1]Orçamento!D60</f>
        <v>CONTRAVERGA PRÉ-MOLDADA PARA VÃOS DE MAIS DE 1,5 M DE COMPRIMENTO. AF_03/2016</v>
      </c>
      <c r="C63" s="41" t="str">
        <f>[1]Orçamento!E60</f>
        <v>M</v>
      </c>
      <c r="D63" s="167" t="s">
        <v>1243</v>
      </c>
      <c r="E63">
        <v>19.96</v>
      </c>
    </row>
    <row r="64" spans="1:7"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5" x14ac:dyDescent="0.25">
      <c r="A81" s="41" t="str">
        <f>[1]Orçamento!A78</f>
        <v xml:space="preserve"> 7.13 </v>
      </c>
      <c r="B81" s="46" t="str">
        <f>[1]Orçamento!D78</f>
        <v>AREIA PARA ATERRO - POSTO JAZIDA/FORNECEDOR (RETIRADO NA JAZIDA, SEM TRANSPORTE)</v>
      </c>
      <c r="C81" s="41" t="str">
        <f>[1]Orçamento!E78</f>
        <v>m³</v>
      </c>
      <c r="D81" s="165"/>
    </row>
    <row r="82" spans="1:5" x14ac:dyDescent="0.25">
      <c r="A82" s="39" t="str">
        <f>[1]Orçamento!A79</f>
        <v xml:space="preserve"> 8 </v>
      </c>
      <c r="B82" s="45" t="str">
        <f>[1]Orçamento!D79</f>
        <v>C0BERTA</v>
      </c>
      <c r="C82" s="39"/>
      <c r="D82" s="166"/>
    </row>
    <row r="83" spans="1:5"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5"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5"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5"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5" x14ac:dyDescent="0.25">
      <c r="A87" s="39" t="str">
        <f>[1]Orçamento!A84</f>
        <v xml:space="preserve"> 9 </v>
      </c>
      <c r="B87" s="45" t="str">
        <f>[1]Orçamento!D84</f>
        <v>IMPERMEABILIZAÇÕES</v>
      </c>
      <c r="C87" s="39"/>
      <c r="D87" s="166"/>
    </row>
    <row r="88" spans="1:5"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5"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5" x14ac:dyDescent="0.25">
      <c r="A90" s="41" t="str">
        <f>[1]Orçamento!A87</f>
        <v xml:space="preserve"> 9.3 </v>
      </c>
      <c r="B90" s="46" t="str">
        <f>[1]Orçamento!D87</f>
        <v>IMPERMEABILIZAÇÃO DE SUPERFÍCIE COM EMULSÃO ASFÁLTICA, 2 DEMÃOS AF_06/2018</v>
      </c>
      <c r="C90" s="41" t="str">
        <f>[1]Orçamento!E87</f>
        <v>m²</v>
      </c>
      <c r="D90" s="165"/>
    </row>
    <row r="91" spans="1:5"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5" x14ac:dyDescent="0.25">
      <c r="A92" s="39" t="str">
        <f>[1]Orçamento!A89</f>
        <v xml:space="preserve"> 10 </v>
      </c>
      <c r="B92" s="45" t="str">
        <f>[1]Orçamento!D89</f>
        <v>REVESTIMENTOS INTERNOS</v>
      </c>
      <c r="C92" s="39"/>
      <c r="D92" s="166"/>
    </row>
    <row r="93" spans="1:5" ht="30"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1244</v>
      </c>
      <c r="E93">
        <f>311.46+361.56*2</f>
        <v>1034.58</v>
      </c>
    </row>
    <row r="94" spans="1:5"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5" t="s">
        <v>1245</v>
      </c>
      <c r="E94">
        <v>311.45999999999998</v>
      </c>
    </row>
    <row r="95" spans="1:5"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5"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5"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5" x14ac:dyDescent="0.25">
      <c r="A178" s="39" t="str">
        <f>[1]Orçamento!A175</f>
        <v xml:space="preserve"> 17 </v>
      </c>
      <c r="B178" s="45" t="str">
        <f>[1]Orçamento!D175</f>
        <v>INSTALAÇÕES SANITÁRIAS</v>
      </c>
      <c r="C178" s="39"/>
      <c r="D178" s="166"/>
    </row>
    <row r="179" spans="1:5"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t="s">
        <v>1246</v>
      </c>
      <c r="E179">
        <f>4.05+6.25+4.33+3.48</f>
        <v>18.11</v>
      </c>
    </row>
    <row r="180" spans="1:5"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5"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5"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5" ht="30"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t="s">
        <v>1247</v>
      </c>
      <c r="E183">
        <v>17</v>
      </c>
    </row>
    <row r="184" spans="1:5" ht="25.5" x14ac:dyDescent="0.25">
      <c r="A184" s="41" t="str">
        <f>[1]Orçamento!A181</f>
        <v xml:space="preserve"> 17.6 </v>
      </c>
      <c r="B184" s="46" t="str">
        <f>[1]Orçamento!D181</f>
        <v>PROLONGAMENTO / PROLONGADOR PARA CAIXA SIFONADA, PVC, 150 MM X 150 MM (NBR 5688)</v>
      </c>
      <c r="C184" s="41" t="str">
        <f>[1]Orçamento!E181</f>
        <v>UN</v>
      </c>
      <c r="D184" s="165"/>
    </row>
    <row r="185" spans="1:5"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5" x14ac:dyDescent="0.25">
      <c r="A186" s="41" t="str">
        <f>[1]Orçamento!A183</f>
        <v xml:space="preserve"> 17.8 </v>
      </c>
      <c r="B186" s="46" t="str">
        <f>[1]Orçamento!D183</f>
        <v>GRELHA FIXA, EM PVC BRANCA, QUADRADA, 150 X 150 MM, PARA RALOS E CAIXAS</v>
      </c>
      <c r="C186" s="41" t="str">
        <f>[1]Orçamento!E183</f>
        <v>UN</v>
      </c>
      <c r="D186" s="165"/>
    </row>
    <row r="187" spans="1:5"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5" x14ac:dyDescent="0.25">
      <c r="A188" s="39" t="str">
        <f>[1]Orçamento!A185</f>
        <v xml:space="preserve"> 18 </v>
      </c>
      <c r="B188" s="45" t="str">
        <f>[1]Orçamento!D185</f>
        <v>INSTALAÇÕES PLUVIAIS</v>
      </c>
      <c r="C188" s="39"/>
      <c r="D188" s="166"/>
    </row>
    <row r="189" spans="1:5"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5"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5" ht="30"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t="s">
        <v>1248</v>
      </c>
      <c r="E191">
        <v>3</v>
      </c>
    </row>
    <row r="192" spans="1:5"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5" x14ac:dyDescent="0.25">
      <c r="A337" s="41" t="str">
        <f>[1]Orçamento!A334</f>
        <v xml:space="preserve"> 25.10 </v>
      </c>
      <c r="B337" s="46" t="str">
        <f>[1]Orçamento!D334</f>
        <v>Limpeza geral</v>
      </c>
      <c r="C337" s="41" t="str">
        <f>[1]Orçamento!E334</f>
        <v>m²</v>
      </c>
      <c r="D337" s="165"/>
    </row>
    <row r="338" spans="1:5" x14ac:dyDescent="0.25">
      <c r="A338" s="41" t="str">
        <f>[1]Orçamento!A335</f>
        <v xml:space="preserve"> 25.11 </v>
      </c>
      <c r="B338" s="46" t="str">
        <f>[1]Orçamento!D335</f>
        <v>Escada marinheiro em barra chata de ferro 2" x 5/16"</v>
      </c>
      <c r="C338" s="41" t="str">
        <f>[1]Orçamento!E335</f>
        <v>m</v>
      </c>
      <c r="D338" s="165"/>
    </row>
    <row r="339" spans="1:5"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5" x14ac:dyDescent="0.25">
      <c r="A340" s="39">
        <v>26</v>
      </c>
      <c r="B340" s="45" t="s">
        <v>1047</v>
      </c>
      <c r="C340" s="39"/>
      <c r="D340" s="166"/>
    </row>
    <row r="341" spans="1:5" ht="25.5" x14ac:dyDescent="0.25">
      <c r="A341" s="41" t="s">
        <v>1086</v>
      </c>
      <c r="B341" s="111" t="s">
        <v>1073</v>
      </c>
      <c r="C341" s="112" t="s">
        <v>1053</v>
      </c>
      <c r="D341" s="165"/>
    </row>
    <row r="342" spans="1:5" ht="38.25" x14ac:dyDescent="0.25">
      <c r="A342" s="41" t="s">
        <v>1087</v>
      </c>
      <c r="B342" s="111" t="s">
        <v>1074</v>
      </c>
      <c r="C342" s="112" t="s">
        <v>1053</v>
      </c>
      <c r="D342" s="165"/>
    </row>
    <row r="343" spans="1:5" x14ac:dyDescent="0.25">
      <c r="A343" s="41" t="s">
        <v>1088</v>
      </c>
      <c r="B343" s="113" t="s">
        <v>106</v>
      </c>
      <c r="C343" s="114" t="s">
        <v>1053</v>
      </c>
      <c r="D343" s="165"/>
    </row>
    <row r="344" spans="1:5" ht="25.5" x14ac:dyDescent="0.25">
      <c r="A344" s="41" t="s">
        <v>1089</v>
      </c>
      <c r="B344" s="111" t="s">
        <v>1075</v>
      </c>
      <c r="C344" s="112" t="s">
        <v>1054</v>
      </c>
      <c r="D344" s="165"/>
    </row>
    <row r="345" spans="1:5" ht="25.5" x14ac:dyDescent="0.25">
      <c r="A345" s="41" t="s">
        <v>1090</v>
      </c>
      <c r="B345" s="111" t="s">
        <v>1076</v>
      </c>
      <c r="C345" s="112" t="s">
        <v>1054</v>
      </c>
      <c r="D345" s="165"/>
    </row>
    <row r="346" spans="1:5" ht="25.5" x14ac:dyDescent="0.25">
      <c r="A346" s="41" t="s">
        <v>1091</v>
      </c>
      <c r="B346" s="111" t="s">
        <v>1103</v>
      </c>
      <c r="C346" s="112" t="s">
        <v>1054</v>
      </c>
      <c r="D346" s="165"/>
    </row>
    <row r="347" spans="1:5" ht="39" x14ac:dyDescent="0.25">
      <c r="A347" s="41" t="s">
        <v>1092</v>
      </c>
      <c r="B347" s="115" t="s">
        <v>202</v>
      </c>
      <c r="C347" s="114" t="s">
        <v>1054</v>
      </c>
      <c r="D347" s="165"/>
    </row>
    <row r="348" spans="1:5" ht="25.5" x14ac:dyDescent="0.25">
      <c r="A348" s="41" t="s">
        <v>1093</v>
      </c>
      <c r="B348" s="111" t="s">
        <v>1077</v>
      </c>
      <c r="C348" s="112" t="s">
        <v>1054</v>
      </c>
      <c r="D348" s="165"/>
    </row>
    <row r="349" spans="1:5" ht="25.5" x14ac:dyDescent="0.25">
      <c r="A349" s="41" t="s">
        <v>1094</v>
      </c>
      <c r="B349" s="111" t="s">
        <v>1078</v>
      </c>
      <c r="C349" s="112" t="s">
        <v>1054</v>
      </c>
      <c r="D349" s="165"/>
    </row>
    <row r="350" spans="1:5" ht="38.25" x14ac:dyDescent="0.25">
      <c r="A350" s="41" t="s">
        <v>1095</v>
      </c>
      <c r="B350" s="111" t="s">
        <v>1079</v>
      </c>
      <c r="C350" s="112" t="s">
        <v>1054</v>
      </c>
      <c r="D350" s="165"/>
    </row>
    <row r="351" spans="1:5" ht="25.5" x14ac:dyDescent="0.25">
      <c r="A351" s="41" t="s">
        <v>1096</v>
      </c>
      <c r="B351" s="111" t="s">
        <v>1080</v>
      </c>
      <c r="C351" s="112" t="s">
        <v>1054</v>
      </c>
      <c r="D351" s="165" t="s">
        <v>1249</v>
      </c>
      <c r="E351">
        <v>60.81</v>
      </c>
    </row>
    <row r="352" spans="1:5" ht="25.5" x14ac:dyDescent="0.25">
      <c r="A352" s="41" t="s">
        <v>1097</v>
      </c>
      <c r="B352" s="111" t="s">
        <v>1081</v>
      </c>
      <c r="C352" s="112" t="s">
        <v>128</v>
      </c>
      <c r="D352" s="165" t="s">
        <v>1250</v>
      </c>
      <c r="E352">
        <v>90.28</v>
      </c>
    </row>
    <row r="353" spans="1:5" ht="25.5" x14ac:dyDescent="0.25">
      <c r="A353" s="41" t="s">
        <v>1098</v>
      </c>
      <c r="B353" s="111" t="s">
        <v>1082</v>
      </c>
      <c r="C353" s="112" t="s">
        <v>128</v>
      </c>
      <c r="D353" s="165"/>
    </row>
    <row r="354" spans="1:5" ht="25.5" x14ac:dyDescent="0.25">
      <c r="A354" s="41" t="s">
        <v>1099</v>
      </c>
      <c r="B354" s="111" t="s">
        <v>1083</v>
      </c>
      <c r="C354" s="112" t="s">
        <v>128</v>
      </c>
      <c r="D354" s="165"/>
    </row>
    <row r="355" spans="1:5" ht="25.5" x14ac:dyDescent="0.25">
      <c r="A355" s="41" t="s">
        <v>1100</v>
      </c>
      <c r="B355" s="116" t="s">
        <v>1084</v>
      </c>
      <c r="C355" s="112" t="s">
        <v>1053</v>
      </c>
      <c r="D355" s="165" t="s">
        <v>1251</v>
      </c>
      <c r="E355">
        <v>5.25</v>
      </c>
    </row>
    <row r="356" spans="1:5" ht="25.5" x14ac:dyDescent="0.25">
      <c r="A356" s="41" t="s">
        <v>1101</v>
      </c>
      <c r="B356" s="116" t="s">
        <v>1085</v>
      </c>
      <c r="C356" s="112" t="s">
        <v>1053</v>
      </c>
      <c r="D356" s="165" t="str">
        <f>D355</f>
        <v>Vigas superiores - (pelo projeto) = 5,25 m³</v>
      </c>
      <c r="E356">
        <f>E355</f>
        <v>5.25</v>
      </c>
    </row>
    <row r="357" spans="1:5" x14ac:dyDescent="0.25">
      <c r="A357" s="41" t="s">
        <v>1102</v>
      </c>
      <c r="B357" s="117" t="s">
        <v>1104</v>
      </c>
      <c r="C357" s="112" t="s">
        <v>1054</v>
      </c>
      <c r="D357" s="165"/>
    </row>
    <row r="358" spans="1:5" x14ac:dyDescent="0.25">
      <c r="A358" s="41"/>
      <c r="B358" s="46"/>
      <c r="C358" s="41"/>
      <c r="D358" s="165"/>
    </row>
    <row r="359" spans="1:5" x14ac:dyDescent="0.25">
      <c r="A359" s="50"/>
      <c r="B359" s="51"/>
      <c r="C359" s="50"/>
      <c r="D359" s="168"/>
    </row>
    <row r="360" spans="1:5" x14ac:dyDescent="0.25">
      <c r="B360" s="53"/>
    </row>
    <row r="361" spans="1:5" x14ac:dyDescent="0.25">
      <c r="B361" s="53"/>
    </row>
    <row r="362" spans="1:5" ht="25.5" customHeight="1" x14ac:dyDescent="0.25">
      <c r="B362" s="204"/>
      <c r="C362" s="204"/>
      <c r="D362" s="204"/>
    </row>
    <row r="363" spans="1:5" x14ac:dyDescent="0.25">
      <c r="B363" s="53"/>
    </row>
    <row r="364" spans="1:5" x14ac:dyDescent="0.25">
      <c r="B364" s="53"/>
    </row>
    <row r="365" spans="1:5" x14ac:dyDescent="0.25">
      <c r="B365" s="53"/>
    </row>
    <row r="366" spans="1:5" x14ac:dyDescent="0.25">
      <c r="B366" s="53"/>
    </row>
    <row r="367" spans="1:5" x14ac:dyDescent="0.25">
      <c r="B367" s="53"/>
    </row>
    <row r="368" spans="1:5"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10</vt:i4>
      </vt:variant>
      <vt:variant>
        <vt:lpstr>Intervalos Nomeados</vt:lpstr>
      </vt:variant>
      <vt:variant>
        <vt:i4>4</vt:i4>
      </vt:variant>
    </vt:vector>
  </HeadingPairs>
  <TitlesOfParts>
    <vt:vector size="14" baseType="lpstr">
      <vt:lpstr>Orçamento</vt:lpstr>
      <vt:lpstr>BM_01</vt:lpstr>
      <vt:lpstr>Memorial</vt:lpstr>
      <vt:lpstr>BM_02.</vt:lpstr>
      <vt:lpstr>MEM</vt:lpstr>
      <vt:lpstr>BM_03</vt:lpstr>
      <vt:lpstr>MEMÓRIA03</vt:lpstr>
      <vt:lpstr>BM_04</vt:lpstr>
      <vt:lpstr>MEMÓRIA04</vt:lpstr>
      <vt:lpstr>Plan1</vt:lpstr>
      <vt:lpstr>BM_03!Area_de_impressao</vt:lpstr>
      <vt:lpstr>BM_04!Area_de_impressao</vt:lpstr>
      <vt:lpstr>MEMÓRIA03!Area_de_impressao</vt:lpstr>
      <vt:lpstr>MEMÓRIA04!Area_de_impressao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Mariana Martins</dc:creator>
  <cp:lastModifiedBy>User12549</cp:lastModifiedBy>
  <cp:lastPrinted>2023-08-07T19:29:48Z</cp:lastPrinted>
  <dcterms:created xsi:type="dcterms:W3CDTF">2023-01-30T00:14:23Z</dcterms:created>
  <dcterms:modified xsi:type="dcterms:W3CDTF">2025-02-19T13:10:12Z</dcterms:modified>
</cp:coreProperties>
</file>