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DD93A448-59A7-45D6-A5EA-FBC618838767}" xr6:coauthVersionLast="47" xr6:coauthVersionMax="47" xr10:uidLastSave="{00000000-0000-0000-0000-000000000000}"/>
  <bookViews>
    <workbookView xWindow="-120" yWindow="-120" windowWidth="20730" windowHeight="11160" activeTab="3" xr2:uid="{F42EE3EC-84CC-48A3-8C9A-B181B5693E6C}"/>
  </bookViews>
  <sheets>
    <sheet name="BM.01" sheetId="2" r:id="rId1"/>
    <sheet name="Memória 01" sheetId="3" r:id="rId2"/>
    <sheet name="BM.02" sheetId="4" r:id="rId3"/>
    <sheet name="Memória 02" sheetId="5" r:id="rId4"/>
    <sheet name="Planilha1" sheetId="1" r:id="rId5"/>
  </sheets>
  <externalReferences>
    <externalReference r:id="rId6"/>
  </externalReferences>
  <definedNames>
    <definedName name="_xlnm.Print_Area" localSheetId="0">BM.01!$A$1:$J$34</definedName>
    <definedName name="_xlnm.Print_Area" localSheetId="2">BM.02!$A$1:$J$35</definedName>
    <definedName name="_xlnm.Print_Area" localSheetId="1">'Memória 01'!$A$1:$D$20</definedName>
    <definedName name="_xlnm.Print_Area" localSheetId="3">'Memória 02'!$A$1:$D$21</definedName>
    <definedName name="_xlnm.Print_Titles" localSheetId="0">BM.01!$10:$13</definedName>
    <definedName name="_xlnm.Print_Titles" localSheetId="2">BM.02!$10:$13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5" l="1"/>
  <c r="H7" i="5"/>
  <c r="F7" i="5"/>
  <c r="E7" i="5"/>
  <c r="E8" i="5" s="1"/>
  <c r="E18" i="5" s="1"/>
  <c r="E10" i="5" s="1"/>
  <c r="H6" i="5"/>
  <c r="E6" i="5"/>
  <c r="E19" i="5" s="1"/>
  <c r="E11" i="5" s="1"/>
  <c r="I30" i="4"/>
  <c r="H30" i="4"/>
  <c r="H29" i="4" s="1"/>
  <c r="F30" i="4"/>
  <c r="G30" i="4" s="1"/>
  <c r="J30" i="4" s="1"/>
  <c r="J29" i="4" s="1"/>
  <c r="I29" i="4"/>
  <c r="H28" i="4"/>
  <c r="F28" i="4"/>
  <c r="G28" i="4" s="1"/>
  <c r="D28" i="4"/>
  <c r="J28" i="4" s="1"/>
  <c r="H27" i="4"/>
  <c r="F27" i="4"/>
  <c r="I27" i="4" s="1"/>
  <c r="I26" i="4"/>
  <c r="H26" i="4"/>
  <c r="G26" i="4"/>
  <c r="J26" i="4" s="1"/>
  <c r="F26" i="4"/>
  <c r="H25" i="4"/>
  <c r="I24" i="4"/>
  <c r="H24" i="4"/>
  <c r="G24" i="4"/>
  <c r="J24" i="4" s="1"/>
  <c r="J23" i="4" s="1"/>
  <c r="F24" i="4"/>
  <c r="I23" i="4"/>
  <c r="H23" i="4"/>
  <c r="I22" i="4"/>
  <c r="H22" i="4"/>
  <c r="G22" i="4"/>
  <c r="J22" i="4" s="1"/>
  <c r="J21" i="4" s="1"/>
  <c r="F22" i="4"/>
  <c r="I21" i="4"/>
  <c r="H21" i="4"/>
  <c r="I20" i="4"/>
  <c r="H20" i="4"/>
  <c r="G20" i="4"/>
  <c r="J20" i="4" s="1"/>
  <c r="F20" i="4"/>
  <c r="I19" i="4"/>
  <c r="H19" i="4"/>
  <c r="F19" i="4"/>
  <c r="G19" i="4" s="1"/>
  <c r="J19" i="4" s="1"/>
  <c r="I18" i="4"/>
  <c r="H18" i="4"/>
  <c r="F18" i="4"/>
  <c r="G18" i="4" s="1"/>
  <c r="J18" i="4" s="1"/>
  <c r="H17" i="4"/>
  <c r="F17" i="4"/>
  <c r="I17" i="4" s="1"/>
  <c r="I14" i="4" s="1"/>
  <c r="I16" i="4"/>
  <c r="H16" i="4"/>
  <c r="G16" i="4"/>
  <c r="J16" i="4" s="1"/>
  <c r="F16" i="4"/>
  <c r="I15" i="4"/>
  <c r="H15" i="4"/>
  <c r="H14" i="4" s="1"/>
  <c r="H31" i="4" s="1"/>
  <c r="F15" i="4"/>
  <c r="G15" i="4" s="1"/>
  <c r="J15" i="4" s="1"/>
  <c r="F18" i="3"/>
  <c r="E17" i="3"/>
  <c r="E11" i="3" s="1"/>
  <c r="E8" i="3"/>
  <c r="E18" i="3" s="1"/>
  <c r="E10" i="3" s="1"/>
  <c r="H7" i="3"/>
  <c r="H6" i="3"/>
  <c r="H29" i="2"/>
  <c r="H28" i="2" s="1"/>
  <c r="F29" i="2"/>
  <c r="I29" i="2" s="1"/>
  <c r="I28" i="2" s="1"/>
  <c r="H27" i="2"/>
  <c r="F27" i="2"/>
  <c r="I27" i="2" s="1"/>
  <c r="H26" i="2"/>
  <c r="H25" i="2" s="1"/>
  <c r="F26" i="2"/>
  <c r="G26" i="2" s="1"/>
  <c r="J26" i="2" s="1"/>
  <c r="I24" i="2"/>
  <c r="I23" i="2" s="1"/>
  <c r="H24" i="2"/>
  <c r="H23" i="2" s="1"/>
  <c r="F24" i="2"/>
  <c r="G24" i="2" s="1"/>
  <c r="J24" i="2" s="1"/>
  <c r="J23" i="2" s="1"/>
  <c r="I22" i="2"/>
  <c r="I21" i="2" s="1"/>
  <c r="H22" i="2"/>
  <c r="H21" i="2" s="1"/>
  <c r="F22" i="2"/>
  <c r="G22" i="2" s="1"/>
  <c r="J22" i="2" s="1"/>
  <c r="J21" i="2" s="1"/>
  <c r="H20" i="2"/>
  <c r="F20" i="2"/>
  <c r="G20" i="2" s="1"/>
  <c r="J20" i="2" s="1"/>
  <c r="H19" i="2"/>
  <c r="F19" i="2"/>
  <c r="I19" i="2" s="1"/>
  <c r="I18" i="2"/>
  <c r="H18" i="2"/>
  <c r="F18" i="2"/>
  <c r="G18" i="2" s="1"/>
  <c r="J18" i="2" s="1"/>
  <c r="H17" i="2"/>
  <c r="F17" i="2"/>
  <c r="G17" i="2" s="1"/>
  <c r="J17" i="2" s="1"/>
  <c r="H16" i="2"/>
  <c r="F16" i="2"/>
  <c r="I16" i="2" s="1"/>
  <c r="H15" i="2"/>
  <c r="H14" i="2" s="1"/>
  <c r="H30" i="2" s="1"/>
  <c r="F15" i="2"/>
  <c r="I15" i="2" s="1"/>
  <c r="J14" i="4" l="1"/>
  <c r="I25" i="4"/>
  <c r="I31" i="4" s="1"/>
  <c r="G17" i="4"/>
  <c r="J17" i="4" s="1"/>
  <c r="G27" i="4"/>
  <c r="J27" i="4" s="1"/>
  <c r="J25" i="4" s="1"/>
  <c r="I28" i="4"/>
  <c r="G16" i="2"/>
  <c r="J16" i="2" s="1"/>
  <c r="G27" i="2"/>
  <c r="J27" i="2" s="1"/>
  <c r="I20" i="2"/>
  <c r="J25" i="2"/>
  <c r="G29" i="2"/>
  <c r="J29" i="2" s="1"/>
  <c r="J28" i="2" s="1"/>
  <c r="I26" i="2"/>
  <c r="I25" i="2" s="1"/>
  <c r="F19" i="3"/>
  <c r="F20" i="3" s="1"/>
  <c r="G15" i="2"/>
  <c r="J15" i="2" s="1"/>
  <c r="I17" i="2"/>
  <c r="G19" i="2"/>
  <c r="J19" i="2" s="1"/>
  <c r="D33" i="4" l="1"/>
  <c r="G8" i="4"/>
  <c r="J31" i="4"/>
  <c r="K31" i="4" s="1"/>
  <c r="I14" i="2"/>
  <c r="I30" i="2" s="1"/>
  <c r="D32" i="2"/>
  <c r="G8" i="2"/>
  <c r="J14" i="2"/>
  <c r="J30" i="2" s="1"/>
  <c r="K30" i="2" s="1"/>
</calcChain>
</file>

<file path=xl/sharedStrings.xml><?xml version="1.0" encoding="utf-8"?>
<sst xmlns="http://schemas.openxmlformats.org/spreadsheetml/2006/main" count="301" uniqueCount="102">
  <si>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</si>
  <si>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</si>
  <si>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</si>
  <si>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</si>
  <si>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</si>
  <si>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</si>
  <si>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</si>
  <si>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</si>
  <si>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</si>
  <si>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12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</si>
  <si>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</si>
  <si>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</si>
  <si>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</si>
  <si>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</si>
  <si>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</si>
  <si>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</si>
  <si>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</si>
  <si>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FDE - 040/2024</t>
  </si>
  <si>
    <t>412/2024</t>
  </si>
  <si>
    <t>Empreendimento</t>
  </si>
  <si>
    <t>Contratada</t>
  </si>
  <si>
    <t>Valor da Contrato (R$)</t>
  </si>
  <si>
    <t>Valor da medição (R$)</t>
  </si>
  <si>
    <t>Período da medição</t>
  </si>
  <si>
    <t>Execução de pavimentação asfáltica em diversas ruas do município de Sousa</t>
  </si>
  <si>
    <t>IMMI SERVICOS E CONSTRUCOES LTDA</t>
  </si>
  <si>
    <t>29/07/2024 a 09/10/2024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</si>
  <si>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</si>
  <si>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</si>
  <si>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</si>
  <si>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</si>
  <si>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</si>
  <si>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</si>
  <si>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</si>
  <si>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</si>
  <si>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</si>
  <si>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</si>
  <si>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</si>
  <si>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</si>
  <si>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</si>
  <si>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</si>
  <si>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</si>
  <si>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Período</t>
  </si>
  <si>
    <t>1.0</t>
  </si>
  <si>
    <t>PAVIMENTAÇÃO</t>
  </si>
  <si>
    <t>1.1.1</t>
  </si>
  <si>
    <t>IMPRIMACAO EXCLUSIVE LIGANTE</t>
  </si>
  <si>
    <t>m²</t>
  </si>
  <si>
    <t>1.1.2</t>
  </si>
  <si>
    <t>PINTURA DE LIGACAO EXCLUSIVE LIGANTE</t>
  </si>
  <si>
    <t>1.1.3</t>
  </si>
  <si>
    <t>CBUQ COM BRITA COMERCIAL EXCL LIGANTE</t>
  </si>
  <si>
    <t>t</t>
  </si>
  <si>
    <t>1.1.4</t>
  </si>
  <si>
    <t>BINDER EXCL LIGANTE</t>
  </si>
  <si>
    <t>1.1.5</t>
  </si>
  <si>
    <t>TRANSPORTE DE MATERIAIS ASFALTICO A QUENTE</t>
  </si>
  <si>
    <t>t.km</t>
  </si>
  <si>
    <t>1.1.6</t>
  </si>
  <si>
    <t>TRANSPORTE DE MATERIAIS ASFALTICO A FRIO</t>
  </si>
  <si>
    <t>1.2</t>
  </si>
  <si>
    <t>DRENAGEM</t>
  </si>
  <si>
    <t>1.2.1</t>
  </si>
  <si>
    <t>MEIO FIO DE CONCRETO TIPO MFC-05</t>
  </si>
  <si>
    <t>m</t>
  </si>
  <si>
    <t>1.3</t>
  </si>
  <si>
    <t>SINALIZAÇÃO E SEGURANÇA</t>
  </si>
  <si>
    <t>1.3.1</t>
  </si>
  <si>
    <t>SINALIZACAO HORIZONTAL COM TINTA 2 ANOS DURACAO</t>
  </si>
  <si>
    <t>1.4</t>
  </si>
  <si>
    <t>LIGANTES BETUMINOSOS (BASE FORTALEZA)</t>
  </si>
  <si>
    <t>1.4.1</t>
  </si>
  <si>
    <t>EMULSAO ASFALTICA RR-2C EXCLUSIVE TRANSPORTE</t>
  </si>
  <si>
    <t>1.4.2</t>
  </si>
  <si>
    <t xml:space="preserve">CIMENTO ASFALTICO CAP 50/70 EXCLUSIVE TRANSPORTE </t>
  </si>
  <si>
    <t>1.5</t>
  </si>
  <si>
    <t>PLACA DA OBRA</t>
  </si>
  <si>
    <t>1.5.1</t>
  </si>
  <si>
    <t>PLACA INDICATIVA DE OBRA</t>
  </si>
  <si>
    <t>,</t>
  </si>
  <si>
    <t xml:space="preserve">IMPORTA O PRESENTE BOLETIM DE MEDIÇÃO O VALOR DE </t>
  </si>
  <si>
    <t>MEMORIA DE CALCULO - BM 01</t>
  </si>
  <si>
    <t>DISCRIMINAÇÃO</t>
  </si>
  <si>
    <t xml:space="preserve">UN </t>
  </si>
  <si>
    <t>QUANT.</t>
  </si>
  <si>
    <t>Rua do arame: 737,2 m x (7,4+8,5+7,7+7,7+8,1+8,55+8,3+8,3+7,95+7,8+8,0+7,4+6,45+6,45)/14 = 5.718,57 m²</t>
  </si>
  <si>
    <t>(Área total x 0,04 m de altura) x densidade de 2,40 t/ m³, MAIS quebramola de 0,06 m de área de face *
(7,40+7,7+7,7+8,55+8,3+7,95+8,0) m de comprimento = 3,33 m³ * 2,40 t/m³ = 7,99 t</t>
  </si>
  <si>
    <t xml:space="preserve">Total de CAP 50/70 x distância de 465 km </t>
  </si>
  <si>
    <t>Total de RR-2C x distancia de 465 km</t>
  </si>
  <si>
    <t xml:space="preserve">Área total de pintura de ligação x teor de ligante de 0,05% = </t>
  </si>
  <si>
    <t>Volume total de CBUQ em toneladas x 5,2% de taxa de aplicação =</t>
  </si>
  <si>
    <t>M²</t>
  </si>
  <si>
    <t>BOLETIM DE MEDIÇÃO  - APÓS REPROGRAMAÇÃO</t>
  </si>
  <si>
    <t>02</t>
  </si>
  <si>
    <t>10/10/2024 a 27/11/2024</t>
  </si>
  <si>
    <t>1.4.3</t>
  </si>
  <si>
    <t>ASFALTO DILUIDO CM-30 EXCLUSIVE TRANSPORTE</t>
  </si>
  <si>
    <t>MEMORIA DE CALCULO - BM 02 (APÓS REPROGRAMAÇÃO)</t>
  </si>
  <si>
    <r>
      <t xml:space="preserve">Bairro Andre Gadelha: Rua Aloisio Cartaxo: 68,70 m x (5,5+5,7+5,8)/3 = </t>
    </r>
    <r>
      <rPr>
        <b/>
        <sz val="11"/>
        <color theme="1"/>
        <rFont val="Aptos Narrow"/>
        <family val="2"/>
        <scheme val="minor"/>
      </rPr>
      <t>389,30 m²</t>
    </r>
    <r>
      <rPr>
        <sz val="11"/>
        <color theme="1"/>
        <rFont val="Aptos Narrow"/>
        <family val="2"/>
        <scheme val="minor"/>
      </rPr>
      <t xml:space="preserve">; Rua Severino Cardoso de Araújo: 63,90 m x (6,8+7,0)/2 + trapézio de (6,8+17)*10,7/2= </t>
    </r>
    <r>
      <rPr>
        <b/>
        <sz val="11"/>
        <color theme="1"/>
        <rFont val="Aptos Narrow"/>
        <family val="2"/>
        <scheme val="minor"/>
      </rPr>
      <t>568,24 m²</t>
    </r>
    <r>
      <rPr>
        <sz val="11"/>
        <color theme="1"/>
        <rFont val="Aptos Narrow"/>
        <family val="2"/>
        <scheme val="minor"/>
      </rPr>
      <t xml:space="preserve">; Rua Mestre Deocleciano Resende: 315,60 m x (7,0+ 5,9+ 6,0+ 5,7+ 5,6+ 5,4+ 6,2+ 6,8)/8 = </t>
    </r>
    <r>
      <rPr>
        <b/>
        <sz val="11"/>
        <color theme="1"/>
        <rFont val="Aptos Narrow"/>
        <family val="2"/>
        <scheme val="minor"/>
      </rPr>
      <t>1.917,27 m²</t>
    </r>
    <r>
      <rPr>
        <sz val="11"/>
        <color theme="1"/>
        <rFont val="Aptos Narrow"/>
        <family val="2"/>
        <scheme val="minor"/>
      </rPr>
      <t xml:space="preserve">; Bairro Alto do Cruzeiro: Rua Raimundo Nonato Marques: 71,40 m x (5,4+ 5,95+ 8,4)/3 = </t>
    </r>
    <r>
      <rPr>
        <b/>
        <sz val="11"/>
        <color theme="1"/>
        <rFont val="Aptos Narrow"/>
        <family val="2"/>
        <scheme val="minor"/>
      </rPr>
      <t>470,05 m²</t>
    </r>
    <r>
      <rPr>
        <sz val="11"/>
        <color theme="1"/>
        <rFont val="Aptos Narrow"/>
        <family val="2"/>
        <scheme val="minor"/>
      </rPr>
      <t xml:space="preserve">; Rua Inácio Ribeiro de Melo: 111,50 m x (4,6+5,75+5,1+5,1)/4 = </t>
    </r>
    <r>
      <rPr>
        <b/>
        <sz val="11"/>
        <color theme="1"/>
        <rFont val="Aptos Narrow"/>
        <family val="2"/>
        <scheme val="minor"/>
      </rPr>
      <t>572,83 m²</t>
    </r>
    <r>
      <rPr>
        <sz val="11"/>
        <color theme="1"/>
        <rFont val="Aptos Narrow"/>
        <family val="2"/>
        <scheme val="minor"/>
      </rPr>
      <t xml:space="preserve">; Rua Jose Francisco Nascimento: 286,00 m x (11,7+ 7,5+ 6,1+ 5,4+ 4,75+ 6,8+ 6,8)/7 = </t>
    </r>
    <r>
      <rPr>
        <b/>
        <sz val="11"/>
        <color theme="1"/>
        <rFont val="Aptos Narrow"/>
        <family val="2"/>
        <scheme val="minor"/>
      </rPr>
      <t>2.004,04 m²</t>
    </r>
    <r>
      <rPr>
        <sz val="11"/>
        <color theme="1"/>
        <rFont val="Aptos Narrow"/>
        <family val="2"/>
        <scheme val="minor"/>
      </rPr>
      <t>.</t>
    </r>
  </si>
  <si>
    <t>(Área total x 0,04 m de altura) x densidade de 2,40 t/ m³</t>
  </si>
  <si>
    <t>Total de RR-2C E CM-30 x distancia de 465 km</t>
  </si>
  <si>
    <t xml:space="preserve">Área total de imprimação x teor de ligante de 0,12%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</si>
</sst>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/>
    </xf>
    <xf numFmtId="10" fontId="4" fillId="0" borderId="0" xfId="2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0" fontId="14" fillId="0" borderId="1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0" fontId="0" fillId="6" borderId="15" xfId="0" applyFill="1" applyBorder="1" applyAlignment="1">
      <alignment wrapText="1"/>
    </xf>
    <xf numFmtId="3" fontId="0" fillId="0" borderId="15" xfId="0" applyNumberFormat="1" applyBorder="1"/>
    <xf numFmtId="4" fontId="0" fillId="0" borderId="15" xfId="0" applyNumberFormat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</cellXfs>
  <cellStyles count="5">
    <cellStyle name="20% - Ênfase1" xfId="3" builtinId="30"/>
    <cellStyle name="Moeda 2" xfId="4" xr:uid="{FFBE73FB-FF4E-4941-9C6E-479D96F4D6A0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4%20-%20contrato%20412\BM%20Asfalto%20rua%20arame%20e%20n&#250;cleo.xlsm" TargetMode="External"/><Relationship Id="rId1" Type="http://schemas.openxmlformats.org/officeDocument/2006/relationships/externalLinkPath" Target="/Documents/Prefeitura/Asfalto%202024%20-%20contrato%20412/BM%20Asfalto%20rua%20arame%20e%20n&#250;cle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Reprogramação"/>
      <sheetName val="Memória reprogramação"/>
      <sheetName val="BM.02"/>
      <sheetName val="Memória 02"/>
      <sheetName val="BM.03"/>
      <sheetName val="Memória 03"/>
    </sheetNames>
    <sheetDataSet>
      <sheetData sheetId="0">
        <row r="15">
          <cell r="G15">
            <v>0</v>
          </cell>
        </row>
        <row r="16">
          <cell r="G16">
            <v>0</v>
          </cell>
        </row>
        <row r="17">
          <cell r="G17">
            <v>556.97</v>
          </cell>
        </row>
        <row r="18">
          <cell r="G18">
            <v>0</v>
          </cell>
        </row>
        <row r="19">
          <cell r="G19">
            <v>13466.4</v>
          </cell>
        </row>
        <row r="20">
          <cell r="G20">
            <v>0</v>
          </cell>
        </row>
        <row r="22">
          <cell r="G22">
            <v>0</v>
          </cell>
        </row>
        <row r="24">
          <cell r="G24">
            <v>0</v>
          </cell>
        </row>
        <row r="26">
          <cell r="G26">
            <v>0</v>
          </cell>
        </row>
        <row r="27">
          <cell r="D27">
            <v>8246</v>
          </cell>
          <cell r="G27">
            <v>28.96</v>
          </cell>
        </row>
        <row r="29">
          <cell r="G29">
            <v>0</v>
          </cell>
        </row>
      </sheetData>
      <sheetData sheetId="1">
        <row r="8">
          <cell r="E8">
            <v>556.97</v>
          </cell>
        </row>
        <row r="9">
          <cell r="E9">
            <v>0</v>
          </cell>
        </row>
        <row r="10">
          <cell r="E10">
            <v>13466.4</v>
          </cell>
        </row>
        <row r="11">
          <cell r="E11">
            <v>0</v>
          </cell>
        </row>
        <row r="17">
          <cell r="E17">
            <v>0</v>
          </cell>
        </row>
        <row r="18">
          <cell r="E18">
            <v>28.96</v>
          </cell>
        </row>
      </sheetData>
      <sheetData sheetId="2"/>
      <sheetData sheetId="3"/>
      <sheetData sheetId="4"/>
      <sheetData sheetId="5">
        <row r="6">
          <cell r="E6">
            <v>5718.57</v>
          </cell>
        </row>
        <row r="7">
          <cell r="E7">
            <v>5921.73</v>
          </cell>
        </row>
        <row r="8">
          <cell r="E8">
            <v>568.49</v>
          </cell>
        </row>
        <row r="9">
          <cell r="E9">
            <v>0</v>
          </cell>
        </row>
        <row r="10">
          <cell r="E10">
            <v>13745.4</v>
          </cell>
        </row>
        <row r="11">
          <cell r="E11">
            <v>4566.3</v>
          </cell>
        </row>
        <row r="17">
          <cell r="E17">
            <v>2.96</v>
          </cell>
        </row>
        <row r="18">
          <cell r="E18">
            <v>29.56</v>
          </cell>
        </row>
        <row r="19">
          <cell r="E19">
            <v>6.86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847E-7A60-47B5-8D16-D110A9339B29}">
  <sheetPr codeName="Plan17"/>
  <dimension ref="A1:K40"/>
  <sheetViews>
    <sheetView view="pageBreakPreview" topLeftCell="A3" zoomScale="90" zoomScaleNormal="100" zoomScaleSheetLayoutView="90" workbookViewId="0">
      <selection activeCell="J30" sqref="J30"/>
    </sheetView>
  </sheetViews>
  <sheetFormatPr defaultRowHeight="12.75" x14ac:dyDescent="0.25"/>
  <cols>
    <col min="1" max="1" width="9.140625" style="45"/>
    <col min="2" max="2" width="50.85546875" style="9" customWidth="1"/>
    <col min="3" max="3" width="7.5703125" style="45" customWidth="1"/>
    <col min="4" max="4" width="12.42578125" style="9" customWidth="1"/>
    <col min="5" max="5" width="15.140625" style="46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2" t="s">
        <v>0</v>
      </c>
      <c r="B1" s="103"/>
      <c r="C1" s="103"/>
      <c r="D1" s="103"/>
      <c r="E1" s="103"/>
      <c r="F1" s="103"/>
      <c r="G1" s="103"/>
      <c r="H1" s="103"/>
      <c r="I1" s="104"/>
      <c r="J1" s="1" t="s">
        <v>1</v>
      </c>
    </row>
    <row r="2" spans="1:10" s="2" customFormat="1" ht="16.5" customHeight="1" x14ac:dyDescent="0.25">
      <c r="A2" s="105"/>
      <c r="B2" s="106"/>
      <c r="C2" s="106"/>
      <c r="D2" s="106"/>
      <c r="E2" s="106"/>
      <c r="F2" s="106"/>
      <c r="G2" s="106"/>
      <c r="H2" s="106"/>
      <c r="I2" s="107"/>
      <c r="J2" s="3" t="s">
        <v>2</v>
      </c>
    </row>
    <row r="3" spans="1:10" s="2" customFormat="1" ht="18.75" customHeight="1" x14ac:dyDescent="0.25">
      <c r="A3" s="86" t="s">
        <v>3</v>
      </c>
      <c r="B3" s="88"/>
      <c r="C3" s="86" t="s">
        <v>4</v>
      </c>
      <c r="D3" s="87"/>
      <c r="E3" s="87"/>
      <c r="F3" s="88"/>
      <c r="G3" s="86" t="s">
        <v>5</v>
      </c>
      <c r="H3" s="88"/>
      <c r="I3" s="4" t="s">
        <v>6</v>
      </c>
      <c r="J3" s="4" t="s">
        <v>7</v>
      </c>
    </row>
    <row r="4" spans="1:10" s="2" customFormat="1" ht="21.75" customHeight="1" x14ac:dyDescent="0.25">
      <c r="A4" s="108" t="s">
        <v>8</v>
      </c>
      <c r="B4" s="109"/>
      <c r="C4" s="110" t="s">
        <v>8</v>
      </c>
      <c r="D4" s="111"/>
      <c r="E4" s="111"/>
      <c r="F4" s="112"/>
      <c r="G4" s="110"/>
      <c r="H4" s="112"/>
      <c r="I4" s="5">
        <v>45502</v>
      </c>
      <c r="J4" s="5" t="s">
        <v>9</v>
      </c>
    </row>
    <row r="5" spans="1:10" s="2" customFormat="1" ht="18.75" customHeight="1" x14ac:dyDescent="0.25">
      <c r="A5" s="86" t="s">
        <v>10</v>
      </c>
      <c r="B5" s="88"/>
      <c r="C5" s="86" t="s">
        <v>11</v>
      </c>
      <c r="D5" s="88"/>
      <c r="E5" s="86" t="s">
        <v>12</v>
      </c>
      <c r="F5" s="88"/>
      <c r="G5" s="4" t="s">
        <v>13</v>
      </c>
      <c r="H5" s="4" t="s">
        <v>14</v>
      </c>
      <c r="I5" s="86" t="s">
        <v>15</v>
      </c>
      <c r="J5" s="88"/>
    </row>
    <row r="6" spans="1:10" s="2" customFormat="1" ht="24" customHeight="1" x14ac:dyDescent="0.25">
      <c r="A6" s="98" t="s">
        <v>16</v>
      </c>
      <c r="B6" s="99"/>
      <c r="C6" s="91" t="s">
        <v>17</v>
      </c>
      <c r="D6" s="93"/>
      <c r="E6" s="100"/>
      <c r="F6" s="101"/>
      <c r="G6" s="5">
        <v>45502</v>
      </c>
      <c r="H6" s="5" t="s">
        <v>18</v>
      </c>
      <c r="I6" s="96">
        <v>45574</v>
      </c>
      <c r="J6" s="97"/>
    </row>
    <row r="7" spans="1:10" s="2" customFormat="1" ht="18.75" customHeight="1" x14ac:dyDescent="0.25">
      <c r="A7" s="84" t="s">
        <v>19</v>
      </c>
      <c r="B7" s="85"/>
      <c r="C7" s="86" t="s">
        <v>20</v>
      </c>
      <c r="D7" s="87"/>
      <c r="E7" s="88"/>
      <c r="F7" s="6" t="s">
        <v>21</v>
      </c>
      <c r="G7" s="86" t="s">
        <v>22</v>
      </c>
      <c r="H7" s="88"/>
      <c r="I7" s="86" t="s">
        <v>23</v>
      </c>
      <c r="J7" s="88"/>
    </row>
    <row r="8" spans="1:10" s="2" customFormat="1" ht="48" customHeight="1" x14ac:dyDescent="0.25">
      <c r="A8" s="89" t="s">
        <v>24</v>
      </c>
      <c r="B8" s="90"/>
      <c r="C8" s="91" t="s">
        <v>25</v>
      </c>
      <c r="D8" s="92"/>
      <c r="E8" s="93"/>
      <c r="F8" s="7">
        <v>1599479.7</v>
      </c>
      <c r="G8" s="94">
        <f>BM.01!$I$30</f>
        <v>362418.93</v>
      </c>
      <c r="H8" s="95"/>
      <c r="I8" s="96" t="s">
        <v>26</v>
      </c>
      <c r="J8" s="97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77" t="s">
        <v>27</v>
      </c>
      <c r="F10" s="77"/>
      <c r="G10" s="77"/>
      <c r="H10" s="78" t="s">
        <v>28</v>
      </c>
      <c r="I10" s="77"/>
      <c r="J10" s="79"/>
    </row>
    <row r="11" spans="1:10" s="2" customFormat="1" x14ac:dyDescent="0.25">
      <c r="A11" s="80" t="s">
        <v>29</v>
      </c>
      <c r="B11" s="81" t="s">
        <v>30</v>
      </c>
      <c r="C11" s="82" t="s">
        <v>31</v>
      </c>
      <c r="D11" s="83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80"/>
      <c r="B12" s="81"/>
      <c r="C12" s="82"/>
      <c r="D12" s="83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42</v>
      </c>
      <c r="J13" s="21" t="s">
        <v>41</v>
      </c>
    </row>
    <row r="14" spans="1:10" s="2" customFormat="1" ht="30" customHeight="1" x14ac:dyDescent="0.25">
      <c r="A14" s="22" t="s">
        <v>43</v>
      </c>
      <c r="B14" s="23" t="s">
        <v>44</v>
      </c>
      <c r="C14" s="24"/>
      <c r="D14" s="25"/>
      <c r="E14" s="25"/>
      <c r="F14" s="25"/>
      <c r="G14" s="26"/>
      <c r="H14" s="27">
        <f>SUM(H15:H20)</f>
        <v>612391.51</v>
      </c>
      <c r="I14" s="27">
        <f t="shared" ref="I14:J14" si="0">SUM(I15:I20)</f>
        <v>123614.76999999999</v>
      </c>
      <c r="J14" s="27">
        <f t="shared" si="0"/>
        <v>123614.76999999999</v>
      </c>
    </row>
    <row r="15" spans="1:10" s="2" customFormat="1" ht="30" customHeight="1" x14ac:dyDescent="0.25">
      <c r="A15" s="28" t="s">
        <v>45</v>
      </c>
      <c r="B15" s="29" t="s">
        <v>46</v>
      </c>
      <c r="C15" s="30" t="s">
        <v>47</v>
      </c>
      <c r="D15" s="31">
        <v>0.39</v>
      </c>
      <c r="E15" s="31">
        <v>20303.310000000001</v>
      </c>
      <c r="F15" s="32">
        <f>'[1]Memória 01'!E6</f>
        <v>0</v>
      </c>
      <c r="G15" s="31">
        <f>F15</f>
        <v>0</v>
      </c>
      <c r="H15" s="33">
        <f>ROUND(E15*D15,2)</f>
        <v>7918.29</v>
      </c>
      <c r="I15" s="34">
        <f>ROUND(D15*F15,2)</f>
        <v>0</v>
      </c>
      <c r="J15" s="33">
        <f>ROUND(D15*G15,2)</f>
        <v>0</v>
      </c>
    </row>
    <row r="16" spans="1:10" s="2" customFormat="1" ht="30" customHeight="1" x14ac:dyDescent="0.25">
      <c r="A16" s="28" t="s">
        <v>48</v>
      </c>
      <c r="B16" s="35" t="s">
        <v>49</v>
      </c>
      <c r="C16" s="28" t="s">
        <v>47</v>
      </c>
      <c r="D16" s="36">
        <v>0.39</v>
      </c>
      <c r="E16" s="36">
        <v>20303.310000000001</v>
      </c>
      <c r="F16" s="32">
        <f>'[1]Memória 01'!E7</f>
        <v>0</v>
      </c>
      <c r="G16" s="31">
        <f t="shared" ref="G16:G20" si="1">F16</f>
        <v>0</v>
      </c>
      <c r="H16" s="33">
        <f t="shared" ref="H16:H20" si="2">ROUND(E16*D16,2)</f>
        <v>7918.29</v>
      </c>
      <c r="I16" s="34">
        <f t="shared" ref="I16:I20" si="3">ROUND(D16*F16,2)</f>
        <v>0</v>
      </c>
      <c r="J16" s="33">
        <f t="shared" ref="J16:J20" si="4">ROUND(D16*G16,2)</f>
        <v>0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197.28</v>
      </c>
      <c r="E17" s="36">
        <v>1461.84</v>
      </c>
      <c r="F17" s="32">
        <f>'[1]Memória 01'!E8</f>
        <v>556.97</v>
      </c>
      <c r="G17" s="31">
        <f t="shared" si="1"/>
        <v>556.97</v>
      </c>
      <c r="H17" s="33">
        <f t="shared" si="2"/>
        <v>288391.8</v>
      </c>
      <c r="I17" s="34">
        <f t="shared" si="3"/>
        <v>109879.03999999999</v>
      </c>
      <c r="J17" s="33">
        <f t="shared" si="4"/>
        <v>109879.03999999999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177.08</v>
      </c>
      <c r="E18" s="36">
        <v>1461.84</v>
      </c>
      <c r="F18" s="32">
        <f>'[1]Memória 01'!E9</f>
        <v>0</v>
      </c>
      <c r="G18" s="31">
        <f t="shared" si="1"/>
        <v>0</v>
      </c>
      <c r="H18" s="33">
        <f t="shared" si="2"/>
        <v>258862.63</v>
      </c>
      <c r="I18" s="34">
        <f t="shared" si="3"/>
        <v>0</v>
      </c>
      <c r="J18" s="33">
        <f t="shared" si="4"/>
        <v>0</v>
      </c>
    </row>
    <row r="19" spans="1:11" s="2" customFormat="1" ht="30" customHeight="1" x14ac:dyDescent="0.25">
      <c r="A19" s="28" t="s">
        <v>55</v>
      </c>
      <c r="B19" s="35" t="s">
        <v>56</v>
      </c>
      <c r="C19" s="28" t="s">
        <v>57</v>
      </c>
      <c r="D19" s="36">
        <v>1.02</v>
      </c>
      <c r="E19" s="36">
        <v>43855.15</v>
      </c>
      <c r="F19" s="32">
        <f>'[1]Memória 01'!E10</f>
        <v>13466.4</v>
      </c>
      <c r="G19" s="31">
        <f t="shared" si="1"/>
        <v>13466.4</v>
      </c>
      <c r="H19" s="33">
        <f t="shared" si="2"/>
        <v>44732.25</v>
      </c>
      <c r="I19" s="34">
        <f t="shared" si="3"/>
        <v>13735.73</v>
      </c>
      <c r="J19" s="33">
        <f t="shared" si="4"/>
        <v>13735.73</v>
      </c>
    </row>
    <row r="20" spans="1:11" s="2" customFormat="1" ht="30" customHeight="1" x14ac:dyDescent="0.25">
      <c r="A20" s="28" t="s">
        <v>58</v>
      </c>
      <c r="B20" s="35" t="s">
        <v>59</v>
      </c>
      <c r="C20" s="28" t="s">
        <v>57</v>
      </c>
      <c r="D20" s="36">
        <v>0.9</v>
      </c>
      <c r="E20" s="36">
        <v>5075.83</v>
      </c>
      <c r="F20" s="32">
        <f>'[1]Memória 01'!E11</f>
        <v>0</v>
      </c>
      <c r="G20" s="31">
        <f t="shared" si="1"/>
        <v>0</v>
      </c>
      <c r="H20" s="33">
        <f t="shared" si="2"/>
        <v>4568.25</v>
      </c>
      <c r="I20" s="34">
        <f t="shared" si="3"/>
        <v>0</v>
      </c>
      <c r="J20" s="33">
        <f t="shared" si="4"/>
        <v>0</v>
      </c>
    </row>
    <row r="21" spans="1:11" s="2" customFormat="1" ht="30" customHeight="1" x14ac:dyDescent="0.25">
      <c r="A21" s="22" t="s">
        <v>60</v>
      </c>
      <c r="B21" s="23" t="s">
        <v>61</v>
      </c>
      <c r="C21" s="24"/>
      <c r="D21" s="25"/>
      <c r="E21" s="25"/>
      <c r="F21" s="25"/>
      <c r="G21" s="26"/>
      <c r="H21" s="27">
        <f>H22</f>
        <v>178056.67</v>
      </c>
      <c r="I21" s="27">
        <f>SUM(I22:I22)</f>
        <v>0</v>
      </c>
      <c r="J21" s="27">
        <f>SUM(J22:J22)</f>
        <v>0</v>
      </c>
    </row>
    <row r="22" spans="1:11" s="2" customFormat="1" ht="30" customHeight="1" x14ac:dyDescent="0.25">
      <c r="A22" s="28" t="s">
        <v>62</v>
      </c>
      <c r="B22" s="35" t="s">
        <v>63</v>
      </c>
      <c r="C22" s="28" t="s">
        <v>64</v>
      </c>
      <c r="D22" s="36">
        <v>32.44</v>
      </c>
      <c r="E22" s="36">
        <v>5488.8</v>
      </c>
      <c r="F22" s="32">
        <f>'[1]Memória 01'!E13</f>
        <v>0</v>
      </c>
      <c r="G22" s="31">
        <f>F22</f>
        <v>0</v>
      </c>
      <c r="H22" s="33">
        <f>ROUND(E22*D22,2)</f>
        <v>178056.67</v>
      </c>
      <c r="I22" s="34">
        <f>ROUND(D22*F22,2)</f>
        <v>0</v>
      </c>
      <c r="J22" s="33">
        <f>ROUND(D22*G22,2)</f>
        <v>0</v>
      </c>
    </row>
    <row r="23" spans="1:11" s="2" customFormat="1" ht="30" customHeight="1" x14ac:dyDescent="0.25">
      <c r="A23" s="22" t="s">
        <v>65</v>
      </c>
      <c r="B23" s="23" t="s">
        <v>66</v>
      </c>
      <c r="C23" s="24"/>
      <c r="D23" s="25"/>
      <c r="E23" s="25"/>
      <c r="F23" s="25"/>
      <c r="G23" s="26"/>
      <c r="H23" s="27">
        <f>H24</f>
        <v>24568.17</v>
      </c>
      <c r="I23" s="27">
        <f>SUM(I24:I24)</f>
        <v>0</v>
      </c>
      <c r="J23" s="27">
        <f>SUM(J24:J24)</f>
        <v>0</v>
      </c>
    </row>
    <row r="24" spans="1:11" s="2" customFormat="1" ht="30" customHeight="1" x14ac:dyDescent="0.25">
      <c r="A24" s="28" t="s">
        <v>67</v>
      </c>
      <c r="B24" s="35" t="s">
        <v>68</v>
      </c>
      <c r="C24" s="28" t="s">
        <v>47</v>
      </c>
      <c r="D24" s="36">
        <v>29.84</v>
      </c>
      <c r="E24" s="36">
        <v>823.33</v>
      </c>
      <c r="F24" s="32">
        <f>'[1]Memória 01'!E15</f>
        <v>0</v>
      </c>
      <c r="G24" s="31">
        <f>F24</f>
        <v>0</v>
      </c>
      <c r="H24" s="33">
        <f>ROUND(E24*D24,2)</f>
        <v>24568.17</v>
      </c>
      <c r="I24" s="34">
        <f>ROUND(D24*F24,2)</f>
        <v>0</v>
      </c>
      <c r="J24" s="33">
        <f>ROUND(D24*G24,2)</f>
        <v>0</v>
      </c>
    </row>
    <row r="25" spans="1:11" s="2" customFormat="1" ht="30" customHeight="1" x14ac:dyDescent="0.25">
      <c r="A25" s="22" t="s">
        <v>69</v>
      </c>
      <c r="B25" s="23" t="s">
        <v>70</v>
      </c>
      <c r="C25" s="24"/>
      <c r="D25" s="25"/>
      <c r="E25" s="25"/>
      <c r="F25" s="25"/>
      <c r="G25" s="26"/>
      <c r="H25" s="27">
        <f>SUM(H26:H27)</f>
        <v>782753.63</v>
      </c>
      <c r="I25" s="27">
        <f>SUM(I26:I27)</f>
        <v>238804.16</v>
      </c>
      <c r="J25" s="27">
        <f>SUM(J26:J27)</f>
        <v>238804.16</v>
      </c>
    </row>
    <row r="26" spans="1:11" s="2" customFormat="1" ht="30" customHeight="1" x14ac:dyDescent="0.25">
      <c r="A26" s="28" t="s">
        <v>71</v>
      </c>
      <c r="B26" s="35" t="s">
        <v>72</v>
      </c>
      <c r="C26" s="28" t="s">
        <v>52</v>
      </c>
      <c r="D26" s="36">
        <v>5861.77</v>
      </c>
      <c r="E26" s="36">
        <v>10.15</v>
      </c>
      <c r="F26" s="32">
        <f>'[1]Memória 01'!E17</f>
        <v>0</v>
      </c>
      <c r="G26" s="36">
        <f>F26</f>
        <v>0</v>
      </c>
      <c r="H26" s="33">
        <f>ROUND(E26*D26,2)</f>
        <v>59496.97</v>
      </c>
      <c r="I26" s="34">
        <f t="shared" ref="I26:I27" si="5">ROUND(D26*F26,2)</f>
        <v>0</v>
      </c>
      <c r="J26" s="33">
        <f t="shared" ref="J26:J27" si="6">ROUND(D26*G26,2)</f>
        <v>0</v>
      </c>
    </row>
    <row r="27" spans="1:11" s="2" customFormat="1" ht="30" customHeight="1" x14ac:dyDescent="0.25">
      <c r="A27" s="28" t="s">
        <v>73</v>
      </c>
      <c r="B27" s="35" t="s">
        <v>74</v>
      </c>
      <c r="C27" s="28" t="s">
        <v>52</v>
      </c>
      <c r="D27" s="36">
        <v>8246</v>
      </c>
      <c r="E27" s="36">
        <v>87.71</v>
      </c>
      <c r="F27" s="32">
        <f>'[1]Memória 01'!E18</f>
        <v>28.96</v>
      </c>
      <c r="G27" s="36">
        <f>F27</f>
        <v>28.96</v>
      </c>
      <c r="H27" s="33">
        <f>ROUND(E27*D27,2)</f>
        <v>723256.66</v>
      </c>
      <c r="I27" s="34">
        <f t="shared" si="5"/>
        <v>238804.16</v>
      </c>
      <c r="J27" s="33">
        <f t="shared" si="6"/>
        <v>238804.16</v>
      </c>
    </row>
    <row r="28" spans="1:11" s="2" customFormat="1" ht="30" customHeight="1" x14ac:dyDescent="0.25">
      <c r="A28" s="22" t="s">
        <v>75</v>
      </c>
      <c r="B28" s="23" t="s">
        <v>76</v>
      </c>
      <c r="C28" s="24"/>
      <c r="D28" s="25"/>
      <c r="E28" s="25"/>
      <c r="F28" s="25"/>
      <c r="G28" s="26"/>
      <c r="H28" s="27">
        <f>H29</f>
        <v>1709.78</v>
      </c>
      <c r="I28" s="27">
        <f>SUM(I29:I29)</f>
        <v>0</v>
      </c>
      <c r="J28" s="27">
        <f>SUM(J29:J29)</f>
        <v>0</v>
      </c>
    </row>
    <row r="29" spans="1:11" s="2" customFormat="1" ht="15" x14ac:dyDescent="0.25">
      <c r="A29" s="28" t="s">
        <v>77</v>
      </c>
      <c r="B29" s="35" t="s">
        <v>78</v>
      </c>
      <c r="C29" s="28" t="s">
        <v>47</v>
      </c>
      <c r="D29" s="36">
        <v>379.95</v>
      </c>
      <c r="E29" s="36">
        <v>4.5</v>
      </c>
      <c r="F29" s="32">
        <f>'[1]Memória 01'!E20</f>
        <v>0</v>
      </c>
      <c r="G29" s="36">
        <f>F29</f>
        <v>0</v>
      </c>
      <c r="H29" s="33">
        <f>ROUND(E29*D29,2)</f>
        <v>1709.78</v>
      </c>
      <c r="I29" s="34">
        <f>ROUND(D29*F29,2)</f>
        <v>0</v>
      </c>
      <c r="J29" s="33">
        <f>ROUND(D29*G29,2)</f>
        <v>0</v>
      </c>
    </row>
    <row r="30" spans="1:11" ht="22.5" customHeight="1" x14ac:dyDescent="0.25">
      <c r="A30" s="70" t="s">
        <v>79</v>
      </c>
      <c r="B30" s="71"/>
      <c r="C30" s="71"/>
      <c r="D30" s="71"/>
      <c r="E30" s="71"/>
      <c r="F30" s="71"/>
      <c r="G30" s="72"/>
      <c r="H30" s="37">
        <f>H14+H21+H23+H25+H28-0.06</f>
        <v>1599479.7</v>
      </c>
      <c r="I30" s="37">
        <f>I14+I23+I25+I28+I21</f>
        <v>362418.93</v>
      </c>
      <c r="J30" s="37">
        <f>J14+J23+J25+J28+J21</f>
        <v>362418.93</v>
      </c>
      <c r="K30" s="38">
        <f>J30/H30</f>
        <v>0.2265855140268426</v>
      </c>
    </row>
    <row r="31" spans="1:11" ht="8.25" customHeight="1" x14ac:dyDescent="0.25">
      <c r="A31" s="39"/>
      <c r="B31" s="39"/>
      <c r="C31" s="39"/>
      <c r="D31" s="39"/>
      <c r="E31" s="39"/>
      <c r="F31" s="40"/>
      <c r="G31" s="40"/>
      <c r="H31" s="41"/>
      <c r="I31" s="41"/>
      <c r="J31" s="41"/>
    </row>
    <row r="32" spans="1:11" ht="17.25" customHeight="1" x14ac:dyDescent="0.25">
      <c r="A32" s="73" t="s">
        <v>80</v>
      </c>
      <c r="B32" s="73"/>
      <c r="C32" s="73"/>
      <c r="D32" s="74">
        <f>I30</f>
        <v>362418.93</v>
      </c>
      <c r="E32" s="74"/>
      <c r="F32" s="75"/>
      <c r="G32" s="75"/>
      <c r="H32" s="75"/>
      <c r="I32" s="75"/>
      <c r="J32" s="75"/>
    </row>
    <row r="33" spans="3:10" ht="6" customHeight="1" x14ac:dyDescent="0.25">
      <c r="C33" s="42"/>
      <c r="E33" s="43"/>
      <c r="F33" s="43"/>
    </row>
    <row r="34" spans="3:10" x14ac:dyDescent="0.25">
      <c r="C34" s="44"/>
      <c r="D34" s="44"/>
      <c r="E34" s="44"/>
      <c r="G34" s="76"/>
      <c r="H34" s="76"/>
      <c r="I34" s="76"/>
      <c r="J34" s="76"/>
    </row>
    <row r="38" spans="3:10" x14ac:dyDescent="0.25">
      <c r="H38" s="47"/>
    </row>
    <row r="40" spans="3:10" x14ac:dyDescent="0.25">
      <c r="J40" s="48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30:G30"/>
    <mergeCell ref="A32:C32"/>
    <mergeCell ref="D32:E32"/>
    <mergeCell ref="F32:J32"/>
    <mergeCell ref="G34:J3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3E6B-0E8F-4E6E-BDCA-EBDB6C5B0372}">
  <dimension ref="A1:H22"/>
  <sheetViews>
    <sheetView view="pageBreakPreview" zoomScaleNormal="100" zoomScaleSheetLayoutView="100" workbookViewId="0">
      <selection activeCell="D18" sqref="D18"/>
    </sheetView>
  </sheetViews>
  <sheetFormatPr defaultRowHeight="15" x14ac:dyDescent="0.25"/>
  <cols>
    <col min="2" max="2" width="51.7109375" style="69" customWidth="1"/>
    <col min="3" max="3" width="9.140625" style="61"/>
    <col min="4" max="4" width="105.5703125" customWidth="1"/>
    <col min="5" max="5" width="9.42578125" style="49" customWidth="1"/>
  </cols>
  <sheetData>
    <row r="1" spans="1:8" ht="26.25" x14ac:dyDescent="0.25">
      <c r="A1" s="113" t="s">
        <v>81</v>
      </c>
      <c r="B1" s="114"/>
      <c r="C1" s="114"/>
      <c r="D1" s="115"/>
    </row>
    <row r="3" spans="1:8" x14ac:dyDescent="0.25">
      <c r="A3" s="50" t="s">
        <v>29</v>
      </c>
      <c r="B3" s="51" t="s">
        <v>82</v>
      </c>
      <c r="C3" s="50" t="s">
        <v>83</v>
      </c>
      <c r="D3" s="50" t="s">
        <v>84</v>
      </c>
    </row>
    <row r="4" spans="1:8" x14ac:dyDescent="0.25">
      <c r="A4" s="52"/>
      <c r="B4" s="53"/>
      <c r="C4" s="54"/>
      <c r="D4" s="52"/>
    </row>
    <row r="5" spans="1:8" x14ac:dyDescent="0.25">
      <c r="A5" s="55" t="s">
        <v>43</v>
      </c>
      <c r="B5" s="56" t="s">
        <v>44</v>
      </c>
      <c r="C5" s="57"/>
      <c r="D5" s="58"/>
    </row>
    <row r="6" spans="1:8" x14ac:dyDescent="0.25">
      <c r="A6" s="59" t="s">
        <v>45</v>
      </c>
      <c r="B6" s="60" t="s">
        <v>46</v>
      </c>
      <c r="C6" s="30" t="s">
        <v>47</v>
      </c>
      <c r="D6" s="53" t="s">
        <v>85</v>
      </c>
      <c r="G6" s="61"/>
      <c r="H6">
        <f>(6.15+5.1+4.6+6.8)/4</f>
        <v>5.6624999999999996</v>
      </c>
    </row>
    <row r="7" spans="1:8" x14ac:dyDescent="0.25">
      <c r="A7" s="59" t="s">
        <v>48</v>
      </c>
      <c r="B7" s="59" t="s">
        <v>49</v>
      </c>
      <c r="C7" s="28" t="s">
        <v>47</v>
      </c>
      <c r="D7" s="62"/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59" t="s">
        <v>50</v>
      </c>
      <c r="B8" s="59" t="s">
        <v>51</v>
      </c>
      <c r="C8" s="28" t="s">
        <v>52</v>
      </c>
      <c r="D8" s="62" t="s">
        <v>86</v>
      </c>
      <c r="E8" s="49">
        <f>(5718.57)*0.04*2.4+(7.99)</f>
        <v>556.97271999999998</v>
      </c>
    </row>
    <row r="9" spans="1:8" x14ac:dyDescent="0.25">
      <c r="A9" s="59" t="s">
        <v>53</v>
      </c>
      <c r="B9" s="59" t="s">
        <v>54</v>
      </c>
      <c r="C9" s="28" t="s">
        <v>52</v>
      </c>
      <c r="D9" s="62"/>
      <c r="E9" s="49">
        <v>0</v>
      </c>
    </row>
    <row r="10" spans="1:8" ht="30" x14ac:dyDescent="0.25">
      <c r="A10" s="59" t="s">
        <v>55</v>
      </c>
      <c r="B10" s="59" t="s">
        <v>56</v>
      </c>
      <c r="C10" s="28" t="s">
        <v>57</v>
      </c>
      <c r="D10" s="52" t="s">
        <v>87</v>
      </c>
      <c r="E10" s="49">
        <f>E18*465</f>
        <v>13467.600369599999</v>
      </c>
    </row>
    <row r="11" spans="1:8" x14ac:dyDescent="0.25">
      <c r="A11" s="59" t="s">
        <v>58</v>
      </c>
      <c r="B11" s="59" t="s">
        <v>59</v>
      </c>
      <c r="C11" s="28" t="s">
        <v>57</v>
      </c>
      <c r="D11" s="53" t="s">
        <v>88</v>
      </c>
      <c r="E11" s="49">
        <f>(E17)*465</f>
        <v>0</v>
      </c>
    </row>
    <row r="12" spans="1:8" x14ac:dyDescent="0.25">
      <c r="A12" s="55" t="s">
        <v>60</v>
      </c>
      <c r="B12" s="56" t="s">
        <v>61</v>
      </c>
      <c r="C12" s="63"/>
      <c r="D12" s="63"/>
    </row>
    <row r="13" spans="1:8" x14ac:dyDescent="0.25">
      <c r="A13" s="64" t="s">
        <v>62</v>
      </c>
      <c r="B13" s="65" t="s">
        <v>63</v>
      </c>
      <c r="C13" s="66" t="s">
        <v>64</v>
      </c>
      <c r="D13" s="53"/>
    </row>
    <row r="14" spans="1:8" x14ac:dyDescent="0.25">
      <c r="A14" s="55" t="s">
        <v>65</v>
      </c>
      <c r="B14" s="56" t="s">
        <v>66</v>
      </c>
      <c r="C14" s="63"/>
      <c r="D14" s="63"/>
    </row>
    <row r="15" spans="1:8" x14ac:dyDescent="0.25">
      <c r="A15" s="64" t="s">
        <v>67</v>
      </c>
      <c r="B15" s="65" t="s">
        <v>68</v>
      </c>
      <c r="C15" s="66" t="s">
        <v>47</v>
      </c>
      <c r="D15" s="53"/>
    </row>
    <row r="16" spans="1:8" x14ac:dyDescent="0.25">
      <c r="A16" s="55" t="s">
        <v>69</v>
      </c>
      <c r="B16" s="56" t="s">
        <v>70</v>
      </c>
      <c r="C16" s="58"/>
      <c r="D16" s="58"/>
    </row>
    <row r="17" spans="1:6" x14ac:dyDescent="0.25">
      <c r="A17" s="64" t="s">
        <v>71</v>
      </c>
      <c r="B17" s="65" t="s">
        <v>72</v>
      </c>
      <c r="C17" s="54" t="s">
        <v>52</v>
      </c>
      <c r="D17" s="52" t="s">
        <v>89</v>
      </c>
      <c r="E17" s="49">
        <f>E7*0.0005</f>
        <v>0</v>
      </c>
      <c r="F17" s="67"/>
    </row>
    <row r="18" spans="1:6" x14ac:dyDescent="0.25">
      <c r="A18" s="64" t="s">
        <v>73</v>
      </c>
      <c r="B18" s="65" t="s">
        <v>74</v>
      </c>
      <c r="C18" s="54" t="s">
        <v>52</v>
      </c>
      <c r="D18" s="53" t="s">
        <v>90</v>
      </c>
      <c r="E18" s="49">
        <f>E8*0.052</f>
        <v>28.962581439999997</v>
      </c>
      <c r="F18">
        <f>E7*0.06</f>
        <v>0</v>
      </c>
    </row>
    <row r="19" spans="1:6" x14ac:dyDescent="0.25">
      <c r="A19" s="68" t="s">
        <v>75</v>
      </c>
      <c r="B19" s="56" t="s">
        <v>76</v>
      </c>
      <c r="C19" s="58"/>
      <c r="D19" s="58"/>
      <c r="F19" s="49">
        <f>F18-E18</f>
        <v>-28.962581439999997</v>
      </c>
    </row>
    <row r="20" spans="1:6" x14ac:dyDescent="0.25">
      <c r="A20" s="64" t="s">
        <v>77</v>
      </c>
      <c r="B20" s="65" t="s">
        <v>78</v>
      </c>
      <c r="C20" s="66" t="s">
        <v>91</v>
      </c>
      <c r="D20" s="52"/>
      <c r="F20">
        <f>F19*[1]BM.01!D27</f>
        <v>-238825.44655423998</v>
      </c>
    </row>
    <row r="22" spans="1:6" x14ac:dyDescent="0.25">
      <c r="A22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40C5-D989-4062-BC12-8680A9584755}">
  <sheetPr codeName="Plan19"/>
  <dimension ref="A1:K41"/>
  <sheetViews>
    <sheetView view="pageBreakPreview" zoomScale="90" zoomScaleNormal="100" zoomScaleSheetLayoutView="90" workbookViewId="0">
      <selection activeCell="J2" sqref="J2"/>
    </sheetView>
  </sheetViews>
  <sheetFormatPr defaultRowHeight="12.75" x14ac:dyDescent="0.25"/>
  <cols>
    <col min="1" max="1" width="9.140625" style="45"/>
    <col min="2" max="2" width="50.85546875" style="9" customWidth="1"/>
    <col min="3" max="3" width="7.5703125" style="45" customWidth="1"/>
    <col min="4" max="4" width="12.42578125" style="9" customWidth="1"/>
    <col min="5" max="5" width="15.140625" style="46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2" t="s">
        <v>92</v>
      </c>
      <c r="B1" s="103"/>
      <c r="C1" s="103"/>
      <c r="D1" s="103"/>
      <c r="E1" s="103"/>
      <c r="F1" s="103"/>
      <c r="G1" s="103"/>
      <c r="H1" s="103"/>
      <c r="I1" s="104"/>
      <c r="J1" s="1" t="s">
        <v>1</v>
      </c>
    </row>
    <row r="2" spans="1:10" s="2" customFormat="1" ht="16.5" customHeight="1" x14ac:dyDescent="0.25">
      <c r="A2" s="105"/>
      <c r="B2" s="106"/>
      <c r="C2" s="106"/>
      <c r="D2" s="106"/>
      <c r="E2" s="106"/>
      <c r="F2" s="106"/>
      <c r="G2" s="106"/>
      <c r="H2" s="106"/>
      <c r="I2" s="107"/>
      <c r="J2" s="3" t="s">
        <v>93</v>
      </c>
    </row>
    <row r="3" spans="1:10" s="2" customFormat="1" ht="18.75" customHeight="1" x14ac:dyDescent="0.25">
      <c r="A3" s="86" t="s">
        <v>3</v>
      </c>
      <c r="B3" s="88"/>
      <c r="C3" s="86" t="s">
        <v>4</v>
      </c>
      <c r="D3" s="87"/>
      <c r="E3" s="87"/>
      <c r="F3" s="88"/>
      <c r="G3" s="86" t="s">
        <v>5</v>
      </c>
      <c r="H3" s="88"/>
      <c r="I3" s="4" t="s">
        <v>6</v>
      </c>
      <c r="J3" s="4" t="s">
        <v>7</v>
      </c>
    </row>
    <row r="4" spans="1:10" s="2" customFormat="1" ht="21.75" customHeight="1" x14ac:dyDescent="0.25">
      <c r="A4" s="108" t="s">
        <v>8</v>
      </c>
      <c r="B4" s="109"/>
      <c r="C4" s="110" t="s">
        <v>8</v>
      </c>
      <c r="D4" s="111"/>
      <c r="E4" s="111"/>
      <c r="F4" s="112"/>
      <c r="G4" s="110"/>
      <c r="H4" s="112"/>
      <c r="I4" s="5">
        <v>45502</v>
      </c>
      <c r="J4" s="5" t="s">
        <v>9</v>
      </c>
    </row>
    <row r="5" spans="1:10" s="2" customFormat="1" ht="18.75" customHeight="1" x14ac:dyDescent="0.25">
      <c r="A5" s="86" t="s">
        <v>10</v>
      </c>
      <c r="B5" s="88"/>
      <c r="C5" s="86" t="s">
        <v>11</v>
      </c>
      <c r="D5" s="88"/>
      <c r="E5" s="86" t="s">
        <v>12</v>
      </c>
      <c r="F5" s="88"/>
      <c r="G5" s="4" t="s">
        <v>13</v>
      </c>
      <c r="H5" s="4" t="s">
        <v>14</v>
      </c>
      <c r="I5" s="86" t="s">
        <v>15</v>
      </c>
      <c r="J5" s="88"/>
    </row>
    <row r="6" spans="1:10" s="2" customFormat="1" ht="24" customHeight="1" x14ac:dyDescent="0.25">
      <c r="A6" s="98" t="s">
        <v>16</v>
      </c>
      <c r="B6" s="99"/>
      <c r="C6" s="91" t="s">
        <v>17</v>
      </c>
      <c r="D6" s="93"/>
      <c r="E6" s="100"/>
      <c r="F6" s="101"/>
      <c r="G6" s="5">
        <v>45502</v>
      </c>
      <c r="H6" s="5" t="s">
        <v>18</v>
      </c>
      <c r="I6" s="96">
        <v>45623</v>
      </c>
      <c r="J6" s="97"/>
    </row>
    <row r="7" spans="1:10" s="2" customFormat="1" ht="18.75" customHeight="1" x14ac:dyDescent="0.25">
      <c r="A7" s="84" t="s">
        <v>19</v>
      </c>
      <c r="B7" s="85"/>
      <c r="C7" s="86" t="s">
        <v>20</v>
      </c>
      <c r="D7" s="87"/>
      <c r="E7" s="88"/>
      <c r="F7" s="6" t="s">
        <v>21</v>
      </c>
      <c r="G7" s="86" t="s">
        <v>22</v>
      </c>
      <c r="H7" s="88"/>
      <c r="I7" s="86" t="s">
        <v>23</v>
      </c>
      <c r="J7" s="88"/>
    </row>
    <row r="8" spans="1:10" s="2" customFormat="1" ht="48" customHeight="1" x14ac:dyDescent="0.25">
      <c r="A8" s="89" t="s">
        <v>24</v>
      </c>
      <c r="B8" s="90"/>
      <c r="C8" s="91" t="s">
        <v>25</v>
      </c>
      <c r="D8" s="92"/>
      <c r="E8" s="93"/>
      <c r="F8" s="7">
        <v>1599479.7</v>
      </c>
      <c r="G8" s="94">
        <f>BM.02!$I$31</f>
        <v>450594.77</v>
      </c>
      <c r="H8" s="95"/>
      <c r="I8" s="96" t="s">
        <v>94</v>
      </c>
      <c r="J8" s="97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77" t="s">
        <v>27</v>
      </c>
      <c r="F10" s="77"/>
      <c r="G10" s="77"/>
      <c r="H10" s="78" t="s">
        <v>28</v>
      </c>
      <c r="I10" s="77"/>
      <c r="J10" s="79"/>
    </row>
    <row r="11" spans="1:10" s="2" customFormat="1" x14ac:dyDescent="0.25">
      <c r="A11" s="80" t="s">
        <v>29</v>
      </c>
      <c r="B11" s="81" t="s">
        <v>30</v>
      </c>
      <c r="C11" s="82" t="s">
        <v>31</v>
      </c>
      <c r="D11" s="83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80"/>
      <c r="B12" s="81"/>
      <c r="C12" s="82"/>
      <c r="D12" s="83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42</v>
      </c>
      <c r="J13" s="21" t="s">
        <v>41</v>
      </c>
    </row>
    <row r="14" spans="1:10" s="2" customFormat="1" ht="30" customHeight="1" x14ac:dyDescent="0.25">
      <c r="A14" s="22" t="s">
        <v>43</v>
      </c>
      <c r="B14" s="23" t="s">
        <v>44</v>
      </c>
      <c r="C14" s="24"/>
      <c r="D14" s="25"/>
      <c r="E14" s="25"/>
      <c r="F14" s="25"/>
      <c r="G14" s="26"/>
      <c r="H14" s="27">
        <f>SUM(H15:H20)</f>
        <v>459581.41</v>
      </c>
      <c r="I14" s="27">
        <f t="shared" ref="I14:J14" si="0">SUM(I15:I20)</f>
        <v>134821.40000000002</v>
      </c>
      <c r="J14" s="27">
        <f t="shared" si="0"/>
        <v>258436.17</v>
      </c>
    </row>
    <row r="15" spans="1:10" s="2" customFormat="1" ht="30" customHeight="1" x14ac:dyDescent="0.25">
      <c r="A15" s="28" t="s">
        <v>45</v>
      </c>
      <c r="B15" s="29" t="s">
        <v>46</v>
      </c>
      <c r="C15" s="30" t="s">
        <v>47</v>
      </c>
      <c r="D15" s="31">
        <v>0.39</v>
      </c>
      <c r="E15" s="31">
        <v>6331.86</v>
      </c>
      <c r="F15" s="32">
        <f>'[1]Memória 02'!E6</f>
        <v>5718.57</v>
      </c>
      <c r="G15" s="31">
        <f>F15+[1]BM.01!G15</f>
        <v>5718.57</v>
      </c>
      <c r="H15" s="33">
        <f>ROUND(E15*D15,2)</f>
        <v>2469.4299999999998</v>
      </c>
      <c r="I15" s="34">
        <f>ROUND(D15*F15,2)</f>
        <v>2230.2399999999998</v>
      </c>
      <c r="J15" s="33">
        <f>ROUND(D15*G15,2)</f>
        <v>2230.2399999999998</v>
      </c>
    </row>
    <row r="16" spans="1:10" s="2" customFormat="1" ht="30" customHeight="1" x14ac:dyDescent="0.25">
      <c r="A16" s="28" t="s">
        <v>48</v>
      </c>
      <c r="B16" s="35" t="s">
        <v>49</v>
      </c>
      <c r="C16" s="28" t="s">
        <v>47</v>
      </c>
      <c r="D16" s="36">
        <v>0.39</v>
      </c>
      <c r="E16" s="36">
        <v>14012.78</v>
      </c>
      <c r="F16" s="32">
        <f>'[1]Memória 02'!E7</f>
        <v>5921.73</v>
      </c>
      <c r="G16" s="31">
        <f>F16+[1]BM.01!G16</f>
        <v>5921.73</v>
      </c>
      <c r="H16" s="33">
        <f t="shared" ref="H16:H20" si="1">ROUND(E16*D16,2)</f>
        <v>5464.98</v>
      </c>
      <c r="I16" s="34">
        <f t="shared" ref="I16:I20" si="2">ROUND(D16*F16,2)</f>
        <v>2309.4699999999998</v>
      </c>
      <c r="J16" s="33">
        <f t="shared" ref="J16:J20" si="3">ROUND(D16*G16,2)</f>
        <v>2309.4699999999998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197.28</v>
      </c>
      <c r="E17" s="36">
        <v>1953.09</v>
      </c>
      <c r="F17" s="32">
        <f>'[1]Memória 02'!E8</f>
        <v>568.49</v>
      </c>
      <c r="G17" s="31">
        <f>F17+[1]BM.01!G17</f>
        <v>1125.46</v>
      </c>
      <c r="H17" s="33">
        <f t="shared" si="1"/>
        <v>385305.59999999998</v>
      </c>
      <c r="I17" s="34">
        <f t="shared" si="2"/>
        <v>112151.71</v>
      </c>
      <c r="J17" s="33">
        <f t="shared" si="3"/>
        <v>222030.75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177.08</v>
      </c>
      <c r="E18" s="36">
        <v>0</v>
      </c>
      <c r="F18" s="32">
        <f>'[1]Memória 02'!E9</f>
        <v>0</v>
      </c>
      <c r="G18" s="31">
        <f>F18+[1]BM.01!G18</f>
        <v>0</v>
      </c>
      <c r="H18" s="33">
        <f t="shared" si="1"/>
        <v>0</v>
      </c>
      <c r="I18" s="34">
        <f t="shared" si="2"/>
        <v>0</v>
      </c>
      <c r="J18" s="33">
        <f t="shared" si="3"/>
        <v>0</v>
      </c>
    </row>
    <row r="19" spans="1:11" s="2" customFormat="1" ht="30" customHeight="1" x14ac:dyDescent="0.25">
      <c r="A19" s="28" t="s">
        <v>55</v>
      </c>
      <c r="B19" s="35" t="s">
        <v>56</v>
      </c>
      <c r="C19" s="28" t="s">
        <v>57</v>
      </c>
      <c r="D19" s="36">
        <v>1.02</v>
      </c>
      <c r="E19" s="36">
        <v>58595</v>
      </c>
      <c r="F19" s="32">
        <f>'[1]Memória 02'!E10</f>
        <v>13745.4</v>
      </c>
      <c r="G19" s="31">
        <f>F19+[1]BM.01!G19</f>
        <v>27211.8</v>
      </c>
      <c r="H19" s="33">
        <f t="shared" si="1"/>
        <v>59766.9</v>
      </c>
      <c r="I19" s="34">
        <f t="shared" si="2"/>
        <v>14020.31</v>
      </c>
      <c r="J19" s="33">
        <f t="shared" si="3"/>
        <v>27756.04</v>
      </c>
    </row>
    <row r="20" spans="1:11" s="2" customFormat="1" ht="30" customHeight="1" x14ac:dyDescent="0.25">
      <c r="A20" s="28" t="s">
        <v>58</v>
      </c>
      <c r="B20" s="35" t="s">
        <v>59</v>
      </c>
      <c r="C20" s="28" t="s">
        <v>57</v>
      </c>
      <c r="D20" s="36">
        <v>0.9</v>
      </c>
      <c r="E20" s="36">
        <v>7305</v>
      </c>
      <c r="F20" s="32">
        <f>'[1]Memória 02'!E11</f>
        <v>4566.3</v>
      </c>
      <c r="G20" s="31">
        <f>F20+[1]BM.01!G20</f>
        <v>4566.3</v>
      </c>
      <c r="H20" s="33">
        <f t="shared" si="1"/>
        <v>6574.5</v>
      </c>
      <c r="I20" s="34">
        <f t="shared" si="2"/>
        <v>4109.67</v>
      </c>
      <c r="J20" s="33">
        <f t="shared" si="3"/>
        <v>4109.67</v>
      </c>
    </row>
    <row r="21" spans="1:11" s="2" customFormat="1" ht="30" customHeight="1" x14ac:dyDescent="0.25">
      <c r="A21" s="22" t="s">
        <v>60</v>
      </c>
      <c r="B21" s="23" t="s">
        <v>61</v>
      </c>
      <c r="C21" s="24"/>
      <c r="D21" s="25"/>
      <c r="E21" s="25"/>
      <c r="F21" s="25"/>
      <c r="G21" s="26"/>
      <c r="H21" s="27">
        <f>H22</f>
        <v>45612.59</v>
      </c>
      <c r="I21" s="27">
        <f>SUM(I22:I22)</f>
        <v>0</v>
      </c>
      <c r="J21" s="27">
        <f>SUM(J22:J22)</f>
        <v>0</v>
      </c>
    </row>
    <row r="22" spans="1:11" s="2" customFormat="1" ht="30" customHeight="1" x14ac:dyDescent="0.25">
      <c r="A22" s="28" t="s">
        <v>62</v>
      </c>
      <c r="B22" s="35" t="s">
        <v>63</v>
      </c>
      <c r="C22" s="28" t="s">
        <v>64</v>
      </c>
      <c r="D22" s="36">
        <v>32.44</v>
      </c>
      <c r="E22" s="36">
        <v>1406.06</v>
      </c>
      <c r="F22" s="32">
        <f>'[1]Memória 02'!E13</f>
        <v>0</v>
      </c>
      <c r="G22" s="31">
        <f>F22+[1]BM.01!G22</f>
        <v>0</v>
      </c>
      <c r="H22" s="33">
        <f>ROUND(E22*D22,2)</f>
        <v>45612.59</v>
      </c>
      <c r="I22" s="34">
        <f>ROUND(D22*F22,2)</f>
        <v>0</v>
      </c>
      <c r="J22" s="33">
        <f>ROUND(D22*G22,2)</f>
        <v>0</v>
      </c>
    </row>
    <row r="23" spans="1:11" s="2" customFormat="1" ht="30" customHeight="1" x14ac:dyDescent="0.25">
      <c r="A23" s="22" t="s">
        <v>65</v>
      </c>
      <c r="B23" s="23" t="s">
        <v>66</v>
      </c>
      <c r="C23" s="24"/>
      <c r="D23" s="25"/>
      <c r="E23" s="25"/>
      <c r="F23" s="25"/>
      <c r="G23" s="25"/>
      <c r="H23" s="27">
        <f>H24</f>
        <v>24567.87</v>
      </c>
      <c r="I23" s="27">
        <f>SUM(I24:I24)</f>
        <v>0</v>
      </c>
      <c r="J23" s="27">
        <f>SUM(J24:J24)</f>
        <v>0</v>
      </c>
    </row>
    <row r="24" spans="1:11" s="2" customFormat="1" ht="30" customHeight="1" x14ac:dyDescent="0.25">
      <c r="A24" s="28" t="s">
        <v>67</v>
      </c>
      <c r="B24" s="35" t="s">
        <v>68</v>
      </c>
      <c r="C24" s="28" t="s">
        <v>47</v>
      </c>
      <c r="D24" s="36">
        <v>29.84</v>
      </c>
      <c r="E24" s="36">
        <v>823.32</v>
      </c>
      <c r="F24" s="32">
        <f>'[1]Memória 02'!E15</f>
        <v>0</v>
      </c>
      <c r="G24" s="31">
        <f>F24+[1]BM.01!G24</f>
        <v>0</v>
      </c>
      <c r="H24" s="33">
        <f>ROUND(E24*D24,2)</f>
        <v>24567.87</v>
      </c>
      <c r="I24" s="34">
        <f>ROUND(D24*F24,2)</f>
        <v>0</v>
      </c>
      <c r="J24" s="33">
        <f>ROUND(D24*G24,2)</f>
        <v>0</v>
      </c>
    </row>
    <row r="25" spans="1:11" s="2" customFormat="1" ht="30" customHeight="1" x14ac:dyDescent="0.25">
      <c r="A25" s="22" t="s">
        <v>69</v>
      </c>
      <c r="B25" s="23" t="s">
        <v>70</v>
      </c>
      <c r="C25" s="24"/>
      <c r="D25" s="25"/>
      <c r="E25" s="25"/>
      <c r="F25" s="25"/>
      <c r="G25" s="25"/>
      <c r="H25" s="27">
        <f>SUM(H26:H28)</f>
        <v>1068007.95</v>
      </c>
      <c r="I25" s="27">
        <f t="shared" ref="I25:J25" si="4">SUM(I26:I28)</f>
        <v>315773.37</v>
      </c>
      <c r="J25" s="27">
        <f t="shared" si="4"/>
        <v>554577.53</v>
      </c>
    </row>
    <row r="26" spans="1:11" s="2" customFormat="1" ht="30" customHeight="1" x14ac:dyDescent="0.25">
      <c r="A26" s="28" t="s">
        <v>71</v>
      </c>
      <c r="B26" s="35" t="s">
        <v>72</v>
      </c>
      <c r="C26" s="28" t="s">
        <v>52</v>
      </c>
      <c r="D26" s="36">
        <v>5861.77</v>
      </c>
      <c r="E26" s="36">
        <v>7.01</v>
      </c>
      <c r="F26" s="32">
        <f>'[1]Memória 02'!E17</f>
        <v>2.96</v>
      </c>
      <c r="G26" s="31">
        <f>F26+[1]BM.01!G26</f>
        <v>2.96</v>
      </c>
      <c r="H26" s="33">
        <f>ROUND(E26*D26,2)</f>
        <v>41091.01</v>
      </c>
      <c r="I26" s="34">
        <f t="shared" ref="I26:I28" si="5">ROUND(D26*F26,2)</f>
        <v>17350.84</v>
      </c>
      <c r="J26" s="33">
        <f t="shared" ref="J26:J28" si="6">ROUND(D26*G26,2)</f>
        <v>17350.84</v>
      </c>
    </row>
    <row r="27" spans="1:11" s="2" customFormat="1" ht="30" customHeight="1" x14ac:dyDescent="0.25">
      <c r="A27" s="28" t="s">
        <v>73</v>
      </c>
      <c r="B27" s="35" t="s">
        <v>74</v>
      </c>
      <c r="C27" s="28" t="s">
        <v>52</v>
      </c>
      <c r="D27" s="36">
        <v>8246</v>
      </c>
      <c r="E27" s="36">
        <v>117.19</v>
      </c>
      <c r="F27" s="32">
        <f>'[1]Memória 02'!E18</f>
        <v>29.56</v>
      </c>
      <c r="G27" s="31">
        <f>F27+[1]BM.01!G27</f>
        <v>58.519999999999996</v>
      </c>
      <c r="H27" s="33">
        <f>ROUND(E27*D27,2)</f>
        <v>966348.74</v>
      </c>
      <c r="I27" s="34">
        <f t="shared" si="5"/>
        <v>243751.76</v>
      </c>
      <c r="J27" s="33">
        <f t="shared" si="6"/>
        <v>482555.92</v>
      </c>
    </row>
    <row r="28" spans="1:11" s="2" customFormat="1" ht="30" customHeight="1" x14ac:dyDescent="0.25">
      <c r="A28" s="28" t="s">
        <v>95</v>
      </c>
      <c r="B28" s="35" t="s">
        <v>96</v>
      </c>
      <c r="C28" s="28" t="s">
        <v>52</v>
      </c>
      <c r="D28" s="36">
        <f>7000*1.15*0.99</f>
        <v>7969.4999999999991</v>
      </c>
      <c r="E28" s="36">
        <v>7.6</v>
      </c>
      <c r="F28" s="32">
        <f>'[1]Memória 02'!E19</f>
        <v>6.86</v>
      </c>
      <c r="G28" s="36">
        <f>F28</f>
        <v>6.86</v>
      </c>
      <c r="H28" s="33">
        <f>ROUND(E28*D28,2)</f>
        <v>60568.2</v>
      </c>
      <c r="I28" s="34">
        <f t="shared" si="5"/>
        <v>54670.77</v>
      </c>
      <c r="J28" s="33">
        <f t="shared" si="6"/>
        <v>54670.77</v>
      </c>
    </row>
    <row r="29" spans="1:11" s="2" customFormat="1" ht="30" customHeight="1" x14ac:dyDescent="0.25">
      <c r="A29" s="22" t="s">
        <v>75</v>
      </c>
      <c r="B29" s="23" t="s">
        <v>76</v>
      </c>
      <c r="C29" s="24"/>
      <c r="D29" s="25"/>
      <c r="E29" s="25"/>
      <c r="F29" s="25"/>
      <c r="G29" s="26"/>
      <c r="H29" s="27">
        <f>H30</f>
        <v>1709.78</v>
      </c>
      <c r="I29" s="27">
        <f>SUM(I30:I30)</f>
        <v>0</v>
      </c>
      <c r="J29" s="27">
        <f>SUM(J30:J30)</f>
        <v>0</v>
      </c>
    </row>
    <row r="30" spans="1:11" s="2" customFormat="1" ht="15" x14ac:dyDescent="0.25">
      <c r="A30" s="28" t="s">
        <v>77</v>
      </c>
      <c r="B30" s="35" t="s">
        <v>78</v>
      </c>
      <c r="C30" s="28" t="s">
        <v>47</v>
      </c>
      <c r="D30" s="36">
        <v>379.95</v>
      </c>
      <c r="E30" s="36">
        <v>4.5</v>
      </c>
      <c r="F30" s="32">
        <f>'[1]Memória 02'!E21</f>
        <v>0</v>
      </c>
      <c r="G30" s="36">
        <f>F30+[1]BM.01!G29</f>
        <v>0</v>
      </c>
      <c r="H30" s="33">
        <f>ROUND(E30*D30,2)</f>
        <v>1709.78</v>
      </c>
      <c r="I30" s="34">
        <f>ROUND(D30*F30,2)</f>
        <v>0</v>
      </c>
      <c r="J30" s="33">
        <f>ROUND(D30*G30,2)</f>
        <v>0</v>
      </c>
    </row>
    <row r="31" spans="1:11" ht="22.5" customHeight="1" x14ac:dyDescent="0.25">
      <c r="A31" s="70" t="s">
        <v>79</v>
      </c>
      <c r="B31" s="71"/>
      <c r="C31" s="71"/>
      <c r="D31" s="71"/>
      <c r="E31" s="71"/>
      <c r="F31" s="71"/>
      <c r="G31" s="72"/>
      <c r="H31" s="37">
        <f>H14+H21+H23+H25+H29+0.1</f>
        <v>1599479.7</v>
      </c>
      <c r="I31" s="37">
        <f>I14+I23+I25+I29+I21</f>
        <v>450594.77</v>
      </c>
      <c r="J31" s="37">
        <f>J14+J23+J25+J29+J21</f>
        <v>813013.70000000007</v>
      </c>
      <c r="K31" s="38">
        <f>J31/H31</f>
        <v>0.50829885493388882</v>
      </c>
    </row>
    <row r="32" spans="1:11" ht="8.25" customHeight="1" x14ac:dyDescent="0.25">
      <c r="A32" s="39"/>
      <c r="B32" s="39"/>
      <c r="C32" s="39"/>
      <c r="D32" s="39"/>
      <c r="E32" s="39"/>
      <c r="F32" s="40"/>
      <c r="G32" s="40"/>
      <c r="H32" s="41"/>
      <c r="I32" s="41"/>
      <c r="J32" s="41"/>
    </row>
    <row r="33" spans="1:10" ht="17.25" customHeight="1" x14ac:dyDescent="0.25">
      <c r="A33" s="73" t="s">
        <v>80</v>
      </c>
      <c r="B33" s="73"/>
      <c r="C33" s="73"/>
      <c r="D33" s="74">
        <f>I31</f>
        <v>450594.77</v>
      </c>
      <c r="E33" s="74"/>
      <c r="F33" s="75"/>
      <c r="G33" s="75"/>
      <c r="H33" s="75"/>
      <c r="I33" s="75"/>
      <c r="J33" s="75"/>
    </row>
    <row r="34" spans="1:10" ht="6" customHeight="1" x14ac:dyDescent="0.25">
      <c r="C34" s="42"/>
      <c r="E34" s="43"/>
      <c r="F34" s="43"/>
    </row>
    <row r="35" spans="1:10" x14ac:dyDescent="0.25">
      <c r="C35" s="44"/>
      <c r="D35" s="44"/>
      <c r="E35" s="44"/>
      <c r="G35" s="76"/>
      <c r="H35" s="76"/>
      <c r="I35" s="76"/>
      <c r="J35" s="76"/>
    </row>
    <row r="39" spans="1:10" x14ac:dyDescent="0.25">
      <c r="H39" s="47"/>
    </row>
    <row r="41" spans="1:10" x14ac:dyDescent="0.25">
      <c r="J41" s="48"/>
    </row>
  </sheetData>
  <mergeCells count="34">
    <mergeCell ref="A31:G31"/>
    <mergeCell ref="A33:C33"/>
    <mergeCell ref="D33:E33"/>
    <mergeCell ref="F33:J33"/>
    <mergeCell ref="G35:J35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3FEE-D09A-42F3-8CBD-57F3FB090A16}">
  <dimension ref="A1:H23"/>
  <sheetViews>
    <sheetView tabSelected="1" view="pageBreakPreview" zoomScale="90" zoomScaleNormal="100" zoomScaleSheetLayoutView="90" workbookViewId="0">
      <selection activeCell="A2" sqref="A2"/>
    </sheetView>
  </sheetViews>
  <sheetFormatPr defaultRowHeight="15" x14ac:dyDescent="0.25"/>
  <cols>
    <col min="2" max="2" width="51.7109375" style="69" customWidth="1"/>
    <col min="3" max="3" width="9.140625" style="61"/>
    <col min="4" max="4" width="105.5703125" customWidth="1"/>
    <col min="5" max="5" width="11.85546875" style="49" customWidth="1"/>
  </cols>
  <sheetData>
    <row r="1" spans="1:8" ht="26.25" x14ac:dyDescent="0.25">
      <c r="A1" s="113" t="s">
        <v>97</v>
      </c>
      <c r="B1" s="114"/>
      <c r="C1" s="114"/>
      <c r="D1" s="115"/>
    </row>
    <row r="3" spans="1:8" x14ac:dyDescent="0.25">
      <c r="A3" s="50" t="s">
        <v>29</v>
      </c>
      <c r="B3" s="51" t="s">
        <v>82</v>
      </c>
      <c r="C3" s="50" t="s">
        <v>83</v>
      </c>
      <c r="D3" s="50" t="s">
        <v>84</v>
      </c>
    </row>
    <row r="4" spans="1:8" x14ac:dyDescent="0.25">
      <c r="A4" s="52"/>
      <c r="B4" s="53"/>
      <c r="C4" s="54"/>
      <c r="D4" s="52"/>
    </row>
    <row r="5" spans="1:8" x14ac:dyDescent="0.25">
      <c r="A5" s="55" t="s">
        <v>43</v>
      </c>
      <c r="B5" s="56" t="s">
        <v>44</v>
      </c>
      <c r="C5" s="57"/>
      <c r="D5" s="58"/>
    </row>
    <row r="6" spans="1:8" x14ac:dyDescent="0.25">
      <c r="A6" s="59" t="s">
        <v>45</v>
      </c>
      <c r="B6" s="60" t="s">
        <v>46</v>
      </c>
      <c r="C6" s="30" t="s">
        <v>47</v>
      </c>
      <c r="D6" s="53" t="s">
        <v>85</v>
      </c>
      <c r="E6" s="49">
        <f>737.2*((7.4+8.5+7.7+7.7+8.1+8.55+8.3+8.3+7.95+7.8+8+7.4+6.45+6.45)/14)</f>
        <v>5718.5657142857153</v>
      </c>
      <c r="G6" s="61"/>
      <c r="H6">
        <f>(6.15+5.1+4.6+6.8)/4</f>
        <v>5.6624999999999996</v>
      </c>
    </row>
    <row r="7" spans="1:8" ht="75" x14ac:dyDescent="0.25">
      <c r="A7" s="59" t="s">
        <v>48</v>
      </c>
      <c r="B7" s="59" t="s">
        <v>49</v>
      </c>
      <c r="C7" s="28" t="s">
        <v>47</v>
      </c>
      <c r="D7" s="62" t="s">
        <v>98</v>
      </c>
      <c r="E7" s="49">
        <f>389.3+568.24+1917.27+470.05+572.83+2004.04</f>
        <v>5921.73</v>
      </c>
      <c r="F7">
        <f>286*( (11.7+ 7.5+ 6.1+ 5.4+ 4.75+ 6.8+ 6.8)/7)</f>
        <v>2004.0428571428565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59" t="s">
        <v>50</v>
      </c>
      <c r="B8" s="59" t="s">
        <v>51</v>
      </c>
      <c r="C8" s="28" t="s">
        <v>52</v>
      </c>
      <c r="D8" s="62" t="s">
        <v>99</v>
      </c>
      <c r="E8" s="49">
        <f>(E7)*0.04*2.4</f>
        <v>568.4860799999999</v>
      </c>
    </row>
    <row r="9" spans="1:8" x14ac:dyDescent="0.25">
      <c r="A9" s="59" t="s">
        <v>53</v>
      </c>
      <c r="B9" s="59" t="s">
        <v>54</v>
      </c>
      <c r="C9" s="28" t="s">
        <v>52</v>
      </c>
      <c r="D9" s="62"/>
      <c r="E9" s="49">
        <v>0</v>
      </c>
    </row>
    <row r="10" spans="1:8" ht="30" x14ac:dyDescent="0.25">
      <c r="A10" s="59" t="s">
        <v>55</v>
      </c>
      <c r="B10" s="59" t="s">
        <v>56</v>
      </c>
      <c r="C10" s="28" t="s">
        <v>57</v>
      </c>
      <c r="D10" s="52" t="s">
        <v>87</v>
      </c>
      <c r="E10" s="49">
        <f>E18*465</f>
        <v>13745.993414399998</v>
      </c>
    </row>
    <row r="11" spans="1:8" x14ac:dyDescent="0.25">
      <c r="A11" s="59" t="s">
        <v>58</v>
      </c>
      <c r="B11" s="59" t="s">
        <v>59</v>
      </c>
      <c r="C11" s="28" t="s">
        <v>57</v>
      </c>
      <c r="D11" s="53" t="s">
        <v>100</v>
      </c>
      <c r="E11" s="49">
        <f>(E17+E19)*465</f>
        <v>4567.761893571429</v>
      </c>
    </row>
    <row r="12" spans="1:8" x14ac:dyDescent="0.25">
      <c r="A12" s="55" t="s">
        <v>60</v>
      </c>
      <c r="B12" s="56" t="s">
        <v>61</v>
      </c>
      <c r="C12" s="63"/>
      <c r="D12" s="63"/>
    </row>
    <row r="13" spans="1:8" x14ac:dyDescent="0.25">
      <c r="A13" s="64" t="s">
        <v>62</v>
      </c>
      <c r="B13" s="65" t="s">
        <v>63</v>
      </c>
      <c r="C13" s="66" t="s">
        <v>64</v>
      </c>
      <c r="D13" s="53"/>
    </row>
    <row r="14" spans="1:8" x14ac:dyDescent="0.25">
      <c r="A14" s="55" t="s">
        <v>65</v>
      </c>
      <c r="B14" s="56" t="s">
        <v>66</v>
      </c>
      <c r="C14" s="63"/>
      <c r="D14" s="63"/>
    </row>
    <row r="15" spans="1:8" x14ac:dyDescent="0.25">
      <c r="A15" s="64" t="s">
        <v>67</v>
      </c>
      <c r="B15" s="65" t="s">
        <v>68</v>
      </c>
      <c r="C15" s="66" t="s">
        <v>47</v>
      </c>
      <c r="D15" s="53"/>
    </row>
    <row r="16" spans="1:8" x14ac:dyDescent="0.25">
      <c r="A16" s="55" t="s">
        <v>69</v>
      </c>
      <c r="B16" s="56" t="s">
        <v>70</v>
      </c>
      <c r="C16" s="58"/>
      <c r="D16" s="58"/>
    </row>
    <row r="17" spans="1:6" x14ac:dyDescent="0.25">
      <c r="A17" s="64" t="s">
        <v>71</v>
      </c>
      <c r="B17" s="65" t="s">
        <v>72</v>
      </c>
      <c r="C17" s="54" t="s">
        <v>52</v>
      </c>
      <c r="D17" s="52" t="s">
        <v>89</v>
      </c>
      <c r="E17" s="49">
        <f>E7*0.0005</f>
        <v>2.9608649999999996</v>
      </c>
      <c r="F17" s="67"/>
    </row>
    <row r="18" spans="1:6" x14ac:dyDescent="0.25">
      <c r="A18" s="64" t="s">
        <v>73</v>
      </c>
      <c r="B18" s="65" t="s">
        <v>74</v>
      </c>
      <c r="C18" s="54" t="s">
        <v>52</v>
      </c>
      <c r="D18" s="53" t="s">
        <v>90</v>
      </c>
      <c r="E18" s="49">
        <f>E8*0.052</f>
        <v>29.561276159999995</v>
      </c>
    </row>
    <row r="19" spans="1:6" x14ac:dyDescent="0.25">
      <c r="A19" s="64"/>
      <c r="B19" s="65" t="s">
        <v>96</v>
      </c>
      <c r="C19" s="54" t="s">
        <v>52</v>
      </c>
      <c r="D19" s="52" t="s">
        <v>101</v>
      </c>
      <c r="E19" s="49">
        <f>E6*0.0012</f>
        <v>6.8622788571428579</v>
      </c>
    </row>
    <row r="20" spans="1:6" x14ac:dyDescent="0.25">
      <c r="A20" s="68" t="s">
        <v>75</v>
      </c>
      <c r="B20" s="56" t="s">
        <v>76</v>
      </c>
      <c r="C20" s="58"/>
      <c r="D20" s="58"/>
      <c r="F20" s="49"/>
    </row>
    <row r="21" spans="1:6" x14ac:dyDescent="0.25">
      <c r="A21" s="64" t="s">
        <v>77</v>
      </c>
      <c r="B21" s="65" t="s">
        <v>78</v>
      </c>
      <c r="C21" s="66" t="s">
        <v>91</v>
      </c>
      <c r="D21" s="52"/>
    </row>
    <row r="23" spans="1:6" x14ac:dyDescent="0.25">
      <c r="A23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969B-FCB0-4CD6-8E40-E0795D10F262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BM.01</vt:lpstr>
      <vt:lpstr>Memória 01</vt:lpstr>
      <vt:lpstr>BM.02</vt:lpstr>
      <vt:lpstr>Memória 02</vt:lpstr>
      <vt:lpstr>Planilha1</vt:lpstr>
      <vt:lpstr>BM.01!Area_de_impressao</vt:lpstr>
      <vt:lpstr>BM.02!Area_de_impressao</vt:lpstr>
      <vt:lpstr>'Memória 01'!Area_de_impressao</vt:lpstr>
      <vt:lpstr>'Memória 02'!Area_de_impressao</vt:lpstr>
      <vt:lpstr>BM.01!Titulos_de_impressao</vt:lpstr>
      <vt:lpstr>BM.02!Titulos_de_impressao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2025-02-19T21:28:51Z</dcterms:created>
  <dcterms:modified xsi:type="dcterms:W3CDTF">2025-02-19T21:33:06Z</dcterms:modified>
</cp:coreProperties>
</file>