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IMMI\"/>
    </mc:Choice>
  </mc:AlternateContent>
  <xr:revisionPtr revIDLastSave="0" documentId="8_{3AEFB9C6-4C3C-4574-B254-221C167C5AF0}" xr6:coauthVersionLast="47" xr6:coauthVersionMax="47" xr10:uidLastSave="{00000000-0000-0000-0000-000000000000}"/>
  <bookViews>
    <workbookView xWindow="-120" yWindow="-120" windowWidth="20730" windowHeight="11040" tabRatio="908" activeTab="8" xr2:uid="{00000000-000D-0000-FFFF-FFFF00000000}"/>
  </bookViews>
  <sheets>
    <sheet name="BM.01" sheetId="24" r:id="rId1"/>
    <sheet name="Memória 01" sheetId="27" r:id="rId2"/>
    <sheet name="Reprogramação" sheetId="26" r:id="rId3"/>
    <sheet name="Memória reprogramação" sheetId="25" r:id="rId4"/>
    <sheet name="BM.02" sheetId="28" r:id="rId5"/>
    <sheet name="Memória 02" sheetId="29" r:id="rId6"/>
    <sheet name="BM.03" sheetId="30" r:id="rId7"/>
    <sheet name="Memória 03" sheetId="31" r:id="rId8"/>
    <sheet name="BM.04" sheetId="32" r:id="rId9"/>
    <sheet name="Memória 04" sheetId="33" r:id="rId10"/>
    <sheet name="BM.05 (2,4 t-m³)" sheetId="34" r:id="rId11"/>
    <sheet name="Memória 05 (2,4 t-m³)" sheetId="35" r:id="rId12"/>
    <sheet name="BM 05 (2,326 t-m³)" sheetId="37" r:id="rId13"/>
    <sheet name="Memória 05 (2,326 t-m³)" sheetId="38" r:id="rId14"/>
  </sheets>
  <definedNames>
    <definedName name="_xlnm.Print_Area" localSheetId="12">'BM 05 (2,326 t-m³)'!$A$1:$J$43</definedName>
    <definedName name="_xlnm.Print_Area" localSheetId="0">BM.01!$A$1:$J$34</definedName>
    <definedName name="_xlnm.Print_Area" localSheetId="4">BM.02!$A$1:$J$35</definedName>
    <definedName name="_xlnm.Print_Area" localSheetId="6">BM.03!$A$1:$J$35</definedName>
    <definedName name="_xlnm.Print_Area" localSheetId="8">BM.04!$A$1:$J$43</definedName>
    <definedName name="_xlnm.Print_Area" localSheetId="10">'BM.05 (2,4 t-m³)'!$A$1:$J$43</definedName>
    <definedName name="_xlnm.Print_Area" localSheetId="1">'Memória 01'!$A$1:$D$20</definedName>
    <definedName name="_xlnm.Print_Area" localSheetId="5">'Memória 02'!$A$1:$D$21</definedName>
    <definedName name="_xlnm.Print_Area" localSheetId="7">'Memória 03'!$A$1:$D$21</definedName>
    <definedName name="_xlnm.Print_Area" localSheetId="9">'Memória 04'!$A$1:$D$21</definedName>
    <definedName name="_xlnm.Print_Area" localSheetId="13">'Memória 05 (2,326 t-m³)'!$A$1:$D$21</definedName>
    <definedName name="_xlnm.Print_Area" localSheetId="11">'Memória 05 (2,4 t-m³)'!$A$1:$D$21</definedName>
    <definedName name="_xlnm.Print_Area" localSheetId="3">'Memória reprogramação'!$A$1:$D$21</definedName>
    <definedName name="_xlnm.Print_Area" localSheetId="2">Reprogramação!$A$1:$J$34</definedName>
    <definedName name="_xlnm.Print_Titles" localSheetId="12">'BM 05 (2,326 t-m³)'!$10:$13</definedName>
    <definedName name="_xlnm.Print_Titles" localSheetId="0">BM.01!$10:$13</definedName>
    <definedName name="_xlnm.Print_Titles" localSheetId="4">BM.02!$10:$13</definedName>
    <definedName name="_xlnm.Print_Titles" localSheetId="6">BM.03!$10:$13</definedName>
    <definedName name="_xlnm.Print_Titles" localSheetId="8">BM.04!$10:$13</definedName>
    <definedName name="_xlnm.Print_Titles" localSheetId="10">'BM.05 (2,4 t-m³)'!$10:$13</definedName>
    <definedName name="_xlnm.Print_Titles" localSheetId="2">Reprogramação!$8:$11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38" l="1"/>
  <c r="E18" i="38"/>
  <c r="F8" i="38"/>
  <c r="E8" i="38"/>
  <c r="G8" i="38"/>
  <c r="G15" i="34"/>
  <c r="F22" i="37"/>
  <c r="F24" i="37"/>
  <c r="G24" i="37" s="1"/>
  <c r="J24" i="37" s="1"/>
  <c r="F26" i="37"/>
  <c r="F28" i="37"/>
  <c r="G28" i="37" s="1"/>
  <c r="J28" i="37" s="1"/>
  <c r="F30" i="37"/>
  <c r="F16" i="37"/>
  <c r="F18" i="37"/>
  <c r="F20" i="37"/>
  <c r="F15" i="37"/>
  <c r="I15" i="37" s="1"/>
  <c r="G16" i="37"/>
  <c r="E19" i="38"/>
  <c r="E17" i="38"/>
  <c r="E11" i="38"/>
  <c r="I30" i="37"/>
  <c r="I29" i="37" s="1"/>
  <c r="H30" i="37"/>
  <c r="H29" i="37" s="1"/>
  <c r="G30" i="37"/>
  <c r="J30" i="37" s="1"/>
  <c r="D28" i="37"/>
  <c r="I28" i="37" s="1"/>
  <c r="H27" i="37"/>
  <c r="H26" i="37"/>
  <c r="G26" i="37"/>
  <c r="J26" i="37" s="1"/>
  <c r="I26" i="37"/>
  <c r="H24" i="37"/>
  <c r="H23" i="37" s="1"/>
  <c r="I22" i="37"/>
  <c r="I21" i="37" s="1"/>
  <c r="H22" i="37"/>
  <c r="H21" i="37" s="1"/>
  <c r="G22" i="37"/>
  <c r="J22" i="37" s="1"/>
  <c r="H20" i="37"/>
  <c r="I20" i="37"/>
  <c r="H19" i="37"/>
  <c r="H18" i="37"/>
  <c r="I18" i="37"/>
  <c r="H17" i="37"/>
  <c r="H16" i="37"/>
  <c r="I16" i="37"/>
  <c r="H15" i="37"/>
  <c r="H14" i="37" s="1"/>
  <c r="K30" i="34"/>
  <c r="K28" i="34"/>
  <c r="K27" i="34"/>
  <c r="K26" i="34"/>
  <c r="K24" i="34"/>
  <c r="K22" i="34"/>
  <c r="K16" i="34"/>
  <c r="K17" i="34"/>
  <c r="K18" i="34"/>
  <c r="K19" i="34"/>
  <c r="K20" i="34"/>
  <c r="E10" i="35"/>
  <c r="E8" i="35"/>
  <c r="F8" i="35"/>
  <c r="F19" i="37" l="1"/>
  <c r="G19" i="37" s="1"/>
  <c r="J19" i="37" s="1"/>
  <c r="K19" i="37" s="1"/>
  <c r="F27" i="37"/>
  <c r="F17" i="37"/>
  <c r="I24" i="37"/>
  <c r="I23" i="37" s="1"/>
  <c r="I19" i="37"/>
  <c r="G15" i="37"/>
  <c r="J15" i="37" s="1"/>
  <c r="K22" i="37"/>
  <c r="J21" i="37"/>
  <c r="J29" i="37"/>
  <c r="K30" i="37"/>
  <c r="K15" i="37"/>
  <c r="K24" i="37"/>
  <c r="J23" i="37"/>
  <c r="K26" i="37"/>
  <c r="G18" i="37"/>
  <c r="J18" i="37" s="1"/>
  <c r="K18" i="37" s="1"/>
  <c r="G20" i="37"/>
  <c r="J20" i="37" s="1"/>
  <c r="K20" i="37" s="1"/>
  <c r="H28" i="37"/>
  <c r="H25" i="37" s="1"/>
  <c r="H31" i="37" s="1"/>
  <c r="J16" i="37"/>
  <c r="K16" i="37" s="1"/>
  <c r="F16" i="34"/>
  <c r="G16" i="34" s="1"/>
  <c r="J16" i="34" s="1"/>
  <c r="F17" i="34"/>
  <c r="I17" i="34" s="1"/>
  <c r="G17" i="34"/>
  <c r="F18" i="34"/>
  <c r="G18" i="34" s="1"/>
  <c r="J18" i="34" s="1"/>
  <c r="F20" i="34"/>
  <c r="G20" i="34" s="1"/>
  <c r="J20" i="34" s="1"/>
  <c r="F22" i="34"/>
  <c r="G22" i="34" s="1"/>
  <c r="J22" i="34" s="1"/>
  <c r="J21" i="34" s="1"/>
  <c r="F24" i="34"/>
  <c r="G24" i="34" s="1"/>
  <c r="J24" i="34" s="1"/>
  <c r="J23" i="34" s="1"/>
  <c r="F26" i="34"/>
  <c r="G26" i="34" s="1"/>
  <c r="J26" i="34" s="1"/>
  <c r="F28" i="34"/>
  <c r="G28" i="34" s="1"/>
  <c r="F30" i="34"/>
  <c r="G30" i="34" s="1"/>
  <c r="J30" i="34" s="1"/>
  <c r="J29" i="34" s="1"/>
  <c r="F15" i="34"/>
  <c r="J15" i="34" s="1"/>
  <c r="K15" i="34" s="1"/>
  <c r="E19" i="35"/>
  <c r="H7" i="35"/>
  <c r="G7" i="35"/>
  <c r="F7" i="35"/>
  <c r="E17" i="35"/>
  <c r="E11" i="35" s="1"/>
  <c r="H6" i="35"/>
  <c r="E5" i="35"/>
  <c r="H30" i="34"/>
  <c r="H29" i="34" s="1"/>
  <c r="H28" i="34"/>
  <c r="D28" i="34"/>
  <c r="I28" i="34" s="1"/>
  <c r="H27" i="34"/>
  <c r="H26" i="34"/>
  <c r="H25" i="34"/>
  <c r="I24" i="34"/>
  <c r="I23" i="34" s="1"/>
  <c r="H24" i="34"/>
  <c r="H23" i="34"/>
  <c r="I22" i="34"/>
  <c r="H22" i="34"/>
  <c r="I21" i="34"/>
  <c r="H21" i="34"/>
  <c r="I20" i="34"/>
  <c r="H20" i="34"/>
  <c r="H19" i="34"/>
  <c r="I18" i="34"/>
  <c r="H18" i="34"/>
  <c r="H17" i="34"/>
  <c r="I16" i="34"/>
  <c r="H16" i="34"/>
  <c r="I15" i="34"/>
  <c r="H15" i="34"/>
  <c r="H14" i="34" s="1"/>
  <c r="H31" i="34" s="1"/>
  <c r="E13" i="33"/>
  <c r="F22" i="32"/>
  <c r="G22" i="32" s="1"/>
  <c r="J22" i="32" s="1"/>
  <c r="J21" i="32" s="1"/>
  <c r="E7" i="33"/>
  <c r="F16" i="32" s="1"/>
  <c r="G16" i="32" s="1"/>
  <c r="J16" i="32" s="1"/>
  <c r="E5" i="33"/>
  <c r="E8" i="33"/>
  <c r="E18" i="33" s="1"/>
  <c r="E10" i="33" s="1"/>
  <c r="F19" i="32" s="1"/>
  <c r="F7" i="33"/>
  <c r="G7" i="33"/>
  <c r="F18" i="32"/>
  <c r="G18" i="32" s="1"/>
  <c r="J18" i="32" s="1"/>
  <c r="F24" i="32"/>
  <c r="G24" i="32" s="1"/>
  <c r="J24" i="32" s="1"/>
  <c r="J23" i="32" s="1"/>
  <c r="F30" i="32"/>
  <c r="G30" i="32" s="1"/>
  <c r="J30" i="32" s="1"/>
  <c r="J29" i="32" s="1"/>
  <c r="F15" i="32"/>
  <c r="G15" i="32" s="1"/>
  <c r="E19" i="33"/>
  <c r="F28" i="32" s="1"/>
  <c r="G28" i="32" s="1"/>
  <c r="F8" i="33"/>
  <c r="H7" i="33"/>
  <c r="H6" i="33"/>
  <c r="H30" i="32"/>
  <c r="H29" i="32" s="1"/>
  <c r="D28" i="32"/>
  <c r="H28" i="32" s="1"/>
  <c r="H27" i="32"/>
  <c r="H26" i="32"/>
  <c r="I24" i="32"/>
  <c r="I23" i="32" s="1"/>
  <c r="H24" i="32"/>
  <c r="H23" i="32" s="1"/>
  <c r="H22" i="32"/>
  <c r="H21" i="32" s="1"/>
  <c r="H20" i="32"/>
  <c r="H19" i="32"/>
  <c r="I18" i="32"/>
  <c r="H18" i="32"/>
  <c r="H17" i="32"/>
  <c r="H16" i="32"/>
  <c r="H15" i="32"/>
  <c r="E8" i="31"/>
  <c r="F8" i="31"/>
  <c r="I17" i="37" l="1"/>
  <c r="I14" i="37" s="1"/>
  <c r="G17" i="37"/>
  <c r="J17" i="37" s="1"/>
  <c r="K17" i="37" s="1"/>
  <c r="I27" i="37"/>
  <c r="I25" i="37" s="1"/>
  <c r="I31" i="37" s="1"/>
  <c r="G27" i="37"/>
  <c r="J27" i="37" s="1"/>
  <c r="J14" i="37"/>
  <c r="K28" i="37"/>
  <c r="I26" i="34"/>
  <c r="I30" i="34"/>
  <c r="I29" i="34" s="1"/>
  <c r="E18" i="35"/>
  <c r="J17" i="34"/>
  <c r="J28" i="34"/>
  <c r="H14" i="32"/>
  <c r="H25" i="32"/>
  <c r="I15" i="32"/>
  <c r="G19" i="32"/>
  <c r="J19" i="32" s="1"/>
  <c r="I19" i="32"/>
  <c r="F27" i="32"/>
  <c r="F17" i="32"/>
  <c r="I16" i="32"/>
  <c r="I22" i="32"/>
  <c r="I21" i="32" s="1"/>
  <c r="J15" i="32"/>
  <c r="E17" i="33"/>
  <c r="J28" i="32"/>
  <c r="I28" i="32"/>
  <c r="I30" i="32"/>
  <c r="I29" i="32" s="1"/>
  <c r="E7" i="31"/>
  <c r="F7" i="31"/>
  <c r="G7" i="31"/>
  <c r="F16" i="30"/>
  <c r="G16" i="30" s="1"/>
  <c r="F18" i="30"/>
  <c r="G18" i="30"/>
  <c r="F22" i="30"/>
  <c r="G22" i="30"/>
  <c r="F24" i="30"/>
  <c r="G24" i="30"/>
  <c r="F28" i="30"/>
  <c r="G28" i="30"/>
  <c r="F30" i="30"/>
  <c r="G30" i="30"/>
  <c r="G15" i="30"/>
  <c r="J15" i="30" s="1"/>
  <c r="F15" i="30"/>
  <c r="I15" i="30" s="1"/>
  <c r="H7" i="31"/>
  <c r="E18" i="31"/>
  <c r="E10" i="31" s="1"/>
  <c r="F19" i="30" s="1"/>
  <c r="H6" i="31"/>
  <c r="E19" i="31"/>
  <c r="H30" i="30"/>
  <c r="J30" i="30"/>
  <c r="J29" i="30" s="1"/>
  <c r="I30" i="30"/>
  <c r="I29" i="30" s="1"/>
  <c r="H29" i="30"/>
  <c r="D28" i="30"/>
  <c r="J28" i="30" s="1"/>
  <c r="H27" i="30"/>
  <c r="H26" i="30"/>
  <c r="H24" i="30"/>
  <c r="H23" i="30" s="1"/>
  <c r="I24" i="30"/>
  <c r="I23" i="30" s="1"/>
  <c r="H22" i="30"/>
  <c r="H21" i="30" s="1"/>
  <c r="I22" i="30"/>
  <c r="I21" i="30" s="1"/>
  <c r="H20" i="30"/>
  <c r="H19" i="30"/>
  <c r="H18" i="30"/>
  <c r="J18" i="30"/>
  <c r="H17" i="30"/>
  <c r="H16" i="30"/>
  <c r="H15" i="30"/>
  <c r="H14" i="30"/>
  <c r="E11" i="29"/>
  <c r="E10" i="29"/>
  <c r="E18" i="29"/>
  <c r="E7" i="29"/>
  <c r="F7" i="29"/>
  <c r="E8" i="29"/>
  <c r="E6" i="29"/>
  <c r="E19" i="29" s="1"/>
  <c r="F28" i="28" s="1"/>
  <c r="G30" i="28"/>
  <c r="G24" i="28"/>
  <c r="G22" i="28"/>
  <c r="J22" i="28" s="1"/>
  <c r="J21" i="28" s="1"/>
  <c r="G18" i="28"/>
  <c r="F16" i="28"/>
  <c r="G16" i="28" s="1"/>
  <c r="J16" i="28" s="1"/>
  <c r="F18" i="28"/>
  <c r="F22" i="28"/>
  <c r="F24" i="28"/>
  <c r="F26" i="28"/>
  <c r="I26" i="28" s="1"/>
  <c r="F30" i="28"/>
  <c r="F15" i="28"/>
  <c r="I15" i="28" s="1"/>
  <c r="H31" i="28"/>
  <c r="H25" i="28"/>
  <c r="D28" i="28"/>
  <c r="H28" i="28"/>
  <c r="H7" i="29"/>
  <c r="E17" i="29"/>
  <c r="H6" i="29"/>
  <c r="H30" i="28"/>
  <c r="H29" i="28" s="1"/>
  <c r="H27" i="28"/>
  <c r="H26" i="28"/>
  <c r="I24" i="28"/>
  <c r="I23" i="28" s="1"/>
  <c r="H24" i="28"/>
  <c r="H23" i="28" s="1"/>
  <c r="J24" i="28"/>
  <c r="J23" i="28" s="1"/>
  <c r="H22" i="28"/>
  <c r="H21" i="28" s="1"/>
  <c r="H20" i="28"/>
  <c r="H19" i="28"/>
  <c r="I18" i="28"/>
  <c r="H18" i="28"/>
  <c r="J18" i="28"/>
  <c r="H17" i="28"/>
  <c r="H16" i="28"/>
  <c r="H15" i="28"/>
  <c r="E8" i="27"/>
  <c r="F16" i="24"/>
  <c r="F18" i="24"/>
  <c r="F20" i="24"/>
  <c r="F22" i="24"/>
  <c r="F24" i="24"/>
  <c r="F26" i="24"/>
  <c r="F29" i="24"/>
  <c r="F15" i="24"/>
  <c r="I29" i="26"/>
  <c r="J29" i="26"/>
  <c r="E13" i="25"/>
  <c r="E7" i="25"/>
  <c r="H30" i="24"/>
  <c r="F18" i="27"/>
  <c r="E17" i="27"/>
  <c r="E11" i="27" s="1"/>
  <c r="H7" i="27"/>
  <c r="H6" i="27"/>
  <c r="D26" i="26"/>
  <c r="D33" i="37" l="1"/>
  <c r="G8" i="37"/>
  <c r="J31" i="37"/>
  <c r="K31" i="37" s="1"/>
  <c r="K27" i="37"/>
  <c r="J25" i="37"/>
  <c r="F19" i="34"/>
  <c r="F27" i="34"/>
  <c r="H31" i="32"/>
  <c r="G17" i="32"/>
  <c r="J17" i="32" s="1"/>
  <c r="I17" i="32"/>
  <c r="E11" i="33"/>
  <c r="F20" i="32" s="1"/>
  <c r="F26" i="32"/>
  <c r="I27" i="32"/>
  <c r="G27" i="32"/>
  <c r="J27" i="32" s="1"/>
  <c r="F27" i="30"/>
  <c r="G27" i="30" s="1"/>
  <c r="J27" i="30" s="1"/>
  <c r="I19" i="30"/>
  <c r="G19" i="30"/>
  <c r="J19" i="30" s="1"/>
  <c r="I16" i="30"/>
  <c r="F17" i="30"/>
  <c r="I27" i="30"/>
  <c r="E17" i="31"/>
  <c r="J16" i="30"/>
  <c r="I18" i="30"/>
  <c r="J22" i="30"/>
  <c r="J21" i="30" s="1"/>
  <c r="J24" i="30"/>
  <c r="J23" i="30" s="1"/>
  <c r="H28" i="30"/>
  <c r="H25" i="30" s="1"/>
  <c r="H31" i="30" s="1"/>
  <c r="I28" i="30"/>
  <c r="F19" i="28"/>
  <c r="G26" i="28"/>
  <c r="J26" i="28" s="1"/>
  <c r="I19" i="28"/>
  <c r="G19" i="28"/>
  <c r="J19" i="28" s="1"/>
  <c r="I28" i="28"/>
  <c r="G28" i="28"/>
  <c r="F20" i="28"/>
  <c r="G20" i="28" s="1"/>
  <c r="J20" i="28" s="1"/>
  <c r="G15" i="28"/>
  <c r="F17" i="28"/>
  <c r="G17" i="28" s="1"/>
  <c r="J17" i="28" s="1"/>
  <c r="F27" i="28"/>
  <c r="J30" i="28"/>
  <c r="J29" i="28" s="1"/>
  <c r="J28" i="28"/>
  <c r="I22" i="28"/>
  <c r="I21" i="28" s="1"/>
  <c r="I16" i="28"/>
  <c r="I27" i="28"/>
  <c r="I30" i="28"/>
  <c r="I29" i="28" s="1"/>
  <c r="H14" i="28"/>
  <c r="J15" i="28"/>
  <c r="E18" i="27"/>
  <c r="F27" i="24" s="1"/>
  <c r="F17" i="24"/>
  <c r="E10" i="27"/>
  <c r="F19" i="24" s="1"/>
  <c r="E19" i="25"/>
  <c r="G26" i="26" s="1"/>
  <c r="G14" i="26"/>
  <c r="F14" i="26" s="1"/>
  <c r="G16" i="26"/>
  <c r="F16" i="26" s="1"/>
  <c r="I16" i="26" s="1"/>
  <c r="G20" i="26"/>
  <c r="F20" i="26" s="1"/>
  <c r="G22" i="26"/>
  <c r="F22" i="26" s="1"/>
  <c r="G28" i="26"/>
  <c r="F28" i="26" s="1"/>
  <c r="I28" i="26" s="1"/>
  <c r="I27" i="26" s="1"/>
  <c r="G13" i="26"/>
  <c r="F13" i="26" s="1"/>
  <c r="I13" i="26" s="1"/>
  <c r="H26" i="26"/>
  <c r="E15" i="25"/>
  <c r="J22" i="26" s="1"/>
  <c r="J21" i="26" s="1"/>
  <c r="E8" i="25"/>
  <c r="G15" i="26" s="1"/>
  <c r="H28" i="26"/>
  <c r="H27" i="26" s="1"/>
  <c r="H25" i="26"/>
  <c r="H24" i="26"/>
  <c r="H22" i="26"/>
  <c r="H21" i="26" s="1"/>
  <c r="H20" i="26"/>
  <c r="H19" i="26" s="1"/>
  <c r="H18" i="26"/>
  <c r="H17" i="26"/>
  <c r="H16" i="26"/>
  <c r="H15" i="26"/>
  <c r="H14" i="26"/>
  <c r="H13" i="26"/>
  <c r="K33" i="37" l="1"/>
  <c r="I19" i="34"/>
  <c r="I14" i="34" s="1"/>
  <c r="I31" i="34" s="1"/>
  <c r="G19" i="34"/>
  <c r="J19" i="34" s="1"/>
  <c r="J14" i="34" s="1"/>
  <c r="G27" i="34"/>
  <c r="J27" i="34" s="1"/>
  <c r="J25" i="34" s="1"/>
  <c r="I27" i="34"/>
  <c r="I25" i="34" s="1"/>
  <c r="G26" i="32"/>
  <c r="J26" i="32" s="1"/>
  <c r="I26" i="32"/>
  <c r="I25" i="32" s="1"/>
  <c r="G20" i="32"/>
  <c r="J20" i="32" s="1"/>
  <c r="J14" i="32" s="1"/>
  <c r="I20" i="32"/>
  <c r="I14" i="32" s="1"/>
  <c r="J25" i="32"/>
  <c r="E11" i="31"/>
  <c r="F20" i="30" s="1"/>
  <c r="F26" i="30"/>
  <c r="G17" i="30"/>
  <c r="J17" i="30" s="1"/>
  <c r="I17" i="30"/>
  <c r="I20" i="28"/>
  <c r="I17" i="28"/>
  <c r="I14" i="28" s="1"/>
  <c r="I25" i="28"/>
  <c r="G27" i="28"/>
  <c r="J27" i="28" s="1"/>
  <c r="J25" i="28" s="1"/>
  <c r="J14" i="28"/>
  <c r="F19" i="27"/>
  <c r="F20" i="27" s="1"/>
  <c r="J15" i="26"/>
  <c r="F15" i="26"/>
  <c r="I15" i="26" s="1"/>
  <c r="E18" i="25"/>
  <c r="J14" i="26"/>
  <c r="H23" i="26"/>
  <c r="F26" i="26"/>
  <c r="I26" i="26" s="1"/>
  <c r="J26" i="26"/>
  <c r="J20" i="26"/>
  <c r="J19" i="26" s="1"/>
  <c r="I20" i="26"/>
  <c r="I19" i="26" s="1"/>
  <c r="H12" i="26"/>
  <c r="H29" i="26" s="1"/>
  <c r="L28" i="26" s="1"/>
  <c r="I14" i="26"/>
  <c r="J28" i="26"/>
  <c r="J27" i="26" s="1"/>
  <c r="J16" i="26"/>
  <c r="I22" i="26"/>
  <c r="I21" i="26" s="1"/>
  <c r="J13" i="26"/>
  <c r="J31" i="34" l="1"/>
  <c r="G8" i="34"/>
  <c r="D33" i="34"/>
  <c r="I31" i="32"/>
  <c r="J31" i="32"/>
  <c r="K31" i="32" s="1"/>
  <c r="G20" i="30"/>
  <c r="J20" i="30" s="1"/>
  <c r="J14" i="30" s="1"/>
  <c r="I20" i="30"/>
  <c r="I14" i="30" s="1"/>
  <c r="I26" i="30"/>
  <c r="I25" i="30" s="1"/>
  <c r="G26" i="30"/>
  <c r="J26" i="30" s="1"/>
  <c r="J25" i="30" s="1"/>
  <c r="I31" i="28"/>
  <c r="G8" i="28" s="1"/>
  <c r="J31" i="28"/>
  <c r="K31" i="28" s="1"/>
  <c r="E10" i="25"/>
  <c r="G17" i="26" s="1"/>
  <c r="F17" i="26" s="1"/>
  <c r="G25" i="26"/>
  <c r="F25" i="26" s="1"/>
  <c r="K31" i="34" l="1"/>
  <c r="K33" i="34"/>
  <c r="D33" i="32"/>
  <c r="G8" i="32"/>
  <c r="I31" i="30"/>
  <c r="J31" i="30"/>
  <c r="K31" i="30" s="1"/>
  <c r="D33" i="28"/>
  <c r="I22" i="24"/>
  <c r="I21" i="24" s="1"/>
  <c r="E17" i="25"/>
  <c r="H22" i="24"/>
  <c r="H21" i="24" s="1"/>
  <c r="H19" i="24"/>
  <c r="H20" i="24"/>
  <c r="H7" i="25"/>
  <c r="H6" i="25"/>
  <c r="H29" i="24"/>
  <c r="H28" i="24" s="1"/>
  <c r="H27" i="24"/>
  <c r="H26" i="24"/>
  <c r="H24" i="24"/>
  <c r="H23" i="24" s="1"/>
  <c r="H16" i="24"/>
  <c r="H17" i="24"/>
  <c r="H18" i="24"/>
  <c r="H15" i="24"/>
  <c r="H14" i="24" s="1"/>
  <c r="G8" i="30" l="1"/>
  <c r="D33" i="30"/>
  <c r="E11" i="25"/>
  <c r="G18" i="26" s="1"/>
  <c r="F18" i="26" s="1"/>
  <c r="G24" i="26"/>
  <c r="F24" i="26" s="1"/>
  <c r="G26" i="24"/>
  <c r="G22" i="24"/>
  <c r="J22" i="24" s="1"/>
  <c r="J21" i="24" s="1"/>
  <c r="H25" i="24"/>
  <c r="F18" i="25"/>
  <c r="G18" i="24"/>
  <c r="G29" i="24"/>
  <c r="G24" i="24"/>
  <c r="G16" i="24"/>
  <c r="J24" i="26" l="1"/>
  <c r="J18" i="26"/>
  <c r="I20" i="24"/>
  <c r="I24" i="26"/>
  <c r="I18" i="26"/>
  <c r="I25" i="26"/>
  <c r="J25" i="26"/>
  <c r="F20" i="25"/>
  <c r="F21" i="25" s="1"/>
  <c r="G27" i="24"/>
  <c r="G17" i="24"/>
  <c r="G15" i="24"/>
  <c r="J15" i="24" s="1"/>
  <c r="I15" i="24"/>
  <c r="I24" i="24"/>
  <c r="I23" i="24" s="1"/>
  <c r="J24" i="24"/>
  <c r="J29" i="24"/>
  <c r="I29" i="24"/>
  <c r="I28" i="24" s="1"/>
  <c r="J23" i="26" l="1"/>
  <c r="I23" i="26"/>
  <c r="G20" i="24"/>
  <c r="J20" i="24" s="1"/>
  <c r="G19" i="24"/>
  <c r="J19" i="24" s="1"/>
  <c r="J16" i="24"/>
  <c r="I16" i="24"/>
  <c r="J28" i="24"/>
  <c r="J23" i="24"/>
  <c r="I19" i="24" l="1"/>
  <c r="I17" i="26"/>
  <c r="I12" i="26" s="1"/>
  <c r="J17" i="26"/>
  <c r="J12" i="26" s="1"/>
  <c r="J17" i="24"/>
  <c r="I17" i="24"/>
  <c r="I26" i="24"/>
  <c r="J26" i="24"/>
  <c r="I18" i="24" l="1"/>
  <c r="I14" i="24" s="1"/>
  <c r="J18" i="24"/>
  <c r="J14" i="24" s="1"/>
  <c r="I27" i="24"/>
  <c r="I25" i="24" s="1"/>
  <c r="J27" i="24"/>
  <c r="I30" i="24" l="1"/>
  <c r="D32" i="24" s="1"/>
  <c r="J25" i="24"/>
  <c r="J30" i="24" l="1"/>
  <c r="K30" i="24" s="1"/>
  <c r="G8" i="24"/>
</calcChain>
</file>

<file path=xl/sharedStrings.xml><?xml version="1.0" encoding="utf-8"?>
<sst xmlns="http://schemas.openxmlformats.org/spreadsheetml/2006/main" count="1075" uniqueCount="141">
  <si>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</si>
  <si>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</si>
  <si>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</si>
  <si>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</si>
  <si>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</si>
  <si>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</si>
  <si>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</si>
  <si>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</si>
  <si>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</si>
  <si>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</si>
  <si>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</si>
  <si>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</si>
  <si>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</si>
  <si>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</si>
  <si>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</si>
  <si>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</si>
  <si>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</si>
  <si>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</si>
  <si>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</si>
  <si>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</si>
  <si>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1.2</t>
  </si>
  <si>
    <t>1.3</t>
  </si>
  <si>
    <t>1.4</t>
  </si>
  <si>
    <t xml:space="preserve">IMPORTA O PRESENTE BOLETIM DE MEDIÇÃO O VALOR DE 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</si>
  <si>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</si>
  <si>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</si>
  <si>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</si>
  <si>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</si>
  <si>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</si>
  <si>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</si>
  <si>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</si>
  <si>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</si>
  <si>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</si>
  <si>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</si>
  <si>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</si>
  <si>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</si>
  <si>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</si>
  <si>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</si>
  <si>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</si>
  <si>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</si>
  <si>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</si>
  <si>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PAVIMENTAÇÃO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</si>
  <si>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</si>
  <si>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</si>
  <si>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</si>
  <si>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</si>
  <si>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</si>
  <si>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 xml:space="preserve">CIMENTO ASFALTICO CAP 50/70 EXCLUSIVE TRANSPORTE </t>
  </si>
  <si>
    <t>PLACA DA OBRA</t>
  </si>
  <si>
    <t>PLACA INDICATIVA DE OBRA</t>
  </si>
  <si>
    <t>DISCRIMINAÇÃO</t>
  </si>
  <si>
    <t xml:space="preserve">UN </t>
  </si>
  <si>
    <t>QUANT.</t>
  </si>
  <si>
    <t>m²</t>
  </si>
  <si>
    <t>t</t>
  </si>
  <si>
    <t>t.km</t>
  </si>
  <si>
    <t>,</t>
  </si>
  <si>
    <t>M²</t>
  </si>
  <si>
    <t>12 meses</t>
  </si>
  <si>
    <t>MEMORIA DE CALCULO - BM 01</t>
  </si>
  <si>
    <t>Período da medição</t>
  </si>
  <si>
    <t>PINTURA DE LIGACAO EXCLUSIVE LIGANTE</t>
  </si>
  <si>
    <t>CBUQ COM BRITA COMERCIAL EXCL LIGANTE</t>
  </si>
  <si>
    <t>EMULSAO ASFALTICA RR-2C EXCLUSIVE TRANSPORTE</t>
  </si>
  <si>
    <t xml:space="preserve">Área total de pintura de ligação x teor de ligante de 0,05% = </t>
  </si>
  <si>
    <t>Volume total de CBUQ em toneladas x 5,2% de taxa de aplicação =</t>
  </si>
  <si>
    <t>Total de RR-2C x distancia de 465 km</t>
  </si>
  <si>
    <t xml:space="preserve">Total de CAP 50/70 x distância de 465 km </t>
  </si>
  <si>
    <t>29/07/2024 a 09/10/2024</t>
  </si>
  <si>
    <t>IMMI SERVICOS E CONSTRUCOES LTDA</t>
  </si>
  <si>
    <t>Execução de pavimentação asfáltica em diversas ruas do município de Sousa</t>
  </si>
  <si>
    <t>412/2024</t>
  </si>
  <si>
    <t>FDE - 040/2024</t>
  </si>
  <si>
    <t>1.5</t>
  </si>
  <si>
    <t>IMPRIMACAO EXCLUSIVE LIGANTE</t>
  </si>
  <si>
    <t>BINDER EXCL LIGANTE</t>
  </si>
  <si>
    <t>1.1.1</t>
  </si>
  <si>
    <t>1.1.2</t>
  </si>
  <si>
    <t>1.1.3</t>
  </si>
  <si>
    <t>1.1.4</t>
  </si>
  <si>
    <t>1.1.5</t>
  </si>
  <si>
    <t>1.1.6</t>
  </si>
  <si>
    <t>DRENAGEM</t>
  </si>
  <si>
    <t>MEIO FIO DE CONCRETO TIPO MFC-05</t>
  </si>
  <si>
    <t>m</t>
  </si>
  <si>
    <t>1.2.1</t>
  </si>
  <si>
    <t>1.3.1</t>
  </si>
  <si>
    <t>1.4.1</t>
  </si>
  <si>
    <t>1.4.2</t>
  </si>
  <si>
    <t>1.5.1</t>
  </si>
  <si>
    <t>Rua do arame: 737,2 m x (7,4+8,5+7,7+7,7+8,1+8,55+8,3+8,3+7,95+7,8+8,0+7,4+6,45+6,45)/14 = 5.718,57 m²</t>
  </si>
  <si>
    <t>REPROGRAMAÇÃO DO ORÇAMENTO</t>
  </si>
  <si>
    <t>Data da reprogramação</t>
  </si>
  <si>
    <t>Alterada</t>
  </si>
  <si>
    <t>Após reprogramação</t>
  </si>
  <si>
    <t>MEMORIA DE CALCULO - REPROGRAMAÇÃO</t>
  </si>
  <si>
    <t>Rua do arame (LEITO NATURAL) - ÁREA TOTAL:  6331,86 m²</t>
  </si>
  <si>
    <t>(Área total x 0,04 m de altura) x densidade de 2,40 t/ m³</t>
  </si>
  <si>
    <t>ITEM SUPRIMIDO</t>
  </si>
  <si>
    <t>Volume total de CBUQ em toneladas x 6,0% de taxa de aplicação =</t>
  </si>
  <si>
    <t>Comprimento total das ruas: 2744,40 * 3 faixas * 0,10 m</t>
  </si>
  <si>
    <t>1,50 x 3,00</t>
  </si>
  <si>
    <t>1.4.3</t>
  </si>
  <si>
    <t xml:space="preserve">Área total de imprimação x teor de ligante de 0,12% = </t>
  </si>
  <si>
    <t>ASFALTO DILUIDO CM-30 EXCLUSIVE TRANSPORTE</t>
  </si>
  <si>
    <t>orçamento</t>
  </si>
  <si>
    <t>TOTAIS</t>
  </si>
  <si>
    <t>OBS: VALOR DO ASFALTO DILUIDO CM-30 FOI ADQUIRIDO PELA TABELA DO DER ABRIL-JULHO 2023, APLICADO O BDI DE 15% E DADO O DESCONTO DA PLANILHA VENCEDORA (99%)</t>
  </si>
  <si>
    <t>Total de RR-2C E CM-30 x distancia de 465 km</t>
  </si>
  <si>
    <t>Rua do arame (LEITO NATURAL) - COMPRIMENTO DE 703,03 m x 2</t>
  </si>
  <si>
    <t>RUAS EM PARALELO: 14012,78 m²</t>
  </si>
  <si>
    <t>(Área total x 0,04 m de altura) x densidade de 2,40 t/ m³, MAIS quebramola de 0,06 m de área de face *
(7,40+7,7+7,7+8,55+8,3+7,95+8,0) m de comprimento = 3,33 m³ * 2,40 t/m³ = 7,99 t</t>
  </si>
  <si>
    <t>BOLETIM DE MEDIÇÃO  - APÓS REPROGRAMAÇÃO</t>
  </si>
  <si>
    <t>02</t>
  </si>
  <si>
    <t>10/10/2024 a 27/11/2024</t>
  </si>
  <si>
    <r>
      <t xml:space="preserve">Bairro Andre Gadelha: Rua Aloisio Cartaxo: 68,70 m x (5,5+5,7+5,8)/3 = </t>
    </r>
    <r>
      <rPr>
        <b/>
        <sz val="11"/>
        <color theme="1"/>
        <rFont val="Calibri"/>
        <family val="2"/>
        <scheme val="minor"/>
      </rPr>
      <t>389,30 m²</t>
    </r>
    <r>
      <rPr>
        <sz val="11"/>
        <color theme="1"/>
        <rFont val="Calibri"/>
        <family val="2"/>
        <scheme val="minor"/>
      </rPr>
      <t xml:space="preserve">; Rua Severino Cardoso de Araújo: 63,90 m x (6,8+7,0)/2 + trapézio de (6,8+17)*10,7/2= </t>
    </r>
    <r>
      <rPr>
        <b/>
        <sz val="11"/>
        <color theme="1"/>
        <rFont val="Calibri"/>
        <family val="2"/>
        <scheme val="minor"/>
      </rPr>
      <t>568,24 m²</t>
    </r>
    <r>
      <rPr>
        <sz val="11"/>
        <color theme="1"/>
        <rFont val="Calibri"/>
        <family val="2"/>
        <scheme val="minor"/>
      </rPr>
      <t xml:space="preserve">; Rua Mestre Deocleciano Resende: 315,60 m x (7,0+ 5,9+ 6,0+ 5,7+ 5,6+ 5,4+ 6,2+ 6,8)/8 = </t>
    </r>
    <r>
      <rPr>
        <b/>
        <sz val="11"/>
        <color theme="1"/>
        <rFont val="Calibri"/>
        <family val="2"/>
        <scheme val="minor"/>
      </rPr>
      <t>1.917,27 m²</t>
    </r>
    <r>
      <rPr>
        <sz val="11"/>
        <color theme="1"/>
        <rFont val="Calibri"/>
        <family val="2"/>
        <scheme val="minor"/>
      </rPr>
      <t xml:space="preserve">; Bairro Alto do Cruzeiro: Rua Raimundo Nonato Marques: 71,40 m x (5,4+ 5,95+ 8,4)/3 = </t>
    </r>
    <r>
      <rPr>
        <b/>
        <sz val="11"/>
        <color theme="1"/>
        <rFont val="Calibri"/>
        <family val="2"/>
        <scheme val="minor"/>
      </rPr>
      <t>470,05 m²</t>
    </r>
    <r>
      <rPr>
        <sz val="11"/>
        <color theme="1"/>
        <rFont val="Calibri"/>
        <family val="2"/>
        <scheme val="minor"/>
      </rPr>
      <t xml:space="preserve">; Rua Inácio Ribeiro de Melo: 111,50 m x (4,6+5,75+5,1+5,1)/4 = </t>
    </r>
    <r>
      <rPr>
        <b/>
        <sz val="11"/>
        <color theme="1"/>
        <rFont val="Calibri"/>
        <family val="2"/>
        <scheme val="minor"/>
      </rPr>
      <t>572,83 m²</t>
    </r>
    <r>
      <rPr>
        <sz val="11"/>
        <color theme="1"/>
        <rFont val="Calibri"/>
        <family val="2"/>
        <scheme val="minor"/>
      </rPr>
      <t xml:space="preserve">; Rua Jose Francisco Nascimento: 286,00 m x (11,7+ 7,5+ 6,1+ 5,4+ 4,75+ 6,8+ 6,8)/7 = </t>
    </r>
    <r>
      <rPr>
        <b/>
        <sz val="11"/>
        <color theme="1"/>
        <rFont val="Calibri"/>
        <family val="2"/>
        <scheme val="minor"/>
      </rPr>
      <t>2.004,04 m²</t>
    </r>
    <r>
      <rPr>
        <sz val="11"/>
        <color theme="1"/>
        <rFont val="Calibri"/>
        <family val="2"/>
        <scheme val="minor"/>
      </rPr>
      <t>.</t>
    </r>
  </si>
  <si>
    <t>MEMORIA DE CALCULO - BM 02 (APÓS REPROGRAMAÇÃO)</t>
  </si>
  <si>
    <t>MEMORIA DE CALCULO - BM 03 (APÓS REPROGRAMAÇÃO)</t>
  </si>
  <si>
    <t>03</t>
  </si>
  <si>
    <t>28/11/2024 a 26/12/2024</t>
  </si>
  <si>
    <r>
      <t xml:space="preserve">Bairro Gato Preto: Rua Augusto M. Seixas: 160,00 m x(6,80+7,00+6,90)/3 = </t>
    </r>
    <r>
      <rPr>
        <b/>
        <sz val="11"/>
        <color theme="1"/>
        <rFont val="Calibri"/>
        <family val="2"/>
        <scheme val="minor"/>
      </rPr>
      <t xml:space="preserve">1.104,00 m². </t>
    </r>
    <r>
      <rPr>
        <sz val="11"/>
        <color theme="1"/>
        <rFont val="Calibri"/>
        <family val="2"/>
        <scheme val="minor"/>
      </rPr>
      <t xml:space="preserve">Rua Lúcia de Fatima de Sousa: 57,00 m x (5,80+5,90)/2 mais 52,80 m x (8,40+8,00)/2 = </t>
    </r>
    <r>
      <rPr>
        <b/>
        <sz val="11"/>
        <color theme="1"/>
        <rFont val="Calibri"/>
        <family val="2"/>
        <scheme val="minor"/>
      </rPr>
      <t xml:space="preserve">766,41 m². </t>
    </r>
    <r>
      <rPr>
        <sz val="11"/>
        <color theme="1"/>
        <rFont val="Calibri"/>
        <family val="2"/>
        <scheme val="minor"/>
      </rPr>
      <t xml:space="preserve">Rua Henrique Rodrigues da Silva: 64,40 m x (7,60+7,40)/2 mais trapézio de (31,9+40,4)*4,10/2 = </t>
    </r>
    <r>
      <rPr>
        <b/>
        <sz val="11"/>
        <color theme="1"/>
        <rFont val="Calibri"/>
        <family val="2"/>
        <scheme val="minor"/>
      </rPr>
      <t>631,21 m²</t>
    </r>
    <r>
      <rPr>
        <sz val="11"/>
        <color theme="1"/>
        <rFont val="Calibri"/>
        <family val="2"/>
        <scheme val="minor"/>
      </rPr>
      <t xml:space="preserve">. Rua J. Martins: 111,20 m x (7,5+6,75+7,0+7,0)/4 = </t>
    </r>
    <r>
      <rPr>
        <b/>
        <sz val="11"/>
        <color theme="1"/>
        <rFont val="Calibri"/>
        <family val="2"/>
        <scheme val="minor"/>
      </rPr>
      <t>785,35 m²</t>
    </r>
    <r>
      <rPr>
        <sz val="11"/>
        <color theme="1"/>
        <rFont val="Calibri"/>
        <family val="2"/>
        <scheme val="minor"/>
      </rPr>
      <t>.</t>
    </r>
  </si>
  <si>
    <t>(Área total x 0,04 m de altura) x densidade de 2,40 t/ m³. Mais lombadas: 0,06*(7,5+7,0+8,0+6,9) = 1,76 m³ x densidade de 2,4 t/m³</t>
  </si>
  <si>
    <t>04</t>
  </si>
  <si>
    <t>27/12/2024 a 17/03/2025</t>
  </si>
  <si>
    <t>(Área total x 0,04 m de altura) x densidade de 2,40 t/ m³. Mais lombada: 0,06*(5,80) = 0,35 m³ x densidade de 2,4 t/m³</t>
  </si>
  <si>
    <r>
      <t xml:space="preserve">Bairro Guanabara: Rua Carlos Gomes - 94,50 m x (5,7+5,8+6,0)/3 = 551,25 m² + trapézio de (4,0+4,30)*29,5/2 = 122,42 m², totalizando na rua carlos gomes: </t>
    </r>
    <r>
      <rPr>
        <b/>
        <sz val="11"/>
        <color theme="1"/>
        <rFont val="Calibri"/>
        <family val="2"/>
        <scheme val="minor"/>
      </rPr>
      <t xml:space="preserve">673,67 m². </t>
    </r>
    <r>
      <rPr>
        <sz val="11"/>
        <color theme="1"/>
        <rFont val="Calibri"/>
        <family val="2"/>
        <scheme val="minor"/>
      </rPr>
      <t xml:space="preserve">Rua Francisco G. Ribeiro: 34,80*6,40 = </t>
    </r>
    <r>
      <rPr>
        <b/>
        <sz val="11"/>
        <color theme="1"/>
        <rFont val="Calibri"/>
        <family val="2"/>
        <scheme val="minor"/>
      </rPr>
      <t xml:space="preserve">222,72 m². </t>
    </r>
    <r>
      <rPr>
        <sz val="11"/>
        <color theme="1"/>
        <rFont val="Calibri"/>
        <family val="2"/>
        <scheme val="minor"/>
      </rPr>
      <t xml:space="preserve">Rua Jose Ferreira Silva: 89,60 m x (7,20+7,40+11,0)/3 = 764,58 m² + trapézio de (6,10+6,0)*45/2 = 272,25 m² + triângulo de 11,90*13,05/2 = 77,65 m², totalizando na rua jose ferreira silva </t>
    </r>
    <r>
      <rPr>
        <b/>
        <sz val="11"/>
        <color theme="1"/>
        <rFont val="Calibri"/>
        <family val="2"/>
        <scheme val="minor"/>
      </rPr>
      <t>1.114,48 m²</t>
    </r>
    <r>
      <rPr>
        <sz val="11"/>
        <color theme="1"/>
        <rFont val="Calibri"/>
        <family val="2"/>
        <scheme val="minor"/>
      </rPr>
      <t xml:space="preserve">. Rua Telegrafista Antonio Amorim - 68 m x (5,7+6,3+10,5)/3 = </t>
    </r>
    <r>
      <rPr>
        <b/>
        <sz val="11"/>
        <color theme="1"/>
        <rFont val="Calibri"/>
        <family val="2"/>
        <scheme val="minor"/>
      </rPr>
      <t>510,00 m²</t>
    </r>
    <r>
      <rPr>
        <sz val="11"/>
        <color theme="1"/>
        <rFont val="Calibri"/>
        <family val="2"/>
        <scheme val="minor"/>
      </rPr>
      <t>.</t>
    </r>
  </si>
  <si>
    <t xml:space="preserve">Rua do Arame: 703,20*2 = </t>
  </si>
  <si>
    <t>_________________________________________________________</t>
  </si>
  <si>
    <t>___________________________________________________</t>
  </si>
  <si>
    <t>Engenheiro Fiscal Titular</t>
  </si>
  <si>
    <t>Engenheiro Fiscal Auxiliar</t>
  </si>
  <si>
    <t>Secretário de Planejamento</t>
  </si>
  <si>
    <t>________________________________________________</t>
  </si>
  <si>
    <t>MEMORIA DE CALCULO - BM 04 (APÓS REPROGRAMAÇÃO)</t>
  </si>
  <si>
    <t>(Área total das ruas dos BMs 02,03 e 04 x 0,01 m de altura) x densidade de 2,40 t/ m³ - tendo em vista que as ruas foram executadas com 5 cm e nos referidos BMs foram pagas com 4 cm (BM 02 - 5.921,73 m² + BM 03 - 3.286,97 + BM 04 - 2.520,87 m²)</t>
  </si>
  <si>
    <t>05</t>
  </si>
  <si>
    <t>Vol. Total de CBUQ</t>
  </si>
  <si>
    <t>CBUQ pago até o BM 04</t>
  </si>
  <si>
    <t>(Área total das ruas dos BMs 02,03 e 04 x 0,05 m de altura) x densidade de 2,326 t/ m³, mais área da rua do arame x 0,04 x 2,326 (BM 02 - 5.921,73 m² + BM 03 - 3.286,97 + BM 04 - 2.520,87 m²) menos o que foi pago até o bm 04</t>
  </si>
  <si>
    <t>MEMORIA DE CALCULO - BM 05 (APÓS REPROGRAMAÇÃO)</t>
  </si>
  <si>
    <t>18/03/2025 a 27/05/2025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</si>
</sst>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4" fontId="2" fillId="0" borderId="0" xfId="2" applyFont="1" applyAlignment="1">
      <alignment vertical="center"/>
    </xf>
    <xf numFmtId="167" fontId="5" fillId="0" borderId="0" xfId="3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10" fontId="0" fillId="0" borderId="0" xfId="0" applyNumberFormat="1"/>
    <xf numFmtId="167" fontId="2" fillId="0" borderId="0" xfId="0" applyNumberFormat="1" applyFont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2" xfId="0" applyNumberFormat="1" applyFont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43" fontId="9" fillId="0" borderId="14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5">
    <cellStyle name="20% - Ênfase1" xfId="4" builtinId="30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40"/>
  <sheetViews>
    <sheetView view="pageBreakPreview" topLeftCell="A4" zoomScale="90" zoomScaleNormal="100" zoomScaleSheetLayoutView="90" workbookViewId="0">
      <selection activeCell="J30" sqref="J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25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3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45574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BM.01!$I$30</f>
        <v>362418.93</v>
      </c>
      <c r="H8" s="123"/>
      <c r="I8" s="115" t="s">
        <v>68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612391.51</v>
      </c>
      <c r="I14" s="37">
        <f t="shared" ref="I14:J14" si="0">SUM(I15:I20)</f>
        <v>123614.77</v>
      </c>
      <c r="J14" s="37">
        <f t="shared" si="0"/>
        <v>123614.77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20303.310000000001</v>
      </c>
      <c r="F15" s="31">
        <f>'Memória 01'!E6</f>
        <v>0</v>
      </c>
      <c r="G15" s="30">
        <f>F15</f>
        <v>0</v>
      </c>
      <c r="H15" s="38">
        <f>ROUND(E15*D15,2)</f>
        <v>7918.29</v>
      </c>
      <c r="I15" s="39">
        <f>ROUND(D15*F15,2)</f>
        <v>0</v>
      </c>
      <c r="J15" s="38">
        <f>ROUND(D15*G15,2)</f>
        <v>0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20303.310000000001</v>
      </c>
      <c r="F16" s="31">
        <f>'Memória 01'!E7</f>
        <v>0</v>
      </c>
      <c r="G16" s="30">
        <f t="shared" ref="G16:G18" si="1">F16</f>
        <v>0</v>
      </c>
      <c r="H16" s="38">
        <f t="shared" ref="H16:H18" si="2">ROUND(E16*D16,2)</f>
        <v>7918.29</v>
      </c>
      <c r="I16" s="39">
        <f t="shared" ref="I16:I18" si="3">ROUND(D16*F16,2)</f>
        <v>0</v>
      </c>
      <c r="J16" s="38">
        <f t="shared" ref="J16:J18" si="4">ROUND(D16*G16,2)</f>
        <v>0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1461.84</v>
      </c>
      <c r="F17" s="31">
        <f>'Memória 01'!E8</f>
        <v>556.97</v>
      </c>
      <c r="G17" s="30">
        <f t="shared" si="1"/>
        <v>556.97</v>
      </c>
      <c r="H17" s="38">
        <f t="shared" si="2"/>
        <v>288391.8</v>
      </c>
      <c r="I17" s="39">
        <f t="shared" si="3"/>
        <v>109879.03999999999</v>
      </c>
      <c r="J17" s="38">
        <f t="shared" si="4"/>
        <v>109879.03999999999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1461.84</v>
      </c>
      <c r="F18" s="31">
        <f>'Memória 01'!E9</f>
        <v>0</v>
      </c>
      <c r="G18" s="30">
        <f t="shared" si="1"/>
        <v>0</v>
      </c>
      <c r="H18" s="38">
        <f t="shared" si="2"/>
        <v>258862.63</v>
      </c>
      <c r="I18" s="39">
        <f t="shared" si="3"/>
        <v>0</v>
      </c>
      <c r="J18" s="38">
        <f t="shared" si="4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43855.15</v>
      </c>
      <c r="F19" s="31">
        <f>'Memória 01'!E10</f>
        <v>13466.4</v>
      </c>
      <c r="G19" s="30">
        <f t="shared" ref="G19:G20" si="5">F19</f>
        <v>13466.4</v>
      </c>
      <c r="H19" s="38">
        <f t="shared" ref="H19:H20" si="6">ROUND(E19*D19,2)</f>
        <v>44732.25</v>
      </c>
      <c r="I19" s="39">
        <f t="shared" ref="I19:I20" si="7">ROUND(D19*F19,2)</f>
        <v>13735.73</v>
      </c>
      <c r="J19" s="38">
        <f t="shared" ref="J19:J20" si="8">ROUND(D19*G19,2)</f>
        <v>13735.73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5075.83</v>
      </c>
      <c r="F20" s="31">
        <f>'Memória 01'!E11</f>
        <v>0</v>
      </c>
      <c r="G20" s="30">
        <f t="shared" si="5"/>
        <v>0</v>
      </c>
      <c r="H20" s="38">
        <f t="shared" si="6"/>
        <v>4568.25</v>
      </c>
      <c r="I20" s="39">
        <f t="shared" si="7"/>
        <v>0</v>
      </c>
      <c r="J20" s="38">
        <f t="shared" si="8"/>
        <v>0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6"/>
      <c r="H21" s="37">
        <f>H22</f>
        <v>178056.67</v>
      </c>
      <c r="I21" s="37">
        <f>SUM(I22:I22)</f>
        <v>0</v>
      </c>
      <c r="J21" s="37">
        <f>SUM(J22:J22)</f>
        <v>0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5488.8</v>
      </c>
      <c r="F22" s="31">
        <f>'Memória 01'!E13</f>
        <v>0</v>
      </c>
      <c r="G22" s="30">
        <f>F22</f>
        <v>0</v>
      </c>
      <c r="H22" s="38">
        <f>ROUND(E22*D22,2)</f>
        <v>178056.67</v>
      </c>
      <c r="I22" s="39">
        <f>ROUND(D22*F22,2)</f>
        <v>0</v>
      </c>
      <c r="J22" s="38">
        <f>ROUND(D22*G22,2)</f>
        <v>0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6"/>
      <c r="H23" s="37">
        <f>H24</f>
        <v>24568.17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823.33</v>
      </c>
      <c r="F24" s="31">
        <f>'Memória 01'!E15</f>
        <v>0</v>
      </c>
      <c r="G24" s="30">
        <f>F24</f>
        <v>0</v>
      </c>
      <c r="H24" s="38">
        <f>ROUND(E24*D24,2)</f>
        <v>24568.17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6"/>
      <c r="H25" s="37">
        <f>SUM(H26:H27)</f>
        <v>782753.63</v>
      </c>
      <c r="I25" s="37">
        <f>SUM(I26:I27)</f>
        <v>238804.16</v>
      </c>
      <c r="J25" s="37">
        <f>SUM(J26:J27)</f>
        <v>238804.16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10.15</v>
      </c>
      <c r="F26" s="31">
        <f>'Memória 01'!E17</f>
        <v>0</v>
      </c>
      <c r="G26" s="24">
        <f>F26</f>
        <v>0</v>
      </c>
      <c r="H26" s="38">
        <f>ROUND(E26*D26,2)</f>
        <v>59496.97</v>
      </c>
      <c r="I26" s="39">
        <f t="shared" ref="I26:I27" si="9">ROUND(D26*F26,2)</f>
        <v>0</v>
      </c>
      <c r="J26" s="38">
        <f t="shared" ref="J26:J27" si="10">ROUND(D26*G26,2)</f>
        <v>0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87.71</v>
      </c>
      <c r="F27" s="31">
        <f>'Memória 01'!E18</f>
        <v>28.96</v>
      </c>
      <c r="G27" s="24">
        <f>F27</f>
        <v>28.96</v>
      </c>
      <c r="H27" s="38">
        <f>ROUND(E27*D27,2)</f>
        <v>723256.66</v>
      </c>
      <c r="I27" s="39">
        <f t="shared" si="9"/>
        <v>238804.16</v>
      </c>
      <c r="J27" s="38">
        <f t="shared" si="10"/>
        <v>238804.16</v>
      </c>
    </row>
    <row r="28" spans="1:11" s="5" customFormat="1" ht="30" customHeight="1" x14ac:dyDescent="0.25">
      <c r="A28" s="32" t="s">
        <v>73</v>
      </c>
      <c r="B28" s="33" t="s">
        <v>48</v>
      </c>
      <c r="C28" s="34"/>
      <c r="D28" s="35"/>
      <c r="E28" s="35"/>
      <c r="F28" s="35"/>
      <c r="G28" s="36"/>
      <c r="H28" s="37">
        <f>H29</f>
        <v>1709.78</v>
      </c>
      <c r="I28" s="37">
        <f>SUM(I29:I29)</f>
        <v>0</v>
      </c>
      <c r="J28" s="37">
        <f>SUM(J29:J29)</f>
        <v>0</v>
      </c>
    </row>
    <row r="29" spans="1:11" s="5" customFormat="1" ht="15" x14ac:dyDescent="0.25">
      <c r="A29" s="23" t="s">
        <v>89</v>
      </c>
      <c r="B29" s="25" t="s">
        <v>49</v>
      </c>
      <c r="C29" s="23" t="s">
        <v>53</v>
      </c>
      <c r="D29" s="24">
        <v>379.95</v>
      </c>
      <c r="E29" s="24">
        <v>4.5</v>
      </c>
      <c r="F29" s="31">
        <f>'Memória 01'!E20</f>
        <v>0</v>
      </c>
      <c r="G29" s="24">
        <f>F29</f>
        <v>0</v>
      </c>
      <c r="H29" s="38">
        <f>ROUND(E29*D29,2)</f>
        <v>1709.78</v>
      </c>
      <c r="I29" s="39">
        <f>ROUND(D29*F29,2)</f>
        <v>0</v>
      </c>
      <c r="J29" s="38">
        <f>ROUND(D29*G29,2)</f>
        <v>0</v>
      </c>
    </row>
    <row r="30" spans="1:11" ht="22.5" customHeight="1" x14ac:dyDescent="0.25">
      <c r="A30" s="102" t="s">
        <v>56</v>
      </c>
      <c r="B30" s="103"/>
      <c r="C30" s="103"/>
      <c r="D30" s="103"/>
      <c r="E30" s="103"/>
      <c r="F30" s="103"/>
      <c r="G30" s="104"/>
      <c r="H30" s="40">
        <f>H14+H21+H23+H25+H28-0.06</f>
        <v>1599479.7</v>
      </c>
      <c r="I30" s="40">
        <f>I14+I23+I25+I28+I21</f>
        <v>362418.93</v>
      </c>
      <c r="J30" s="40">
        <f>J14+J23+J25+J28+J21</f>
        <v>362418.93</v>
      </c>
      <c r="K30" s="67">
        <f>J30/H30</f>
        <v>0.2266</v>
      </c>
    </row>
    <row r="31" spans="1:11" ht="8.25" customHeight="1" x14ac:dyDescent="0.25">
      <c r="A31" s="14"/>
      <c r="B31" s="14"/>
      <c r="C31" s="14"/>
      <c r="D31" s="14"/>
      <c r="E31" s="14"/>
      <c r="F31" s="15"/>
      <c r="G31" s="15"/>
      <c r="H31" s="16"/>
      <c r="I31" s="16"/>
      <c r="J31" s="16"/>
    </row>
    <row r="32" spans="1:11" ht="17.25" customHeight="1" x14ac:dyDescent="0.25">
      <c r="A32" s="105" t="s">
        <v>23</v>
      </c>
      <c r="B32" s="105"/>
      <c r="C32" s="105"/>
      <c r="D32" s="106">
        <f>I30</f>
        <v>362418.93</v>
      </c>
      <c r="E32" s="106"/>
      <c r="F32" s="107"/>
      <c r="G32" s="107"/>
      <c r="H32" s="107"/>
      <c r="I32" s="107"/>
      <c r="J32" s="107"/>
    </row>
    <row r="33" spans="3:10" ht="6" customHeight="1" x14ac:dyDescent="0.25">
      <c r="C33" s="18"/>
      <c r="E33" s="19"/>
      <c r="F33" s="19"/>
    </row>
    <row r="34" spans="3:10" x14ac:dyDescent="0.25">
      <c r="C34" s="20"/>
      <c r="D34" s="20"/>
      <c r="E34" s="20"/>
      <c r="G34" s="108"/>
      <c r="H34" s="108"/>
      <c r="I34" s="108"/>
      <c r="J34" s="108"/>
    </row>
    <row r="38" spans="3:10" x14ac:dyDescent="0.25">
      <c r="H38" s="22"/>
    </row>
    <row r="40" spans="3:10" x14ac:dyDescent="0.25">
      <c r="J40" s="43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30:G30"/>
    <mergeCell ref="A32:C32"/>
    <mergeCell ref="D32:E32"/>
    <mergeCell ref="F32:J32"/>
    <mergeCell ref="G34:J34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DFA9-36AA-4A4E-A822-C3308594B526}">
  <dimension ref="A1:H23"/>
  <sheetViews>
    <sheetView view="pageBreakPreview" zoomScale="90" zoomScaleNormal="100" zoomScaleSheetLayoutView="90" workbookViewId="0">
      <selection activeCell="E8" sqref="E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133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  <c r="E5" s="48">
        <f>764.58+272.25+77.65</f>
        <v>1114.48</v>
      </c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  <c r="H6">
        <f>(6.15+5.1+4.6+6.8)/4</f>
        <v>5.6624999999999996</v>
      </c>
    </row>
    <row r="7" spans="1:8" ht="75" x14ac:dyDescent="0.25">
      <c r="A7" s="68" t="s">
        <v>77</v>
      </c>
      <c r="B7" s="68" t="s">
        <v>61</v>
      </c>
      <c r="C7" s="23" t="s">
        <v>53</v>
      </c>
      <c r="D7" s="60" t="s">
        <v>125</v>
      </c>
      <c r="E7" s="48">
        <f>673.67+222.72+1114.48+510</f>
        <v>2520.87</v>
      </c>
      <c r="F7">
        <f>68*((5.7+6.3+10.5)/3)</f>
        <v>510</v>
      </c>
      <c r="G7">
        <f>(6.1+6)*45/2</f>
        <v>272.25</v>
      </c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124</v>
      </c>
      <c r="E8" s="48">
        <f>(E7)*0.04*2.4+0.35*2.4</f>
        <v>242.84</v>
      </c>
      <c r="F8">
        <f>0.06*(7.5+7+8+6.9)</f>
        <v>1.764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5872.95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585.9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126</v>
      </c>
      <c r="E13" s="48">
        <f>703.2*2</f>
        <v>1406.4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1.26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12.63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528F-0909-4329-AC85-83F4101372F2}">
  <sheetPr codeName="Plan22"/>
  <dimension ref="A1:K45"/>
  <sheetViews>
    <sheetView view="pageBreakPreview" topLeftCell="A4" zoomScale="90" zoomScaleNormal="100" zoomScaleSheetLayoutView="90" workbookViewId="0">
      <selection activeCell="G15" sqref="G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78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  <c r="K1" s="77"/>
    </row>
    <row r="2" spans="1:11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135</v>
      </c>
      <c r="K2" s="77"/>
    </row>
    <row r="3" spans="1:11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  <c r="K3" s="77"/>
    </row>
    <row r="4" spans="1:11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  <c r="K4" s="77"/>
    </row>
    <row r="5" spans="1:11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  <c r="K5" s="77"/>
    </row>
    <row r="6" spans="1:11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45733</v>
      </c>
      <c r="J6" s="116"/>
      <c r="K6" s="77"/>
    </row>
    <row r="7" spans="1:11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  <c r="K7" s="77"/>
    </row>
    <row r="8" spans="1:11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'BM.05 (2,4 t-m³)'!$I$31</f>
        <v>183201.48</v>
      </c>
      <c r="H8" s="123"/>
      <c r="I8" s="115" t="s">
        <v>123</v>
      </c>
      <c r="J8" s="116"/>
      <c r="K8" s="77"/>
    </row>
    <row r="9" spans="1:11" s="5" customFormat="1" ht="7.5" customHeight="1" x14ac:dyDescent="0.25">
      <c r="A9" s="4"/>
      <c r="E9" s="1"/>
      <c r="J9" s="2"/>
      <c r="K9" s="77"/>
    </row>
    <row r="10" spans="1:11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  <c r="K10" s="77"/>
    </row>
    <row r="11" spans="1:11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  <c r="K11" s="77"/>
    </row>
    <row r="12" spans="1:11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  <c r="K12" s="77"/>
    </row>
    <row r="13" spans="1:11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  <c r="K13" s="77"/>
    </row>
    <row r="14" spans="1:11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62480.04</v>
      </c>
      <c r="J14" s="37">
        <f t="shared" si="0"/>
        <v>449264.64000000001</v>
      </c>
      <c r="K14" s="77"/>
    </row>
    <row r="15" spans="1:11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05 (2,4 t-m³)'!E6</f>
        <v>0</v>
      </c>
      <c r="G15" s="30">
        <f>F15+BM.04!G15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  <c r="K15" s="77">
        <f>J15/H15</f>
        <v>0.90310000000000001</v>
      </c>
    </row>
    <row r="16" spans="1:11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05 (2,4 t-m³)'!E7</f>
        <v>0</v>
      </c>
      <c r="G16" s="30">
        <f>F16+BM.04!G16</f>
        <v>11729.57</v>
      </c>
      <c r="H16" s="38">
        <f t="shared" ref="H16:H20" si="1">ROUND(E16*D16,2)</f>
        <v>5464.98</v>
      </c>
      <c r="I16" s="39">
        <f t="shared" ref="I16:I20" si="2">ROUND(D16*F16,2)</f>
        <v>0</v>
      </c>
      <c r="J16" s="38">
        <f t="shared" ref="J16:J20" si="3">ROUND(D16*G16,2)</f>
        <v>4574.53</v>
      </c>
      <c r="K16" s="77">
        <f t="shared" ref="K16:K30" si="4">J16/H16</f>
        <v>0.83709999999999996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05 (2,4 t-m³)'!E8</f>
        <v>281.51</v>
      </c>
      <c r="G17" s="30">
        <f>F17+BM.04!G17</f>
        <v>1969.58</v>
      </c>
      <c r="H17" s="38">
        <f t="shared" si="1"/>
        <v>385305.59999999998</v>
      </c>
      <c r="I17" s="39">
        <f t="shared" si="2"/>
        <v>55536.29</v>
      </c>
      <c r="J17" s="38">
        <f t="shared" si="3"/>
        <v>388558.74</v>
      </c>
      <c r="K17" s="77">
        <f t="shared" si="4"/>
        <v>1.0084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05 (2,4 t-m³)'!E9</f>
        <v>0</v>
      </c>
      <c r="G18" s="30">
        <f>F18+BM.04!G18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  <c r="K18" s="77" t="e">
        <f t="shared" si="4"/>
        <v>#DIV/0!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05 (2,4 t-m³)'!E10</f>
        <v>6807.6</v>
      </c>
      <c r="G19" s="30">
        <f>F19+BM.04!G19</f>
        <v>47625.3</v>
      </c>
      <c r="H19" s="38">
        <f t="shared" si="1"/>
        <v>59766.9</v>
      </c>
      <c r="I19" s="39">
        <f t="shared" si="2"/>
        <v>6943.75</v>
      </c>
      <c r="J19" s="38">
        <f t="shared" si="3"/>
        <v>48577.81</v>
      </c>
      <c r="K19" s="77">
        <f t="shared" si="4"/>
        <v>0.81279999999999997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05 (2,4 t-m³)'!E11</f>
        <v>0</v>
      </c>
      <c r="G20" s="30">
        <f>F20+BM.04!G20</f>
        <v>5914.8</v>
      </c>
      <c r="H20" s="38">
        <f t="shared" si="1"/>
        <v>6574.5</v>
      </c>
      <c r="I20" s="39">
        <f t="shared" si="2"/>
        <v>0</v>
      </c>
      <c r="J20" s="38">
        <f t="shared" si="3"/>
        <v>5323.32</v>
      </c>
      <c r="K20" s="77">
        <f t="shared" si="4"/>
        <v>0.80969999999999998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0</v>
      </c>
      <c r="J21" s="37">
        <f>SUM(J22:J22)</f>
        <v>45623.62</v>
      </c>
      <c r="K21" s="77"/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05 (2,4 t-m³)'!E13</f>
        <v>0</v>
      </c>
      <c r="G22" s="30">
        <f>F22+BM.04!G22</f>
        <v>1406.4</v>
      </c>
      <c r="H22" s="38">
        <f>ROUND(E22*D22,2)</f>
        <v>45612.59</v>
      </c>
      <c r="I22" s="39">
        <f>ROUND(D22*F22,2)</f>
        <v>0</v>
      </c>
      <c r="J22" s="38">
        <f>ROUND(D22*G22,2)</f>
        <v>45623.62</v>
      </c>
      <c r="K22" s="77">
        <f t="shared" si="4"/>
        <v>1.0002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  <c r="K23" s="77"/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05 (2,4 t-m³)'!E15</f>
        <v>0</v>
      </c>
      <c r="G24" s="30">
        <f>F24+BM.04!G24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  <c r="K24" s="77">
        <f t="shared" si="4"/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5">SUM(I26:I28)</f>
        <v>120721.44</v>
      </c>
      <c r="J25" s="37">
        <f t="shared" si="5"/>
        <v>933576.06</v>
      </c>
      <c r="K25" s="77"/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05 (2,4 t-m³)'!E17</f>
        <v>0</v>
      </c>
      <c r="G26" s="30">
        <f>F26+BM.04!G26</f>
        <v>5.86</v>
      </c>
      <c r="H26" s="38">
        <f>ROUND(E26*D26,2)</f>
        <v>41091.01</v>
      </c>
      <c r="I26" s="39">
        <f t="shared" ref="I26:I28" si="6">ROUND(D26*F26,2)</f>
        <v>0</v>
      </c>
      <c r="J26" s="38">
        <f t="shared" ref="J26:J28" si="7">ROUND(D26*G26,2)</f>
        <v>34349.97</v>
      </c>
      <c r="K26" s="77">
        <f t="shared" si="4"/>
        <v>0.83589999999999998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05 (2,4 t-m³)'!E18</f>
        <v>14.64</v>
      </c>
      <c r="G27" s="30">
        <f>F27+BM.04!G27</f>
        <v>102.42</v>
      </c>
      <c r="H27" s="38">
        <f>ROUND(E27*D27,2)</f>
        <v>966348.74</v>
      </c>
      <c r="I27" s="39">
        <f t="shared" si="6"/>
        <v>120721.44</v>
      </c>
      <c r="J27" s="38">
        <f t="shared" si="7"/>
        <v>844555.32</v>
      </c>
      <c r="K27" s="77">
        <f t="shared" si="4"/>
        <v>0.874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05 (2,4 t-m³)'!E19</f>
        <v>0</v>
      </c>
      <c r="G28" s="30">
        <f>F28+BM.04!G28</f>
        <v>6.86</v>
      </c>
      <c r="H28" s="38">
        <f>ROUND(E28*D28,2)</f>
        <v>60568.2</v>
      </c>
      <c r="I28" s="39">
        <f t="shared" si="6"/>
        <v>0</v>
      </c>
      <c r="J28" s="38">
        <f t="shared" si="7"/>
        <v>54670.77</v>
      </c>
      <c r="K28" s="77">
        <f t="shared" si="4"/>
        <v>0.90259999999999996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  <c r="K29" s="77"/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05 (2,4 t-m³)'!E21</f>
        <v>0</v>
      </c>
      <c r="G30" s="30">
        <f>F30+BM.04!G30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  <c r="K30" s="77">
        <f t="shared" si="4"/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183201.48</v>
      </c>
      <c r="J31" s="40">
        <f>J14+J23+J25+J29+J21</f>
        <v>1428464.32</v>
      </c>
      <c r="K31" s="67">
        <f>J31/H31</f>
        <v>0.8931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1" ht="17.25" customHeight="1" x14ac:dyDescent="0.25">
      <c r="A33" s="105" t="s">
        <v>23</v>
      </c>
      <c r="B33" s="105"/>
      <c r="C33" s="105"/>
      <c r="D33" s="106">
        <f>I31</f>
        <v>183201.48</v>
      </c>
      <c r="E33" s="106"/>
      <c r="F33" s="107"/>
      <c r="G33" s="107"/>
      <c r="H33" s="107"/>
      <c r="I33" s="107"/>
      <c r="J33" s="107"/>
      <c r="K33" s="80">
        <f>H31-J31</f>
        <v>171015.38</v>
      </c>
    </row>
    <row r="34" spans="1:11" ht="17.25" customHeight="1" x14ac:dyDescent="0.25">
      <c r="A34" s="73"/>
      <c r="B34" s="73"/>
      <c r="C34" s="73"/>
      <c r="D34" s="74"/>
      <c r="E34" s="74"/>
      <c r="F34" s="75"/>
      <c r="G34" s="75"/>
      <c r="H34" s="75"/>
      <c r="I34" s="75"/>
      <c r="J34" s="75"/>
    </row>
    <row r="35" spans="1:11" ht="17.25" customHeight="1" x14ac:dyDescent="0.25">
      <c r="A35" s="73"/>
      <c r="B35" s="73"/>
      <c r="C35" s="73"/>
      <c r="D35" s="74"/>
      <c r="E35" s="74"/>
      <c r="F35" s="75"/>
      <c r="G35" s="75"/>
      <c r="H35" s="75"/>
      <c r="I35" s="75"/>
      <c r="J35" s="75"/>
    </row>
    <row r="36" spans="1:11" ht="17.25" customHeight="1" x14ac:dyDescent="0.25">
      <c r="A36" s="73"/>
      <c r="B36" s="73"/>
      <c r="C36" s="73"/>
      <c r="D36" s="74"/>
      <c r="E36" s="74"/>
      <c r="F36" s="75"/>
      <c r="G36" s="75"/>
      <c r="H36" s="75"/>
      <c r="I36" s="75"/>
      <c r="J36" s="75"/>
    </row>
    <row r="37" spans="1:11" ht="6" customHeight="1" x14ac:dyDescent="0.25">
      <c r="C37" s="18"/>
      <c r="E37" s="19"/>
      <c r="F37" s="19"/>
    </row>
    <row r="38" spans="1:11" ht="6" customHeight="1" x14ac:dyDescent="0.25">
      <c r="C38" s="18"/>
      <c r="E38" s="19"/>
      <c r="F38" s="19"/>
    </row>
    <row r="39" spans="1:11" x14ac:dyDescent="0.25">
      <c r="C39" s="20"/>
      <c r="D39" s="20"/>
      <c r="E39" s="20"/>
      <c r="G39" s="108"/>
      <c r="H39" s="108"/>
      <c r="I39" s="108"/>
      <c r="J39" s="108"/>
    </row>
    <row r="40" spans="1:11" ht="15" x14ac:dyDescent="0.25">
      <c r="B40" s="59" t="s">
        <v>127</v>
      </c>
      <c r="D40" t="s">
        <v>128</v>
      </c>
      <c r="E40"/>
      <c r="F40"/>
      <c r="G40"/>
      <c r="H40" s="138" t="s">
        <v>132</v>
      </c>
      <c r="I40" s="138"/>
      <c r="J40" s="138"/>
      <c r="K40" s="79"/>
    </row>
    <row r="41" spans="1:11" ht="15" x14ac:dyDescent="0.25">
      <c r="B41" s="59" t="s">
        <v>129</v>
      </c>
      <c r="C41" s="138" t="s">
        <v>130</v>
      </c>
      <c r="D41" s="138"/>
      <c r="E41" s="138"/>
      <c r="F41" s="138"/>
      <c r="G41" s="138"/>
      <c r="H41" s="138" t="s">
        <v>131</v>
      </c>
      <c r="I41" s="138"/>
      <c r="J41" s="138"/>
      <c r="K41" s="79"/>
    </row>
    <row r="43" spans="1:11" x14ac:dyDescent="0.25">
      <c r="H43" s="22"/>
    </row>
    <row r="45" spans="1:11" x14ac:dyDescent="0.25">
      <c r="J45" s="43"/>
    </row>
  </sheetData>
  <mergeCells count="37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C41:G41"/>
    <mergeCell ref="H41:J41"/>
    <mergeCell ref="A31:G31"/>
    <mergeCell ref="A33:C33"/>
    <mergeCell ref="D33:E33"/>
    <mergeCell ref="F33:J33"/>
    <mergeCell ref="G39:J39"/>
    <mergeCell ref="H40:J4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8F92-BA90-4CED-8C7C-02BC7949BF24}">
  <dimension ref="A1:H23"/>
  <sheetViews>
    <sheetView view="pageBreakPreview" zoomScale="90" zoomScaleNormal="100" zoomScaleSheetLayoutView="90" workbookViewId="0">
      <selection activeCell="E8" sqref="E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133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  <c r="E5" s="48">
        <f>764.58+272.25+77.65</f>
        <v>1114.48</v>
      </c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  <c r="H6">
        <f>(6.15+5.1+4.6+6.8)/4</f>
        <v>5.6624999999999996</v>
      </c>
    </row>
    <row r="7" spans="1:8" x14ac:dyDescent="0.25">
      <c r="A7" s="68" t="s">
        <v>77</v>
      </c>
      <c r="B7" s="68" t="s">
        <v>61</v>
      </c>
      <c r="C7" s="23" t="s">
        <v>53</v>
      </c>
      <c r="D7" s="60"/>
      <c r="F7">
        <f>68*((5.7+6.3+10.5)/3)</f>
        <v>510</v>
      </c>
      <c r="G7">
        <f>(6.1+6)*45/2</f>
        <v>272.25</v>
      </c>
      <c r="H7">
        <f>(0.16*6.72 + 0.16*3.39 + 0.18*8.2+ 0.21*7.72+ 0.18*8+ 8.11*0.18 + 8.2*0.24 + 8*0.19 + 5.9*0.19 + 5.25*0.17)*2.4</f>
        <v>31.478639999999999</v>
      </c>
    </row>
    <row r="8" spans="1:8" ht="45" x14ac:dyDescent="0.25">
      <c r="A8" s="68" t="s">
        <v>78</v>
      </c>
      <c r="B8" s="68" t="s">
        <v>62</v>
      </c>
      <c r="C8" s="23" t="s">
        <v>54</v>
      </c>
      <c r="D8" s="60" t="s">
        <v>134</v>
      </c>
      <c r="E8" s="48">
        <f>(5921.73+3286.97+2520.87)*0.01*2.4</f>
        <v>281.51</v>
      </c>
      <c r="F8" s="64">
        <f>5921.73+3286.97+2520.87</f>
        <v>11729.57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6807.6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0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126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0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14.64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9AD7-DC52-41E6-8878-A5C5EDDBAD59}">
  <sheetPr codeName="Plan23"/>
  <dimension ref="A1:K45"/>
  <sheetViews>
    <sheetView view="pageBreakPreview" zoomScaleNormal="100" zoomScaleSheetLayoutView="100" workbookViewId="0">
      <selection activeCell="J2" sqref="J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78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  <c r="K1" s="77"/>
    </row>
    <row r="2" spans="1:11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135</v>
      </c>
      <c r="K2" s="77"/>
    </row>
    <row r="3" spans="1:11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  <c r="K3" s="77"/>
    </row>
    <row r="4" spans="1:11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  <c r="K4" s="77"/>
    </row>
    <row r="5" spans="1:11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  <c r="K5" s="77"/>
    </row>
    <row r="6" spans="1:11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45804</v>
      </c>
      <c r="J6" s="116"/>
      <c r="K6" s="77"/>
    </row>
    <row r="7" spans="1:11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  <c r="K7" s="77"/>
    </row>
    <row r="8" spans="1:11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'BM 05 (2,326 t-m³)'!$I$31</f>
        <v>135413.54</v>
      </c>
      <c r="H8" s="123"/>
      <c r="I8" s="115" t="s">
        <v>140</v>
      </c>
      <c r="J8" s="116"/>
      <c r="K8" s="77"/>
    </row>
    <row r="9" spans="1:11" s="5" customFormat="1" ht="7.5" customHeight="1" x14ac:dyDescent="0.25">
      <c r="A9" s="4"/>
      <c r="E9" s="1"/>
      <c r="J9" s="2"/>
      <c r="K9" s="77"/>
    </row>
    <row r="10" spans="1:11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  <c r="K10" s="77"/>
    </row>
    <row r="11" spans="1:11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  <c r="K11" s="77"/>
    </row>
    <row r="12" spans="1:11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  <c r="K12" s="77"/>
    </row>
    <row r="13" spans="1:11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  <c r="K13" s="77"/>
    </row>
    <row r="14" spans="1:11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46191.82</v>
      </c>
      <c r="J14" s="37">
        <f t="shared" si="0"/>
        <v>432976.41</v>
      </c>
      <c r="K14" s="77"/>
    </row>
    <row r="15" spans="1:11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05 (2,326 t-m³)'!E6</f>
        <v>0</v>
      </c>
      <c r="G15" s="30">
        <f>F15+BM.04!G15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  <c r="K15" s="77">
        <f>J15/H15</f>
        <v>0.90310000000000001</v>
      </c>
    </row>
    <row r="16" spans="1:11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05 (2,326 t-m³)'!E7</f>
        <v>0</v>
      </c>
      <c r="G16" s="30">
        <f>F16+BM.04!G16</f>
        <v>11729.57</v>
      </c>
      <c r="H16" s="38">
        <f t="shared" ref="H16:H20" si="1">ROUND(E16*D16,2)</f>
        <v>5464.98</v>
      </c>
      <c r="I16" s="39">
        <f t="shared" ref="I16:I20" si="2">ROUND(D16*F16,2)</f>
        <v>0</v>
      </c>
      <c r="J16" s="38">
        <f t="shared" ref="J16:J20" si="3">ROUND(D16*G16,2)</f>
        <v>4574.53</v>
      </c>
      <c r="K16" s="77">
        <f t="shared" ref="K16:K30" si="4">J16/H16</f>
        <v>0.83709999999999996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05 (2,326 t-m³)'!E8</f>
        <v>208.13</v>
      </c>
      <c r="G17" s="30">
        <f>F17+BM.04!G17</f>
        <v>1896.2</v>
      </c>
      <c r="H17" s="38">
        <f t="shared" si="1"/>
        <v>385305.59999999998</v>
      </c>
      <c r="I17" s="39">
        <f t="shared" si="2"/>
        <v>41059.89</v>
      </c>
      <c r="J17" s="38">
        <f t="shared" si="3"/>
        <v>374082.34</v>
      </c>
      <c r="K17" s="77">
        <f t="shared" si="4"/>
        <v>0.97089999999999999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05 (2,326 t-m³)'!E9</f>
        <v>0</v>
      </c>
      <c r="G18" s="30">
        <f>F18+BM.04!G18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  <c r="K18" s="77" t="e">
        <f t="shared" si="4"/>
        <v>#DIV/0!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05 (2,326 t-m³)'!E10</f>
        <v>5031.3</v>
      </c>
      <c r="G19" s="30">
        <f>F19+BM.04!G19</f>
        <v>45849</v>
      </c>
      <c r="H19" s="38">
        <f t="shared" si="1"/>
        <v>59766.9</v>
      </c>
      <c r="I19" s="39">
        <f t="shared" si="2"/>
        <v>5131.93</v>
      </c>
      <c r="J19" s="38">
        <f t="shared" si="3"/>
        <v>46765.98</v>
      </c>
      <c r="K19" s="77">
        <f t="shared" si="4"/>
        <v>0.78249999999999997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05 (2,326 t-m³)'!E11</f>
        <v>0</v>
      </c>
      <c r="G20" s="30">
        <f>F20+BM.04!G20</f>
        <v>5914.8</v>
      </c>
      <c r="H20" s="38">
        <f t="shared" si="1"/>
        <v>6574.5</v>
      </c>
      <c r="I20" s="39">
        <f t="shared" si="2"/>
        <v>0</v>
      </c>
      <c r="J20" s="38">
        <f t="shared" si="3"/>
        <v>5323.32</v>
      </c>
      <c r="K20" s="77">
        <f t="shared" si="4"/>
        <v>0.80969999999999998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0</v>
      </c>
      <c r="J21" s="37">
        <f>SUM(J22:J22)</f>
        <v>45623.62</v>
      </c>
      <c r="K21" s="77"/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05 (2,326 t-m³)'!E13</f>
        <v>0</v>
      </c>
      <c r="G22" s="30">
        <f>F22+BM.04!G22</f>
        <v>1406.4</v>
      </c>
      <c r="H22" s="38">
        <f>ROUND(E22*D22,2)</f>
        <v>45612.59</v>
      </c>
      <c r="I22" s="39">
        <f>ROUND(D22*F22,2)</f>
        <v>0</v>
      </c>
      <c r="J22" s="38">
        <f>ROUND(D22*G22,2)</f>
        <v>45623.62</v>
      </c>
      <c r="K22" s="77">
        <f t="shared" si="4"/>
        <v>1.0002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  <c r="K23" s="77"/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05 (2,326 t-m³)'!E15</f>
        <v>0</v>
      </c>
      <c r="G24" s="30">
        <f>F24+BM.04!G24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  <c r="K24" s="77">
        <f t="shared" si="4"/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5">SUM(I26:I28)</f>
        <v>89221.72</v>
      </c>
      <c r="J25" s="37">
        <f t="shared" si="5"/>
        <v>902076.34</v>
      </c>
      <c r="K25" s="77"/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05 (2,326 t-m³)'!E17</f>
        <v>0</v>
      </c>
      <c r="G26" s="30">
        <f>F26+BM.04!G26</f>
        <v>5.86</v>
      </c>
      <c r="H26" s="38">
        <f>ROUND(E26*D26,2)</f>
        <v>41091.01</v>
      </c>
      <c r="I26" s="39">
        <f t="shared" ref="I26:I28" si="6">ROUND(D26*F26,2)</f>
        <v>0</v>
      </c>
      <c r="J26" s="38">
        <f t="shared" ref="J26:J28" si="7">ROUND(D26*G26,2)</f>
        <v>34349.97</v>
      </c>
      <c r="K26" s="77">
        <f t="shared" si="4"/>
        <v>0.83589999999999998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05 (2,326 t-m³)'!E18</f>
        <v>10.82</v>
      </c>
      <c r="G27" s="30">
        <f>F27+BM.04!G27</f>
        <v>98.6</v>
      </c>
      <c r="H27" s="38">
        <f>ROUND(E27*D27,2)</f>
        <v>966348.74</v>
      </c>
      <c r="I27" s="39">
        <f t="shared" si="6"/>
        <v>89221.72</v>
      </c>
      <c r="J27" s="38">
        <f t="shared" si="7"/>
        <v>813055.6</v>
      </c>
      <c r="K27" s="77">
        <f t="shared" si="4"/>
        <v>0.84140000000000004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05 (2,326 t-m³)'!E19</f>
        <v>0</v>
      </c>
      <c r="G28" s="30">
        <f>F28+BM.04!G28</f>
        <v>6.86</v>
      </c>
      <c r="H28" s="38">
        <f>ROUND(E28*D28,2)</f>
        <v>60568.2</v>
      </c>
      <c r="I28" s="39">
        <f t="shared" si="6"/>
        <v>0</v>
      </c>
      <c r="J28" s="38">
        <f t="shared" si="7"/>
        <v>54670.77</v>
      </c>
      <c r="K28" s="77">
        <f t="shared" si="4"/>
        <v>0.90259999999999996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  <c r="K29" s="77"/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05 (2,326 t-m³)'!E21</f>
        <v>0</v>
      </c>
      <c r="G30" s="30">
        <f>F30+BM.04!G30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  <c r="K30" s="77">
        <f t="shared" si="4"/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135413.54</v>
      </c>
      <c r="J31" s="40">
        <f>J14+J23+J25+J29+J21</f>
        <v>1380676.37</v>
      </c>
      <c r="K31" s="67">
        <f>J31/H31</f>
        <v>0.86319999999999997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1" ht="17.25" customHeight="1" x14ac:dyDescent="0.25">
      <c r="A33" s="105" t="s">
        <v>23</v>
      </c>
      <c r="B33" s="105"/>
      <c r="C33" s="105"/>
      <c r="D33" s="106">
        <f>I31</f>
        <v>135413.54</v>
      </c>
      <c r="E33" s="106"/>
      <c r="F33" s="107"/>
      <c r="G33" s="107"/>
      <c r="H33" s="107"/>
      <c r="I33" s="107"/>
      <c r="J33" s="107"/>
      <c r="K33" s="80">
        <f>H31-J31</f>
        <v>218803.33</v>
      </c>
    </row>
    <row r="34" spans="1:11" ht="17.25" customHeight="1" x14ac:dyDescent="0.25">
      <c r="A34" s="73"/>
      <c r="B34" s="73"/>
      <c r="C34" s="73"/>
      <c r="D34" s="74"/>
      <c r="E34" s="74"/>
      <c r="F34" s="75"/>
      <c r="G34" s="75"/>
      <c r="H34" s="75"/>
      <c r="I34" s="75"/>
      <c r="J34" s="75"/>
    </row>
    <row r="35" spans="1:11" ht="17.25" customHeight="1" x14ac:dyDescent="0.25">
      <c r="A35" s="73"/>
      <c r="B35" s="73"/>
      <c r="C35" s="73"/>
      <c r="D35" s="74"/>
      <c r="E35" s="74"/>
      <c r="F35" s="75"/>
      <c r="G35" s="75"/>
      <c r="H35" s="75"/>
      <c r="I35" s="75"/>
      <c r="J35" s="75"/>
    </row>
    <row r="36" spans="1:11" ht="17.25" customHeight="1" x14ac:dyDescent="0.25">
      <c r="A36" s="73"/>
      <c r="B36" s="73"/>
      <c r="C36" s="73"/>
      <c r="D36" s="74"/>
      <c r="E36" s="74"/>
      <c r="F36" s="75"/>
      <c r="G36" s="75"/>
      <c r="H36" s="75"/>
      <c r="I36" s="75"/>
      <c r="J36" s="75"/>
    </row>
    <row r="37" spans="1:11" ht="6" customHeight="1" x14ac:dyDescent="0.25">
      <c r="C37" s="18"/>
      <c r="E37" s="19"/>
      <c r="F37" s="19"/>
    </row>
    <row r="38" spans="1:11" ht="6" customHeight="1" x14ac:dyDescent="0.25">
      <c r="C38" s="18"/>
      <c r="E38" s="19"/>
      <c r="F38" s="19"/>
    </row>
    <row r="39" spans="1:11" x14ac:dyDescent="0.25">
      <c r="C39" s="20"/>
      <c r="D39" s="20"/>
      <c r="E39" s="20"/>
      <c r="G39" s="108"/>
      <c r="H39" s="108"/>
      <c r="I39" s="108"/>
      <c r="J39" s="108"/>
    </row>
    <row r="40" spans="1:11" ht="15" x14ac:dyDescent="0.25">
      <c r="B40" s="59" t="s">
        <v>127</v>
      </c>
      <c r="D40" t="s">
        <v>128</v>
      </c>
      <c r="E40"/>
      <c r="F40"/>
      <c r="G40"/>
      <c r="H40" s="138" t="s">
        <v>132</v>
      </c>
      <c r="I40" s="138"/>
      <c r="J40" s="138"/>
      <c r="K40" s="79"/>
    </row>
    <row r="41" spans="1:11" ht="15" x14ac:dyDescent="0.25">
      <c r="B41" s="59" t="s">
        <v>129</v>
      </c>
      <c r="C41" s="138" t="s">
        <v>130</v>
      </c>
      <c r="D41" s="138"/>
      <c r="E41" s="138"/>
      <c r="F41" s="138"/>
      <c r="G41" s="138"/>
      <c r="H41" s="138" t="s">
        <v>131</v>
      </c>
      <c r="I41" s="138"/>
      <c r="J41" s="138"/>
      <c r="K41" s="79"/>
    </row>
    <row r="43" spans="1:11" x14ac:dyDescent="0.25">
      <c r="H43" s="22"/>
    </row>
    <row r="45" spans="1:11" x14ac:dyDescent="0.25">
      <c r="J45" s="43"/>
    </row>
  </sheetData>
  <mergeCells count="37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C41:G41"/>
    <mergeCell ref="H41:J41"/>
    <mergeCell ref="A31:G31"/>
    <mergeCell ref="A33:C33"/>
    <mergeCell ref="D33:E33"/>
    <mergeCell ref="F33:J33"/>
    <mergeCell ref="G39:J39"/>
    <mergeCell ref="H40:J4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5C68-E5AD-4FF5-BBF8-D1D981BA2335}">
  <dimension ref="A1:H23"/>
  <sheetViews>
    <sheetView view="pageBreakPreview" zoomScale="90" zoomScaleNormal="100" zoomScaleSheetLayoutView="90" workbookViewId="0">
      <selection activeCell="G15" sqref="G15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  <col min="6" max="6" width="17.85546875" bestFit="1" customWidth="1"/>
    <col min="7" max="7" width="21.85546875" bestFit="1" customWidth="1"/>
  </cols>
  <sheetData>
    <row r="1" spans="1:8" ht="26.25" x14ac:dyDescent="0.25">
      <c r="A1" s="124" t="s">
        <v>139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</row>
    <row r="7" spans="1:8" x14ac:dyDescent="0.25">
      <c r="A7" s="68" t="s">
        <v>77</v>
      </c>
      <c r="B7" s="68" t="s">
        <v>61</v>
      </c>
      <c r="C7" s="23" t="s">
        <v>53</v>
      </c>
      <c r="D7" s="60"/>
      <c r="F7" t="s">
        <v>136</v>
      </c>
      <c r="G7" t="s">
        <v>137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138</v>
      </c>
      <c r="E8" s="48">
        <f>((5921.73+3286.97+2520.87)*0.05*2.326)+('Memória 02'!E6*0.04*2.326)-BM.04!G17</f>
        <v>208.13</v>
      </c>
      <c r="F8" s="48">
        <f>((5921.73+3286.97+2520.87)*0.05*2.326)+('Memória 02'!E6*0.04*2.326)</f>
        <v>1896.2</v>
      </c>
      <c r="G8" s="48">
        <f>BM.04!G17</f>
        <v>1688.07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  <c r="H9" s="48"/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5031.3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0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126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0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10.82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6299-A1C6-46C6-93FE-15677F8780F0}">
  <dimension ref="A1:H22"/>
  <sheetViews>
    <sheetView view="pageBreakPreview" zoomScaleNormal="100" zoomScaleSheetLayoutView="100" workbookViewId="0">
      <selection activeCell="D8" sqref="D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9.42578125" style="48" customWidth="1"/>
  </cols>
  <sheetData>
    <row r="1" spans="1:8" ht="26.25" x14ac:dyDescent="0.25">
      <c r="A1" s="124" t="s">
        <v>59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 t="s">
        <v>90</v>
      </c>
      <c r="G6" s="59"/>
      <c r="H6">
        <f>(6.15+5.1+4.6+6.8)/4</f>
        <v>5.6624999999999996</v>
      </c>
    </row>
    <row r="7" spans="1:8" x14ac:dyDescent="0.25">
      <c r="A7" s="68" t="s">
        <v>77</v>
      </c>
      <c r="B7" s="68" t="s">
        <v>61</v>
      </c>
      <c r="C7" s="23" t="s">
        <v>53</v>
      </c>
      <c r="D7" s="60"/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111</v>
      </c>
      <c r="E8" s="48">
        <f>(5718.57)*0.04*2.4+(7.99)</f>
        <v>556.97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13466.4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66</v>
      </c>
      <c r="E11" s="48">
        <f>(E17)*465</f>
        <v>0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/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0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28.96</v>
      </c>
      <c r="F18">
        <f>E7*0.06</f>
        <v>0</v>
      </c>
    </row>
    <row r="19" spans="1:6" x14ac:dyDescent="0.25">
      <c r="A19" s="65" t="s">
        <v>73</v>
      </c>
      <c r="B19" s="55" t="s">
        <v>48</v>
      </c>
      <c r="C19" s="57"/>
      <c r="D19" s="57"/>
      <c r="F19" s="48">
        <f>F18-E18</f>
        <v>-28.96</v>
      </c>
    </row>
    <row r="20" spans="1:6" x14ac:dyDescent="0.25">
      <c r="A20" s="58" t="s">
        <v>89</v>
      </c>
      <c r="B20" s="61" t="s">
        <v>49</v>
      </c>
      <c r="C20" s="63" t="s">
        <v>57</v>
      </c>
      <c r="D20" s="51"/>
      <c r="F20">
        <f>F19*BM.01!D27</f>
        <v>-238804.16</v>
      </c>
    </row>
    <row r="22" spans="1:6" x14ac:dyDescent="0.25">
      <c r="A22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F347-74FC-4C3B-8D74-A611CED51C36}">
  <sheetPr codeName="Plan18"/>
  <dimension ref="A1:M38"/>
  <sheetViews>
    <sheetView view="pageBreakPreview" topLeftCell="A21" zoomScale="90" zoomScaleNormal="100" zoomScaleSheetLayoutView="90" workbookViewId="0">
      <selection activeCell="G24" sqref="G24:G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12" width="14.7109375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91</v>
      </c>
      <c r="B1" s="88"/>
      <c r="C1" s="88"/>
      <c r="D1" s="88"/>
      <c r="E1" s="88"/>
      <c r="F1" s="88"/>
      <c r="G1" s="88"/>
      <c r="H1" s="88"/>
      <c r="I1" s="88"/>
      <c r="J1" s="89"/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1"/>
      <c r="J2" s="92"/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134" t="s">
        <v>37</v>
      </c>
      <c r="F5" s="135"/>
      <c r="G5" s="45" t="s">
        <v>33</v>
      </c>
      <c r="H5" s="45" t="s">
        <v>34</v>
      </c>
      <c r="I5" s="85" t="s">
        <v>92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36">
        <v>1599479.7</v>
      </c>
      <c r="F6" s="137"/>
      <c r="G6" s="46">
        <v>45502</v>
      </c>
      <c r="H6" s="46" t="s">
        <v>71</v>
      </c>
      <c r="I6" s="115">
        <v>45579</v>
      </c>
      <c r="J6" s="116"/>
    </row>
    <row r="7" spans="1:10" s="5" customFormat="1" ht="7.5" customHeight="1" x14ac:dyDescent="0.25">
      <c r="A7" s="4"/>
      <c r="E7" s="1"/>
      <c r="J7" s="2"/>
    </row>
    <row r="8" spans="1:10" s="5" customFormat="1" ht="14.25" customHeight="1" x14ac:dyDescent="0.25">
      <c r="A8" s="6"/>
      <c r="B8" s="7"/>
      <c r="C8" s="8"/>
      <c r="D8" s="7"/>
      <c r="E8" s="95" t="s">
        <v>1</v>
      </c>
      <c r="F8" s="95"/>
      <c r="G8" s="95"/>
      <c r="H8" s="96" t="s">
        <v>7</v>
      </c>
      <c r="I8" s="95"/>
      <c r="J8" s="97"/>
    </row>
    <row r="9" spans="1:10" s="5" customFormat="1" ht="15" customHeight="1" x14ac:dyDescent="0.25">
      <c r="A9" s="98" t="s">
        <v>0</v>
      </c>
      <c r="B9" s="99" t="s">
        <v>8</v>
      </c>
      <c r="C9" s="100" t="s">
        <v>9</v>
      </c>
      <c r="D9" s="101" t="s">
        <v>10</v>
      </c>
      <c r="E9" s="127" t="s">
        <v>14</v>
      </c>
      <c r="F9" s="129" t="s">
        <v>93</v>
      </c>
      <c r="G9" s="131" t="s">
        <v>94</v>
      </c>
      <c r="H9" s="127" t="s">
        <v>14</v>
      </c>
      <c r="I9" s="129" t="s">
        <v>93</v>
      </c>
      <c r="J9" s="131" t="s">
        <v>94</v>
      </c>
    </row>
    <row r="10" spans="1:10" s="5" customFormat="1" ht="11.25" x14ac:dyDescent="0.25">
      <c r="A10" s="98"/>
      <c r="B10" s="99"/>
      <c r="C10" s="100"/>
      <c r="D10" s="101"/>
      <c r="E10" s="101"/>
      <c r="F10" s="99"/>
      <c r="G10" s="132"/>
      <c r="H10" s="101"/>
      <c r="I10" s="99"/>
      <c r="J10" s="132"/>
    </row>
    <row r="11" spans="1:10" s="5" customFormat="1" x14ac:dyDescent="0.25">
      <c r="A11" s="12"/>
      <c r="B11" s="11"/>
      <c r="C11" s="42"/>
      <c r="D11" s="27"/>
      <c r="E11" s="128"/>
      <c r="F11" s="130"/>
      <c r="G11" s="133"/>
      <c r="H11" s="128"/>
      <c r="I11" s="130"/>
      <c r="J11" s="133"/>
    </row>
    <row r="12" spans="1:10" s="5" customFormat="1" ht="30" customHeight="1" x14ac:dyDescent="0.25">
      <c r="A12" s="32" t="s">
        <v>19</v>
      </c>
      <c r="B12" s="33" t="s">
        <v>41</v>
      </c>
      <c r="C12" s="34"/>
      <c r="D12" s="35"/>
      <c r="E12" s="35"/>
      <c r="F12" s="35"/>
      <c r="G12" s="36"/>
      <c r="H12" s="37">
        <f>SUM(H13:H18)</f>
        <v>612391.51</v>
      </c>
      <c r="I12" s="37">
        <f t="shared" ref="I12:J12" si="0">SUM(I13:I18)</f>
        <v>-152810.10999999999</v>
      </c>
      <c r="J12" s="37">
        <f t="shared" si="0"/>
        <v>459581.41</v>
      </c>
    </row>
    <row r="13" spans="1:10" s="5" customFormat="1" ht="30" customHeight="1" x14ac:dyDescent="0.25">
      <c r="A13" s="23" t="s">
        <v>76</v>
      </c>
      <c r="B13" s="28" t="s">
        <v>74</v>
      </c>
      <c r="C13" s="29" t="s">
        <v>53</v>
      </c>
      <c r="D13" s="30">
        <v>0.39</v>
      </c>
      <c r="E13" s="30">
        <v>20303.310000000001</v>
      </c>
      <c r="F13" s="31">
        <f>G13-E13</f>
        <v>-13971.45</v>
      </c>
      <c r="G13" s="30">
        <f>'Memória reprogramação'!E6</f>
        <v>6331.86</v>
      </c>
      <c r="H13" s="38">
        <f>ROUND(E13*D13,2)</f>
        <v>7918.29</v>
      </c>
      <c r="I13" s="39">
        <f>ROUND(D13*F13,2)</f>
        <v>-5448.87</v>
      </c>
      <c r="J13" s="38">
        <f>ROUND(D13*G13,2)</f>
        <v>2469.4299999999998</v>
      </c>
    </row>
    <row r="14" spans="1:10" s="5" customFormat="1" ht="30" customHeight="1" x14ac:dyDescent="0.25">
      <c r="A14" s="23" t="s">
        <v>77</v>
      </c>
      <c r="B14" s="25" t="s">
        <v>61</v>
      </c>
      <c r="C14" s="23" t="s">
        <v>53</v>
      </c>
      <c r="D14" s="24">
        <v>0.39</v>
      </c>
      <c r="E14" s="24">
        <v>20303.310000000001</v>
      </c>
      <c r="F14" s="31">
        <f t="shared" ref="F14:F28" si="1">G14-E14</f>
        <v>-6290.53</v>
      </c>
      <c r="G14" s="30">
        <f>'Memória reprogramação'!E7</f>
        <v>14012.78</v>
      </c>
      <c r="H14" s="38">
        <f t="shared" ref="H14:H18" si="2">ROUND(E14*D14,2)</f>
        <v>7918.29</v>
      </c>
      <c r="I14" s="39">
        <f t="shared" ref="I14:I18" si="3">ROUND(D14*F14,2)</f>
        <v>-2453.31</v>
      </c>
      <c r="J14" s="38">
        <f t="shared" ref="J14:J18" si="4">ROUND(D14*G14,2)</f>
        <v>5464.98</v>
      </c>
    </row>
    <row r="15" spans="1:10" s="5" customFormat="1" ht="30" customHeight="1" x14ac:dyDescent="0.25">
      <c r="A15" s="23" t="s">
        <v>78</v>
      </c>
      <c r="B15" s="25" t="s">
        <v>62</v>
      </c>
      <c r="C15" s="23" t="s">
        <v>54</v>
      </c>
      <c r="D15" s="24">
        <v>197.28</v>
      </c>
      <c r="E15" s="24">
        <v>1461.84</v>
      </c>
      <c r="F15" s="31">
        <f t="shared" si="1"/>
        <v>491.25</v>
      </c>
      <c r="G15" s="30">
        <f>'Memória reprogramação'!E8</f>
        <v>1953.09</v>
      </c>
      <c r="H15" s="38">
        <f t="shared" si="2"/>
        <v>288391.8</v>
      </c>
      <c r="I15" s="39">
        <f t="shared" si="3"/>
        <v>96913.8</v>
      </c>
      <c r="J15" s="38">
        <f t="shared" si="4"/>
        <v>385305.59999999998</v>
      </c>
    </row>
    <row r="16" spans="1:10" s="5" customFormat="1" ht="30" customHeight="1" x14ac:dyDescent="0.25">
      <c r="A16" s="23" t="s">
        <v>79</v>
      </c>
      <c r="B16" s="25" t="s">
        <v>75</v>
      </c>
      <c r="C16" s="23" t="s">
        <v>54</v>
      </c>
      <c r="D16" s="24">
        <v>177.08</v>
      </c>
      <c r="E16" s="24">
        <v>1461.84</v>
      </c>
      <c r="F16" s="31">
        <f t="shared" si="1"/>
        <v>-1461.84</v>
      </c>
      <c r="G16" s="30">
        <f>'Memória reprogramação'!E9</f>
        <v>0</v>
      </c>
      <c r="H16" s="38">
        <f t="shared" si="2"/>
        <v>258862.63</v>
      </c>
      <c r="I16" s="39">
        <f t="shared" si="3"/>
        <v>-258862.63</v>
      </c>
      <c r="J16" s="38">
        <f t="shared" si="4"/>
        <v>0</v>
      </c>
    </row>
    <row r="17" spans="1:13" s="5" customFormat="1" ht="30" customHeight="1" x14ac:dyDescent="0.25">
      <c r="A17" s="23" t="s">
        <v>80</v>
      </c>
      <c r="B17" s="25" t="s">
        <v>43</v>
      </c>
      <c r="C17" s="23" t="s">
        <v>55</v>
      </c>
      <c r="D17" s="24">
        <v>1.02</v>
      </c>
      <c r="E17" s="24">
        <v>43855.15</v>
      </c>
      <c r="F17" s="31">
        <f t="shared" si="1"/>
        <v>14739.85</v>
      </c>
      <c r="G17" s="30">
        <f>'Memória reprogramação'!E10</f>
        <v>58595</v>
      </c>
      <c r="H17" s="38">
        <f t="shared" si="2"/>
        <v>44732.25</v>
      </c>
      <c r="I17" s="39">
        <f t="shared" si="3"/>
        <v>15034.65</v>
      </c>
      <c r="J17" s="38">
        <f t="shared" si="4"/>
        <v>59766.9</v>
      </c>
    </row>
    <row r="18" spans="1:13" s="5" customFormat="1" ht="30" customHeight="1" x14ac:dyDescent="0.25">
      <c r="A18" s="23" t="s">
        <v>81</v>
      </c>
      <c r="B18" s="25" t="s">
        <v>42</v>
      </c>
      <c r="C18" s="23" t="s">
        <v>55</v>
      </c>
      <c r="D18" s="24">
        <v>0.9</v>
      </c>
      <c r="E18" s="24">
        <v>5075.83</v>
      </c>
      <c r="F18" s="31">
        <f t="shared" si="1"/>
        <v>2229.17</v>
      </c>
      <c r="G18" s="30">
        <f>'Memória reprogramação'!E11</f>
        <v>7305</v>
      </c>
      <c r="H18" s="38">
        <f t="shared" si="2"/>
        <v>4568.25</v>
      </c>
      <c r="I18" s="39">
        <f t="shared" si="3"/>
        <v>2006.25</v>
      </c>
      <c r="J18" s="38">
        <f t="shared" si="4"/>
        <v>6574.5</v>
      </c>
    </row>
    <row r="19" spans="1:13" s="5" customFormat="1" ht="30" customHeight="1" x14ac:dyDescent="0.25">
      <c r="A19" s="32" t="s">
        <v>20</v>
      </c>
      <c r="B19" s="33" t="s">
        <v>82</v>
      </c>
      <c r="C19" s="34"/>
      <c r="D19" s="35"/>
      <c r="E19" s="35"/>
      <c r="F19" s="35"/>
      <c r="G19" s="35"/>
      <c r="H19" s="37">
        <f>H20</f>
        <v>178056.67</v>
      </c>
      <c r="I19" s="37">
        <f>SUM(I20:I20)</f>
        <v>-132444.09</v>
      </c>
      <c r="J19" s="37">
        <f>SUM(J20:J20)</f>
        <v>45612.59</v>
      </c>
    </row>
    <row r="20" spans="1:13" s="5" customFormat="1" ht="30" customHeight="1" x14ac:dyDescent="0.25">
      <c r="A20" s="23" t="s">
        <v>85</v>
      </c>
      <c r="B20" s="25" t="s">
        <v>83</v>
      </c>
      <c r="C20" s="23" t="s">
        <v>84</v>
      </c>
      <c r="D20" s="24">
        <v>32.44</v>
      </c>
      <c r="E20" s="24">
        <v>5488.8</v>
      </c>
      <c r="F20" s="31">
        <f t="shared" si="1"/>
        <v>-4082.74</v>
      </c>
      <c r="G20" s="30">
        <f>'Memória reprogramação'!E13</f>
        <v>1406.06</v>
      </c>
      <c r="H20" s="38">
        <f>ROUND(E20*D20,2)</f>
        <v>178056.67</v>
      </c>
      <c r="I20" s="39">
        <f>ROUND(D20*F20,2)</f>
        <v>-132444.09</v>
      </c>
      <c r="J20" s="38">
        <f>ROUND(D20*G20,2)</f>
        <v>45612.59</v>
      </c>
      <c r="K20" s="72"/>
    </row>
    <row r="21" spans="1:13" s="5" customFormat="1" ht="30" customHeight="1" x14ac:dyDescent="0.25">
      <c r="A21" s="32" t="s">
        <v>21</v>
      </c>
      <c r="B21" s="33" t="s">
        <v>44</v>
      </c>
      <c r="C21" s="34"/>
      <c r="D21" s="35"/>
      <c r="E21" s="35"/>
      <c r="F21" s="35"/>
      <c r="G21" s="35"/>
      <c r="H21" s="37">
        <f>H22</f>
        <v>24568.17</v>
      </c>
      <c r="I21" s="37">
        <f>SUM(I22:I22)</f>
        <v>-0.3</v>
      </c>
      <c r="J21" s="37">
        <f>SUM(J22:J22)</f>
        <v>24567.87</v>
      </c>
    </row>
    <row r="22" spans="1:13" s="5" customFormat="1" ht="30" customHeight="1" x14ac:dyDescent="0.25">
      <c r="A22" s="23" t="s">
        <v>86</v>
      </c>
      <c r="B22" s="25" t="s">
        <v>45</v>
      </c>
      <c r="C22" s="23" t="s">
        <v>53</v>
      </c>
      <c r="D22" s="24">
        <v>29.84</v>
      </c>
      <c r="E22" s="24">
        <v>823.33</v>
      </c>
      <c r="F22" s="31">
        <f t="shared" si="1"/>
        <v>-0.01</v>
      </c>
      <c r="G22" s="30">
        <f>'Memória reprogramação'!E15</f>
        <v>823.32</v>
      </c>
      <c r="H22" s="38">
        <f>ROUND(E22*D22,2)</f>
        <v>24568.17</v>
      </c>
      <c r="I22" s="39">
        <f>ROUND(D22*F22,2)</f>
        <v>-0.3</v>
      </c>
      <c r="J22" s="38">
        <f>ROUND(D22*G22,2)</f>
        <v>24567.87</v>
      </c>
    </row>
    <row r="23" spans="1:13" s="5" customFormat="1" ht="30" customHeight="1" x14ac:dyDescent="0.25">
      <c r="A23" s="32" t="s">
        <v>22</v>
      </c>
      <c r="B23" s="33" t="s">
        <v>46</v>
      </c>
      <c r="C23" s="34"/>
      <c r="D23" s="35"/>
      <c r="E23" s="35"/>
      <c r="F23" s="35"/>
      <c r="G23" s="35"/>
      <c r="H23" s="37">
        <f>SUM(H24:H26)</f>
        <v>782753.63</v>
      </c>
      <c r="I23" s="37">
        <f t="shared" ref="I23:J23" si="5">SUM(I24:I26)</f>
        <v>285254.32</v>
      </c>
      <c r="J23" s="37">
        <f t="shared" si="5"/>
        <v>1068007.95</v>
      </c>
    </row>
    <row r="24" spans="1:13" s="5" customFormat="1" ht="30" customHeight="1" x14ac:dyDescent="0.25">
      <c r="A24" s="23" t="s">
        <v>87</v>
      </c>
      <c r="B24" s="25" t="s">
        <v>63</v>
      </c>
      <c r="C24" s="23" t="s">
        <v>54</v>
      </c>
      <c r="D24" s="24">
        <v>5861.77</v>
      </c>
      <c r="E24" s="24">
        <v>10.15</v>
      </c>
      <c r="F24" s="31">
        <f t="shared" si="1"/>
        <v>-3.14</v>
      </c>
      <c r="G24" s="30">
        <f>'Memória reprogramação'!E17</f>
        <v>7.01</v>
      </c>
      <c r="H24" s="38">
        <f>ROUND(E24*D24,2)</f>
        <v>59496.97</v>
      </c>
      <c r="I24" s="39">
        <f t="shared" ref="I24:I25" si="6">ROUND(D24*F24,2)</f>
        <v>-18405.96</v>
      </c>
      <c r="J24" s="38">
        <f t="shared" ref="J24:J25" si="7">ROUND(D24*G24,2)</f>
        <v>41091.01</v>
      </c>
    </row>
    <row r="25" spans="1:13" s="5" customFormat="1" ht="30" customHeight="1" x14ac:dyDescent="0.25">
      <c r="A25" s="23" t="s">
        <v>88</v>
      </c>
      <c r="B25" s="25" t="s">
        <v>47</v>
      </c>
      <c r="C25" s="23" t="s">
        <v>54</v>
      </c>
      <c r="D25" s="24">
        <v>8246</v>
      </c>
      <c r="E25" s="24">
        <v>87.71</v>
      </c>
      <c r="F25" s="31">
        <f t="shared" si="1"/>
        <v>29.48</v>
      </c>
      <c r="G25" s="30">
        <f>'Memória reprogramação'!E18</f>
        <v>117.19</v>
      </c>
      <c r="H25" s="38">
        <f>ROUND(E25*D25,2)</f>
        <v>723256.66</v>
      </c>
      <c r="I25" s="39">
        <f t="shared" si="6"/>
        <v>243092.08</v>
      </c>
      <c r="J25" s="38">
        <f t="shared" si="7"/>
        <v>966348.74</v>
      </c>
    </row>
    <row r="26" spans="1:13" s="5" customFormat="1" ht="30" customHeight="1" x14ac:dyDescent="0.25">
      <c r="A26" s="23" t="s">
        <v>102</v>
      </c>
      <c r="B26" s="25" t="s">
        <v>104</v>
      </c>
      <c r="C26" s="23" t="s">
        <v>54</v>
      </c>
      <c r="D26" s="24">
        <f>7000*1.15*0.99</f>
        <v>7969.5</v>
      </c>
      <c r="E26" s="24">
        <v>0</v>
      </c>
      <c r="F26" s="31">
        <f t="shared" si="1"/>
        <v>7.6</v>
      </c>
      <c r="G26" s="30">
        <f>'Memória reprogramação'!E19</f>
        <v>7.6</v>
      </c>
      <c r="H26" s="38">
        <f>ROUND(E26*D26,2)</f>
        <v>0</v>
      </c>
      <c r="I26" s="39">
        <f t="shared" ref="I26" si="8">ROUND(D26*F26,2)</f>
        <v>60568.2</v>
      </c>
      <c r="J26" s="38">
        <f t="shared" ref="J26" si="9">ROUND(D26*G26,2)</f>
        <v>60568.2</v>
      </c>
    </row>
    <row r="27" spans="1:13" s="5" customFormat="1" ht="30" customHeight="1" x14ac:dyDescent="0.25">
      <c r="A27" s="32" t="s">
        <v>73</v>
      </c>
      <c r="B27" s="33" t="s">
        <v>48</v>
      </c>
      <c r="C27" s="34"/>
      <c r="D27" s="35"/>
      <c r="E27" s="35"/>
      <c r="F27" s="35"/>
      <c r="G27" s="35"/>
      <c r="H27" s="37">
        <f>H28</f>
        <v>1709.78</v>
      </c>
      <c r="I27" s="37">
        <f>SUM(I28:I28)</f>
        <v>0</v>
      </c>
      <c r="J27" s="37">
        <f>SUM(J28:J28)</f>
        <v>1709.78</v>
      </c>
    </row>
    <row r="28" spans="1:13" s="5" customFormat="1" ht="15" x14ac:dyDescent="0.25">
      <c r="A28" s="23" t="s">
        <v>89</v>
      </c>
      <c r="B28" s="25" t="s">
        <v>49</v>
      </c>
      <c r="C28" s="23" t="s">
        <v>53</v>
      </c>
      <c r="D28" s="24">
        <v>379.95</v>
      </c>
      <c r="E28" s="24">
        <v>4.5</v>
      </c>
      <c r="F28" s="31">
        <f t="shared" si="1"/>
        <v>0</v>
      </c>
      <c r="G28" s="30">
        <f>'Memória reprogramação'!E21</f>
        <v>4.5</v>
      </c>
      <c r="H28" s="38">
        <f>ROUND(E28*D28,2)</f>
        <v>1709.78</v>
      </c>
      <c r="I28" s="39">
        <f>ROUND(D28*F28,2)</f>
        <v>0</v>
      </c>
      <c r="J28" s="38">
        <f>ROUND(D28*G28,2)</f>
        <v>1709.78</v>
      </c>
      <c r="L28" s="67">
        <f>H29/L29</f>
        <v>0.99</v>
      </c>
    </row>
    <row r="29" spans="1:13" ht="22.5" customHeight="1" x14ac:dyDescent="0.25">
      <c r="A29" s="102" t="s">
        <v>106</v>
      </c>
      <c r="B29" s="103"/>
      <c r="C29" s="103"/>
      <c r="D29" s="103"/>
      <c r="E29" s="103"/>
      <c r="F29" s="103"/>
      <c r="G29" s="104"/>
      <c r="H29" s="40">
        <f>H12+H19+H21+H23+H27-0.06</f>
        <v>1599479.7</v>
      </c>
      <c r="I29" s="40">
        <f>I12+I21+I23+I27+I19+0.18</f>
        <v>0</v>
      </c>
      <c r="J29" s="40">
        <f>J12+J21+J23+J27+J19+0.1</f>
        <v>1599479.7</v>
      </c>
      <c r="K29" s="71"/>
      <c r="L29" s="70">
        <v>1615636.08</v>
      </c>
      <c r="M29" s="1" t="s">
        <v>105</v>
      </c>
    </row>
    <row r="30" spans="1:13" ht="15.75" x14ac:dyDescent="0.25">
      <c r="A30" s="14"/>
      <c r="B30" s="14"/>
      <c r="C30" s="14"/>
      <c r="D30" s="14"/>
      <c r="E30" s="14"/>
      <c r="F30" s="15"/>
      <c r="G30" s="15"/>
      <c r="H30" s="16"/>
      <c r="I30" s="16"/>
      <c r="J30" s="16"/>
    </row>
    <row r="31" spans="1:13" ht="15.75" customHeight="1" x14ac:dyDescent="0.25">
      <c r="A31" s="100" t="s">
        <v>107</v>
      </c>
      <c r="B31" s="100"/>
      <c r="C31" s="100"/>
      <c r="D31" s="100"/>
      <c r="E31" s="100"/>
      <c r="F31" s="100"/>
      <c r="G31" s="100"/>
      <c r="H31" s="100"/>
      <c r="I31" s="100"/>
      <c r="J31" s="100"/>
    </row>
    <row r="32" spans="1:13" x14ac:dyDescent="0.25">
      <c r="C32" s="20"/>
      <c r="D32" s="20"/>
      <c r="E32" s="20"/>
      <c r="G32" s="108"/>
      <c r="H32" s="108"/>
      <c r="I32" s="108"/>
      <c r="J32" s="108"/>
    </row>
    <row r="36" spans="8:10" x14ac:dyDescent="0.25">
      <c r="H36" s="22"/>
    </row>
    <row r="38" spans="8:10" x14ac:dyDescent="0.25">
      <c r="J38" s="43"/>
    </row>
  </sheetData>
  <mergeCells count="30"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31:J31"/>
    <mergeCell ref="A29:G29"/>
    <mergeCell ref="G32:J32"/>
    <mergeCell ref="A1:J2"/>
    <mergeCell ref="E9:E11"/>
    <mergeCell ref="F9:F11"/>
    <mergeCell ref="G9:G11"/>
    <mergeCell ref="H9:H11"/>
    <mergeCell ref="E8:G8"/>
    <mergeCell ref="H8:J8"/>
    <mergeCell ref="A9:A10"/>
    <mergeCell ref="B9:B10"/>
    <mergeCell ref="C9:C10"/>
    <mergeCell ref="D9:D10"/>
    <mergeCell ref="I9:I11"/>
    <mergeCell ref="J9:J11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0" max="9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3"/>
  <sheetViews>
    <sheetView view="pageBreakPreview" topLeftCell="B9" zoomScaleNormal="100" zoomScaleSheetLayoutView="100" workbookViewId="0">
      <selection activeCell="D10" sqref="D10:D11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9.42578125" style="48" customWidth="1"/>
  </cols>
  <sheetData>
    <row r="1" spans="1:8" ht="26.25" x14ac:dyDescent="0.25">
      <c r="A1" s="124" t="s">
        <v>95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 t="s">
        <v>96</v>
      </c>
      <c r="E6" s="48">
        <v>6331.86</v>
      </c>
      <c r="G6" s="59"/>
      <c r="H6">
        <f>(6.15+5.1+4.6+6.8)/4</f>
        <v>5.6624999999999996</v>
      </c>
    </row>
    <row r="7" spans="1:8" x14ac:dyDescent="0.25">
      <c r="A7" s="68" t="s">
        <v>77</v>
      </c>
      <c r="B7" s="68" t="s">
        <v>61</v>
      </c>
      <c r="C7" s="23" t="s">
        <v>53</v>
      </c>
      <c r="D7" s="60" t="s">
        <v>110</v>
      </c>
      <c r="E7" s="48">
        <f>13971.45+41.33</f>
        <v>14012.78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68" t="s">
        <v>78</v>
      </c>
      <c r="B8" s="68" t="s">
        <v>62</v>
      </c>
      <c r="C8" s="23" t="s">
        <v>54</v>
      </c>
      <c r="D8" s="60" t="s">
        <v>97</v>
      </c>
      <c r="E8" s="48">
        <f>(E6+E7)*0.04*2.4</f>
        <v>1953.09</v>
      </c>
    </row>
    <row r="9" spans="1:8" x14ac:dyDescent="0.25">
      <c r="A9" s="68" t="s">
        <v>79</v>
      </c>
      <c r="B9" s="68" t="s">
        <v>75</v>
      </c>
      <c r="C9" s="23" t="s">
        <v>54</v>
      </c>
      <c r="D9" s="60" t="s">
        <v>98</v>
      </c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E18*500</f>
        <v>58595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(E17+E19)*500</f>
        <v>7305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109</v>
      </c>
      <c r="E13" s="48">
        <f>(703.55*2)-1.04</f>
        <v>1406.06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 t="s">
        <v>100</v>
      </c>
      <c r="E15" s="48">
        <f>2744.4*3*0.1</f>
        <v>823.32</v>
      </c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7.01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99</v>
      </c>
      <c r="E18" s="48">
        <f>E8*0.06</f>
        <v>117.19</v>
      </c>
      <c r="F18">
        <f>E7*0.06</f>
        <v>840.76679999999999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7.6</v>
      </c>
    </row>
    <row r="20" spans="1:6" x14ac:dyDescent="0.25">
      <c r="A20" s="65" t="s">
        <v>73</v>
      </c>
      <c r="B20" s="55" t="s">
        <v>48</v>
      </c>
      <c r="C20" s="57"/>
      <c r="D20" s="57"/>
      <c r="F20" s="48">
        <f>F18-E18</f>
        <v>723.58</v>
      </c>
    </row>
    <row r="21" spans="1:6" x14ac:dyDescent="0.25">
      <c r="A21" s="58" t="s">
        <v>89</v>
      </c>
      <c r="B21" s="61" t="s">
        <v>49</v>
      </c>
      <c r="C21" s="63" t="s">
        <v>57</v>
      </c>
      <c r="D21" s="51" t="s">
        <v>101</v>
      </c>
      <c r="E21" s="48">
        <v>4.5</v>
      </c>
      <c r="F21">
        <f>F20*BM.01!D27</f>
        <v>5966640.6799999997</v>
      </c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036B-0583-4975-9874-DA682DEBB4A1}">
  <sheetPr codeName="Plan19"/>
  <dimension ref="A1:K41"/>
  <sheetViews>
    <sheetView view="pageBreakPreview" zoomScale="90" zoomScaleNormal="100" zoomScaleSheetLayoutView="90" workbookViewId="0">
      <selection activeCell="J2" sqref="J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113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45623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BM.02!$I$31</f>
        <v>450594.77</v>
      </c>
      <c r="H8" s="123"/>
      <c r="I8" s="115" t="s">
        <v>114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134821.4</v>
      </c>
      <c r="J14" s="37">
        <f t="shared" si="0"/>
        <v>258436.17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02'!E6</f>
        <v>5718.57</v>
      </c>
      <c r="G15" s="30">
        <f>F15+BM.01!G15</f>
        <v>5718.57</v>
      </c>
      <c r="H15" s="38">
        <f>ROUND(E15*D15,2)</f>
        <v>2469.4299999999998</v>
      </c>
      <c r="I15" s="39">
        <f>ROUND(D15*F15,2)</f>
        <v>2230.2399999999998</v>
      </c>
      <c r="J15" s="38">
        <f>ROUND(D15*G15,2)</f>
        <v>2230.2399999999998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02'!E7</f>
        <v>5921.73</v>
      </c>
      <c r="G16" s="30">
        <f>F16+BM.01!G16</f>
        <v>5921.73</v>
      </c>
      <c r="H16" s="38">
        <f t="shared" ref="H16:H20" si="1">ROUND(E16*D16,2)</f>
        <v>5464.98</v>
      </c>
      <c r="I16" s="39">
        <f t="shared" ref="I16:I20" si="2">ROUND(D16*F16,2)</f>
        <v>2309.4699999999998</v>
      </c>
      <c r="J16" s="38">
        <f t="shared" ref="J16:J20" si="3">ROUND(D16*G16,2)</f>
        <v>2309.4699999999998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02'!E8</f>
        <v>568.49</v>
      </c>
      <c r="G17" s="30">
        <f>F17+BM.01!G17</f>
        <v>1125.46</v>
      </c>
      <c r="H17" s="38">
        <f t="shared" si="1"/>
        <v>385305.59999999998</v>
      </c>
      <c r="I17" s="39">
        <f t="shared" si="2"/>
        <v>112151.71</v>
      </c>
      <c r="J17" s="38">
        <f t="shared" si="3"/>
        <v>222030.75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02'!E9</f>
        <v>0</v>
      </c>
      <c r="G18" s="30">
        <f>F18+BM.01!G18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02'!E10</f>
        <v>13745.4</v>
      </c>
      <c r="G19" s="30">
        <f>F19+BM.01!G19</f>
        <v>27211.8</v>
      </c>
      <c r="H19" s="38">
        <f t="shared" si="1"/>
        <v>59766.9</v>
      </c>
      <c r="I19" s="39">
        <f t="shared" si="2"/>
        <v>14020.31</v>
      </c>
      <c r="J19" s="38">
        <f t="shared" si="3"/>
        <v>27756.04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02'!E11</f>
        <v>4566.3</v>
      </c>
      <c r="G20" s="30">
        <f>F20+BM.01!G20</f>
        <v>4566.3</v>
      </c>
      <c r="H20" s="38">
        <f t="shared" si="1"/>
        <v>6574.5</v>
      </c>
      <c r="I20" s="39">
        <f t="shared" si="2"/>
        <v>4109.67</v>
      </c>
      <c r="J20" s="38">
        <f t="shared" si="3"/>
        <v>4109.67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6"/>
      <c r="H21" s="37">
        <f>H22</f>
        <v>45612.59</v>
      </c>
      <c r="I21" s="37">
        <f>SUM(I22:I22)</f>
        <v>0</v>
      </c>
      <c r="J21" s="37">
        <f>SUM(J22:J22)</f>
        <v>0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02'!E13</f>
        <v>0</v>
      </c>
      <c r="G22" s="30">
        <f>F22+BM.01!G22</f>
        <v>0</v>
      </c>
      <c r="H22" s="38">
        <f>ROUND(E22*D22,2)</f>
        <v>45612.59</v>
      </c>
      <c r="I22" s="39">
        <f>ROUND(D22*F22,2)</f>
        <v>0</v>
      </c>
      <c r="J22" s="38">
        <f>ROUND(D22*G22,2)</f>
        <v>0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02'!E15</f>
        <v>0</v>
      </c>
      <c r="G24" s="30">
        <f>F24+BM.01!G24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4">SUM(I26:I28)</f>
        <v>315773.37</v>
      </c>
      <c r="J25" s="37">
        <f t="shared" si="4"/>
        <v>554577.53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02'!E17</f>
        <v>2.96</v>
      </c>
      <c r="G26" s="30">
        <f>F26+BM.01!G26</f>
        <v>2.96</v>
      </c>
      <c r="H26" s="38">
        <f>ROUND(E26*D26,2)</f>
        <v>41091.01</v>
      </c>
      <c r="I26" s="39">
        <f t="shared" ref="I26:I27" si="5">ROUND(D26*F26,2)</f>
        <v>17350.84</v>
      </c>
      <c r="J26" s="38">
        <f t="shared" ref="J26:J27" si="6">ROUND(D26*G26,2)</f>
        <v>17350.84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02'!E18</f>
        <v>29.56</v>
      </c>
      <c r="G27" s="30">
        <f>F27+BM.01!G27</f>
        <v>58.52</v>
      </c>
      <c r="H27" s="38">
        <f>ROUND(E27*D27,2)</f>
        <v>966348.74</v>
      </c>
      <c r="I27" s="39">
        <f t="shared" si="5"/>
        <v>243751.76</v>
      </c>
      <c r="J27" s="38">
        <f t="shared" si="6"/>
        <v>482555.92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02'!E19</f>
        <v>6.86</v>
      </c>
      <c r="G28" s="24">
        <f>F28</f>
        <v>6.86</v>
      </c>
      <c r="H28" s="38">
        <f>ROUND(E28*D28,2)</f>
        <v>60568.2</v>
      </c>
      <c r="I28" s="39">
        <f t="shared" ref="I28" si="7">ROUND(D28*F28,2)</f>
        <v>54670.77</v>
      </c>
      <c r="J28" s="38">
        <f t="shared" ref="J28" si="8">ROUND(D28*G28,2)</f>
        <v>54670.77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6"/>
      <c r="H29" s="37">
        <f>H30</f>
        <v>1709.78</v>
      </c>
      <c r="I29" s="37">
        <f>SUM(I30:I30)</f>
        <v>0</v>
      </c>
      <c r="J29" s="37">
        <f>SUM(J30:J30)</f>
        <v>0</v>
      </c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02'!E21</f>
        <v>0</v>
      </c>
      <c r="G30" s="24">
        <f>F30+BM.01!G29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450594.77</v>
      </c>
      <c r="J31" s="40">
        <f>J14+J23+J25+J29+J21</f>
        <v>813013.7</v>
      </c>
      <c r="K31" s="67">
        <f>J31/H31</f>
        <v>0.50829999999999997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0" ht="17.25" customHeight="1" x14ac:dyDescent="0.25">
      <c r="A33" s="105" t="s">
        <v>23</v>
      </c>
      <c r="B33" s="105"/>
      <c r="C33" s="105"/>
      <c r="D33" s="106">
        <f>I31</f>
        <v>450594.77</v>
      </c>
      <c r="E33" s="106"/>
      <c r="F33" s="107"/>
      <c r="G33" s="107"/>
      <c r="H33" s="107"/>
      <c r="I33" s="107"/>
      <c r="J33" s="107"/>
    </row>
    <row r="34" spans="1:10" ht="6" customHeight="1" x14ac:dyDescent="0.25">
      <c r="C34" s="18"/>
      <c r="E34" s="19"/>
      <c r="F34" s="19"/>
    </row>
    <row r="35" spans="1:10" x14ac:dyDescent="0.25">
      <c r="C35" s="20"/>
      <c r="D35" s="20"/>
      <c r="E35" s="20"/>
      <c r="G35" s="108"/>
      <c r="H35" s="108"/>
      <c r="I35" s="108"/>
      <c r="J35" s="108"/>
    </row>
    <row r="39" spans="1:10" x14ac:dyDescent="0.25">
      <c r="H39" s="22"/>
    </row>
    <row r="41" spans="1:10" x14ac:dyDescent="0.25">
      <c r="J41" s="43"/>
    </row>
  </sheetData>
  <mergeCells count="34">
    <mergeCell ref="A31:G31"/>
    <mergeCell ref="A33:C33"/>
    <mergeCell ref="D33:E33"/>
    <mergeCell ref="F33:J33"/>
    <mergeCell ref="G35:J35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BB1D-B139-4F6D-BFD0-CAFA86CEE566}">
  <dimension ref="A1:H23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116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 t="s">
        <v>90</v>
      </c>
      <c r="E6" s="48">
        <f>737.2*((7.4+8.5+7.7+7.7+8.1+8.55+8.3+8.3+7.95+7.8+8+7.4+6.45+6.45)/14)</f>
        <v>5718.57</v>
      </c>
      <c r="G6" s="59"/>
      <c r="H6">
        <f>(6.15+5.1+4.6+6.8)/4</f>
        <v>5.6624999999999996</v>
      </c>
    </row>
    <row r="7" spans="1:8" ht="75" x14ac:dyDescent="0.25">
      <c r="A7" s="68" t="s">
        <v>77</v>
      </c>
      <c r="B7" s="68" t="s">
        <v>61</v>
      </c>
      <c r="C7" s="23" t="s">
        <v>53</v>
      </c>
      <c r="D7" s="60" t="s">
        <v>115</v>
      </c>
      <c r="E7" s="48">
        <f>389.3+568.24+1917.27+470.05+572.83+2004.04</f>
        <v>5921.73</v>
      </c>
      <c r="F7">
        <f>286*( (11.7+ 7.5+ 6.1+ 5.4+ 4.75+ 6.8+ 6.8)/7)</f>
        <v>2004.0428571428599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68" t="s">
        <v>78</v>
      </c>
      <c r="B8" s="68" t="s">
        <v>62</v>
      </c>
      <c r="C8" s="23" t="s">
        <v>54</v>
      </c>
      <c r="D8" s="60" t="s">
        <v>97</v>
      </c>
      <c r="E8" s="48">
        <f>(E7)*0.04*2.4</f>
        <v>568.49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13745.4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4566.3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/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2.96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29.56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6.86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747E-99BE-49F7-A000-0048C24E72FC}">
  <sheetPr codeName="Plan20"/>
  <dimension ref="A1:K41"/>
  <sheetViews>
    <sheetView view="pageBreakPreview" zoomScale="90" zoomScaleNormal="100" zoomScaleSheetLayoutView="90" workbookViewId="0">
      <selection activeCell="F8" sqref="F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118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45652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BM.03!$I$31</f>
        <v>219684.38</v>
      </c>
      <c r="H8" s="123"/>
      <c r="I8" s="115" t="s">
        <v>119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72940.100000000006</v>
      </c>
      <c r="J14" s="37">
        <f t="shared" si="0"/>
        <v>331376.26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03'!E6</f>
        <v>0</v>
      </c>
      <c r="G15" s="30">
        <f>F15+BM.02!G15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03'!E7</f>
        <v>3286.97</v>
      </c>
      <c r="G16" s="30">
        <f>F16+BM.02!G16</f>
        <v>9208.7000000000007</v>
      </c>
      <c r="H16" s="38">
        <f t="shared" ref="H16:H20" si="1">ROUND(E16*D16,2)</f>
        <v>5464.98</v>
      </c>
      <c r="I16" s="39">
        <f t="shared" ref="I16:I20" si="2">ROUND(D16*F16,2)</f>
        <v>1281.92</v>
      </c>
      <c r="J16" s="38">
        <f t="shared" ref="J16:J20" si="3">ROUND(D16*G16,2)</f>
        <v>3591.39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03'!E8</f>
        <v>319.77</v>
      </c>
      <c r="G17" s="30">
        <f>F17+BM.02!G17</f>
        <v>1445.23</v>
      </c>
      <c r="H17" s="38">
        <f t="shared" si="1"/>
        <v>385305.59999999998</v>
      </c>
      <c r="I17" s="39">
        <f t="shared" si="2"/>
        <v>63084.23</v>
      </c>
      <c r="J17" s="38">
        <f t="shared" si="3"/>
        <v>285114.96999999997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03'!E9</f>
        <v>0</v>
      </c>
      <c r="G18" s="30">
        <f>F18+BM.02!G18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03'!E10</f>
        <v>7732.95</v>
      </c>
      <c r="G19" s="30">
        <f>F19+BM.02!G19</f>
        <v>34944.75</v>
      </c>
      <c r="H19" s="38">
        <f t="shared" si="1"/>
        <v>59766.9</v>
      </c>
      <c r="I19" s="39">
        <f t="shared" si="2"/>
        <v>7887.61</v>
      </c>
      <c r="J19" s="38">
        <f t="shared" si="3"/>
        <v>35643.65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03'!E11</f>
        <v>762.6</v>
      </c>
      <c r="G20" s="30">
        <f>F20+BM.02!G20</f>
        <v>5328.9</v>
      </c>
      <c r="H20" s="38">
        <f t="shared" si="1"/>
        <v>6574.5</v>
      </c>
      <c r="I20" s="39">
        <f t="shared" si="2"/>
        <v>686.34</v>
      </c>
      <c r="J20" s="38">
        <f t="shared" si="3"/>
        <v>4796.01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0</v>
      </c>
      <c r="J21" s="37">
        <f>SUM(J22:J22)</f>
        <v>0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03'!E13</f>
        <v>0</v>
      </c>
      <c r="G22" s="30">
        <f>F22+BM.02!G22</f>
        <v>0</v>
      </c>
      <c r="H22" s="38">
        <f>ROUND(E22*D22,2)</f>
        <v>45612.59</v>
      </c>
      <c r="I22" s="39">
        <f>ROUND(D22*F22,2)</f>
        <v>0</v>
      </c>
      <c r="J22" s="38">
        <f>ROUND(D22*G22,2)</f>
        <v>0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03'!E15</f>
        <v>0</v>
      </c>
      <c r="G24" s="30">
        <f>F24+BM.02!G24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4">SUM(I26:I28)</f>
        <v>146744.28</v>
      </c>
      <c r="J25" s="37">
        <f t="shared" si="4"/>
        <v>701321.81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03'!E17</f>
        <v>1.64</v>
      </c>
      <c r="G26" s="30">
        <f>F26+BM.02!G26</f>
        <v>4.5999999999999996</v>
      </c>
      <c r="H26" s="38">
        <f>ROUND(E26*D26,2)</f>
        <v>41091.01</v>
      </c>
      <c r="I26" s="39">
        <f t="shared" ref="I26:I28" si="5">ROUND(D26*F26,2)</f>
        <v>9613.2999999999993</v>
      </c>
      <c r="J26" s="38">
        <f t="shared" ref="J26:J28" si="6">ROUND(D26*G26,2)</f>
        <v>26964.14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03'!E18</f>
        <v>16.63</v>
      </c>
      <c r="G27" s="30">
        <f>F27+BM.02!G27</f>
        <v>75.150000000000006</v>
      </c>
      <c r="H27" s="38">
        <f>ROUND(E27*D27,2)</f>
        <v>966348.74</v>
      </c>
      <c r="I27" s="39">
        <f t="shared" si="5"/>
        <v>137130.98000000001</v>
      </c>
      <c r="J27" s="38">
        <f t="shared" si="6"/>
        <v>619686.9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03'!E19</f>
        <v>0</v>
      </c>
      <c r="G28" s="30">
        <f>F28+BM.02!G28</f>
        <v>6.86</v>
      </c>
      <c r="H28" s="38">
        <f>ROUND(E28*D28,2)</f>
        <v>60568.2</v>
      </c>
      <c r="I28" s="39">
        <f t="shared" si="5"/>
        <v>0</v>
      </c>
      <c r="J28" s="38">
        <f t="shared" si="6"/>
        <v>54670.77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03'!E21</f>
        <v>0</v>
      </c>
      <c r="G30" s="30">
        <f>F30+BM.02!G30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219684.38</v>
      </c>
      <c r="J31" s="40">
        <f>J14+J23+J25+J29+J21</f>
        <v>1032698.07</v>
      </c>
      <c r="K31" s="67">
        <f>J31/H31</f>
        <v>0.64559999999999995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0" ht="17.25" customHeight="1" x14ac:dyDescent="0.25">
      <c r="A33" s="105" t="s">
        <v>23</v>
      </c>
      <c r="B33" s="105"/>
      <c r="C33" s="105"/>
      <c r="D33" s="106">
        <f>I31</f>
        <v>219684.38</v>
      </c>
      <c r="E33" s="106"/>
      <c r="F33" s="107"/>
      <c r="G33" s="107"/>
      <c r="H33" s="107"/>
      <c r="I33" s="107"/>
      <c r="J33" s="107"/>
    </row>
    <row r="34" spans="1:10" ht="6" customHeight="1" x14ac:dyDescent="0.25">
      <c r="C34" s="18"/>
      <c r="E34" s="19"/>
      <c r="F34" s="19"/>
    </row>
    <row r="35" spans="1:10" x14ac:dyDescent="0.25">
      <c r="C35" s="20"/>
      <c r="D35" s="20"/>
      <c r="E35" s="20"/>
      <c r="G35" s="108"/>
      <c r="H35" s="108"/>
      <c r="I35" s="108"/>
      <c r="J35" s="108"/>
    </row>
    <row r="39" spans="1:10" x14ac:dyDescent="0.25">
      <c r="H39" s="22"/>
    </row>
    <row r="41" spans="1:10" x14ac:dyDescent="0.25">
      <c r="J41" s="43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31:G31"/>
    <mergeCell ref="A33:C33"/>
    <mergeCell ref="D33:E33"/>
    <mergeCell ref="F33:J33"/>
    <mergeCell ref="G35:J35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20D6-24CF-496A-A574-15ABB38F0B3F}">
  <dimension ref="A1:H23"/>
  <sheetViews>
    <sheetView view="pageBreakPreview" zoomScale="90" zoomScaleNormal="100" zoomScaleSheetLayoutView="90" workbookViewId="0">
      <selection activeCell="E8" sqref="E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117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  <c r="H6">
        <f>(6.15+5.1+4.6+6.8)/4</f>
        <v>5.6624999999999996</v>
      </c>
    </row>
    <row r="7" spans="1:8" ht="60" x14ac:dyDescent="0.25">
      <c r="A7" s="68" t="s">
        <v>77</v>
      </c>
      <c r="B7" s="68" t="s">
        <v>61</v>
      </c>
      <c r="C7" s="23" t="s">
        <v>53</v>
      </c>
      <c r="D7" s="60" t="s">
        <v>120</v>
      </c>
      <c r="E7" s="48">
        <f>1104+766.41+631.21+785.35</f>
        <v>3286.97</v>
      </c>
      <c r="F7">
        <f>111.2*((7.5+6.75+7+7)/4)</f>
        <v>785.35</v>
      </c>
      <c r="G7">
        <f>(31.9+40.4)*4.1/2</f>
        <v>148.215</v>
      </c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121</v>
      </c>
      <c r="E8" s="48">
        <f>(E7)*0.04*2.4+(1.76*2.4)</f>
        <v>319.77</v>
      </c>
      <c r="F8">
        <f>0.06*(7.5+7+8+6.9)</f>
        <v>1.764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7732.95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762.6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/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1.64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16.63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4BEE-18E7-49EC-A1E0-D765D575475B}">
  <sheetPr codeName="Plan21"/>
  <dimension ref="A1:K45"/>
  <sheetViews>
    <sheetView tabSelected="1" view="pageBreakPreview" topLeftCell="A4" zoomScale="90" zoomScaleNormal="100" zoomScaleSheetLayoutView="90" workbookViewId="0">
      <selection activeCell="B35" sqref="B3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122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45733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BM.04!$I$31</f>
        <v>212564.77</v>
      </c>
      <c r="H8" s="123"/>
      <c r="I8" s="115" t="s">
        <v>123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55408.34</v>
      </c>
      <c r="J14" s="37">
        <f t="shared" si="0"/>
        <v>386784.59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04'!E6</f>
        <v>0</v>
      </c>
      <c r="G15" s="30">
        <f>F15+BM.03!G15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04'!E7</f>
        <v>2520.87</v>
      </c>
      <c r="G16" s="30">
        <f>F16+BM.03!G16</f>
        <v>11729.57</v>
      </c>
      <c r="H16" s="38">
        <f t="shared" ref="H16:H20" si="1">ROUND(E16*D16,2)</f>
        <v>5464.98</v>
      </c>
      <c r="I16" s="39">
        <f t="shared" ref="I16:I20" si="2">ROUND(D16*F16,2)</f>
        <v>983.14</v>
      </c>
      <c r="J16" s="38">
        <f t="shared" ref="J16:J20" si="3">ROUND(D16*G16,2)</f>
        <v>4574.53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04'!E8</f>
        <v>242.84</v>
      </c>
      <c r="G17" s="30">
        <f>F17+BM.03!G17</f>
        <v>1688.07</v>
      </c>
      <c r="H17" s="38">
        <f t="shared" si="1"/>
        <v>385305.59999999998</v>
      </c>
      <c r="I17" s="39">
        <f t="shared" si="2"/>
        <v>47907.48</v>
      </c>
      <c r="J17" s="38">
        <f t="shared" si="3"/>
        <v>333022.45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04'!E9</f>
        <v>0</v>
      </c>
      <c r="G18" s="30">
        <f>F18+BM.03!G18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04'!E10</f>
        <v>5872.95</v>
      </c>
      <c r="G19" s="30">
        <f>F19+BM.03!G19</f>
        <v>40817.699999999997</v>
      </c>
      <c r="H19" s="38">
        <f t="shared" si="1"/>
        <v>59766.9</v>
      </c>
      <c r="I19" s="39">
        <f t="shared" si="2"/>
        <v>5990.41</v>
      </c>
      <c r="J19" s="38">
        <f t="shared" si="3"/>
        <v>41634.050000000003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04'!E11</f>
        <v>585.9</v>
      </c>
      <c r="G20" s="30">
        <f>F20+BM.03!G20</f>
        <v>5914.8</v>
      </c>
      <c r="H20" s="38">
        <f t="shared" si="1"/>
        <v>6574.5</v>
      </c>
      <c r="I20" s="39">
        <f t="shared" si="2"/>
        <v>527.30999999999995</v>
      </c>
      <c r="J20" s="38">
        <f t="shared" si="3"/>
        <v>5323.32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45623.62</v>
      </c>
      <c r="J21" s="37">
        <f>SUM(J22:J22)</f>
        <v>45623.62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04'!E13</f>
        <v>1406.4</v>
      </c>
      <c r="G22" s="30">
        <f>F22+BM.03!G22</f>
        <v>1406.4</v>
      </c>
      <c r="H22" s="38">
        <f>ROUND(E22*D22,2)</f>
        <v>45612.59</v>
      </c>
      <c r="I22" s="39">
        <f>ROUND(D22*F22,2)</f>
        <v>45623.62</v>
      </c>
      <c r="J22" s="38">
        <f>ROUND(D22*G22,2)</f>
        <v>45623.62</v>
      </c>
      <c r="K22" s="76"/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04'!E15</f>
        <v>0</v>
      </c>
      <c r="G24" s="30">
        <f>F24+BM.03!G24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4">SUM(I26:I28)</f>
        <v>111532.81</v>
      </c>
      <c r="J25" s="37">
        <f t="shared" si="4"/>
        <v>812854.62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04'!E17</f>
        <v>1.26</v>
      </c>
      <c r="G26" s="30">
        <f>F26+BM.03!G26</f>
        <v>5.86</v>
      </c>
      <c r="H26" s="38">
        <f>ROUND(E26*D26,2)</f>
        <v>41091.01</v>
      </c>
      <c r="I26" s="39">
        <f t="shared" ref="I26:I28" si="5">ROUND(D26*F26,2)</f>
        <v>7385.83</v>
      </c>
      <c r="J26" s="38">
        <f t="shared" ref="J26:J28" si="6">ROUND(D26*G26,2)</f>
        <v>34349.97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04'!E18</f>
        <v>12.63</v>
      </c>
      <c r="G27" s="30">
        <f>F27+BM.03!G27</f>
        <v>87.78</v>
      </c>
      <c r="H27" s="38">
        <f>ROUND(E27*D27,2)</f>
        <v>966348.74</v>
      </c>
      <c r="I27" s="39">
        <f t="shared" si="5"/>
        <v>104146.98</v>
      </c>
      <c r="J27" s="38">
        <f t="shared" si="6"/>
        <v>723833.88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04'!E19</f>
        <v>0</v>
      </c>
      <c r="G28" s="30">
        <f>F28+BM.03!G28</f>
        <v>6.86</v>
      </c>
      <c r="H28" s="38">
        <f>ROUND(E28*D28,2)</f>
        <v>60568.2</v>
      </c>
      <c r="I28" s="39">
        <f t="shared" si="5"/>
        <v>0</v>
      </c>
      <c r="J28" s="38">
        <f t="shared" si="6"/>
        <v>54670.77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04'!E21</f>
        <v>0</v>
      </c>
      <c r="G30" s="30">
        <f>F30+BM.03!G30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212564.77</v>
      </c>
      <c r="J31" s="40">
        <f>J14+J23+J25+J29+J21</f>
        <v>1245262.83</v>
      </c>
      <c r="K31" s="67">
        <f>J31/H31</f>
        <v>0.77849999999999997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1" ht="17.25" customHeight="1" x14ac:dyDescent="0.25">
      <c r="A33" s="105" t="s">
        <v>23</v>
      </c>
      <c r="B33" s="105"/>
      <c r="C33" s="105"/>
      <c r="D33" s="106">
        <f>I31</f>
        <v>212564.77</v>
      </c>
      <c r="E33" s="106"/>
      <c r="F33" s="107"/>
      <c r="G33" s="107"/>
      <c r="H33" s="107"/>
      <c r="I33" s="107"/>
      <c r="J33" s="107"/>
    </row>
    <row r="34" spans="1:11" ht="17.25" customHeight="1" x14ac:dyDescent="0.25">
      <c r="A34" s="73"/>
      <c r="B34" s="73"/>
      <c r="C34" s="73"/>
      <c r="D34" s="74"/>
      <c r="E34" s="74"/>
      <c r="F34" s="75"/>
      <c r="G34" s="75"/>
      <c r="H34" s="75"/>
      <c r="I34" s="75"/>
      <c r="J34" s="75"/>
    </row>
    <row r="35" spans="1:11" ht="17.25" customHeight="1" x14ac:dyDescent="0.25">
      <c r="A35" s="73"/>
      <c r="B35" s="73"/>
      <c r="C35" s="73"/>
      <c r="D35" s="74"/>
      <c r="E35" s="74"/>
      <c r="F35" s="75"/>
      <c r="G35" s="75"/>
      <c r="H35" s="75"/>
      <c r="I35" s="75"/>
      <c r="J35" s="75"/>
    </row>
    <row r="36" spans="1:11" ht="17.25" customHeight="1" x14ac:dyDescent="0.25">
      <c r="A36" s="73"/>
      <c r="B36" s="73"/>
      <c r="C36" s="73"/>
      <c r="D36" s="74"/>
      <c r="E36" s="74"/>
      <c r="F36" s="75"/>
      <c r="G36" s="75"/>
      <c r="H36" s="75"/>
      <c r="I36" s="75"/>
      <c r="J36" s="75"/>
    </row>
    <row r="37" spans="1:11" ht="6" customHeight="1" x14ac:dyDescent="0.25">
      <c r="C37" s="18"/>
      <c r="E37" s="19"/>
      <c r="F37" s="19"/>
    </row>
    <row r="38" spans="1:11" ht="6" customHeight="1" x14ac:dyDescent="0.25">
      <c r="C38" s="18"/>
      <c r="E38" s="19"/>
      <c r="F38" s="19"/>
    </row>
    <row r="39" spans="1:11" x14ac:dyDescent="0.25">
      <c r="C39" s="20"/>
      <c r="D39" s="20"/>
      <c r="E39" s="20"/>
      <c r="G39" s="108"/>
      <c r="H39" s="108"/>
      <c r="I39" s="108"/>
      <c r="J39" s="108"/>
    </row>
    <row r="40" spans="1:11" ht="15" x14ac:dyDescent="0.25">
      <c r="B40" s="59" t="s">
        <v>127</v>
      </c>
      <c r="D40" t="s">
        <v>128</v>
      </c>
      <c r="E40"/>
      <c r="F40"/>
      <c r="G40"/>
      <c r="H40" s="138" t="s">
        <v>132</v>
      </c>
      <c r="I40" s="138"/>
      <c r="J40" s="138"/>
      <c r="K40"/>
    </row>
    <row r="41" spans="1:11" ht="15" x14ac:dyDescent="0.25">
      <c r="B41" s="59" t="s">
        <v>129</v>
      </c>
      <c r="C41" s="138" t="s">
        <v>130</v>
      </c>
      <c r="D41" s="138"/>
      <c r="E41" s="138"/>
      <c r="F41" s="138"/>
      <c r="G41" s="138"/>
      <c r="H41" s="138" t="s">
        <v>131</v>
      </c>
      <c r="I41" s="138"/>
      <c r="J41" s="138"/>
      <c r="K41"/>
    </row>
    <row r="43" spans="1:11" x14ac:dyDescent="0.25">
      <c r="H43" s="22"/>
    </row>
    <row r="45" spans="1:11" x14ac:dyDescent="0.25">
      <c r="J45" s="43"/>
    </row>
  </sheetData>
  <mergeCells count="37">
    <mergeCell ref="C41:G41"/>
    <mergeCell ref="H41:J41"/>
    <mergeCell ref="H40:J40"/>
    <mergeCell ref="A31:G31"/>
    <mergeCell ref="A33:C33"/>
    <mergeCell ref="D33:E33"/>
    <mergeCell ref="F33:J33"/>
    <mergeCell ref="G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21</vt:i4>
      </vt:variant>
    </vt:vector>
  </HeadingPairs>
  <TitlesOfParts>
    <vt:vector size="35" baseType="lpstr">
      <vt:lpstr>BM.01</vt:lpstr>
      <vt:lpstr>Memória 01</vt:lpstr>
      <vt:lpstr>Reprogramação</vt:lpstr>
      <vt:lpstr>Memória reprogramação</vt:lpstr>
      <vt:lpstr>BM.02</vt:lpstr>
      <vt:lpstr>Memória 02</vt:lpstr>
      <vt:lpstr>BM.03</vt:lpstr>
      <vt:lpstr>Memória 03</vt:lpstr>
      <vt:lpstr>BM.04</vt:lpstr>
      <vt:lpstr>Memória 04</vt:lpstr>
      <vt:lpstr>BM.05 (2,4 t-m³)</vt:lpstr>
      <vt:lpstr>Memória 05 (2,4 t-m³)</vt:lpstr>
      <vt:lpstr>BM 05 (2,326 t-m³)</vt:lpstr>
      <vt:lpstr>Memória 05 (2,326 t-m³)</vt:lpstr>
      <vt:lpstr>'BM 05 (2,326 t-m³)'!Area_de_impressao</vt:lpstr>
      <vt:lpstr>BM.01!Area_de_impressao</vt:lpstr>
      <vt:lpstr>BM.02!Area_de_impressao</vt:lpstr>
      <vt:lpstr>BM.03!Area_de_impressao</vt:lpstr>
      <vt:lpstr>BM.04!Area_de_impressao</vt:lpstr>
      <vt:lpstr>'BM.05 (2,4 t-m³)'!Area_de_impressao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 (2,326 t-m³)'!Area_de_impressao</vt:lpstr>
      <vt:lpstr>'Memória 05 (2,4 t-m³)'!Area_de_impressao</vt:lpstr>
      <vt:lpstr>'Memória reprogramação'!Area_de_impressao</vt:lpstr>
      <vt:lpstr>Reprogramação!Area_de_impressao</vt:lpstr>
      <vt:lpstr>'BM 05 (2,326 t-m³)'!Titulos_de_impressao</vt:lpstr>
      <vt:lpstr>BM.01!Titulos_de_impressao</vt:lpstr>
      <vt:lpstr>BM.02!Titulos_de_impressao</vt:lpstr>
      <vt:lpstr>BM.03!Titulos_de_impressao</vt:lpstr>
      <vt:lpstr>BM.04!Titulos_de_impressao</vt:lpstr>
      <vt:lpstr>'BM.05 (2,4 t-m³)'!Titulos_de_impressao</vt:lpstr>
      <vt:lpstr>Reprogramação!Titulos_de_impressao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2025-05-27T23:54:34Z</cp:lastPrinted>
  <dcterms:created xsi:type="dcterms:W3CDTF">2020-05-27T14:22:35Z</dcterms:created>
  <dcterms:modified xsi:type="dcterms:W3CDTF">2026-08-25T13:48:29Z</dcterms:modified>
</cp:coreProperties>
</file>