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0730" windowHeight="11640" tabRatio="925" activeTab="1"/>
  </bookViews>
  <sheets>
    <sheet name="Composições" sheetId="11" r:id="rId1"/>
    <sheet name="P O " sheetId="12" r:id="rId2"/>
    <sheet name="PLAN RESUMO" sheetId="13" r:id="rId3"/>
    <sheet name="CRONOGRAMA" sheetId="14" r:id="rId4"/>
    <sheet name="BDI" sheetId="15" r:id="rId5"/>
    <sheet name="ENCARGOS" sheetId="16" r:id="rId6"/>
  </sheets>
  <externalReferences>
    <externalReference r:id="rId7"/>
  </externalReferences>
  <definedNames>
    <definedName name="_xlnm.Print_Area" localSheetId="0">Composições!$B$1:$P$74</definedName>
  </definedNames>
  <calcPr calcId="144525"/>
</workbook>
</file>

<file path=xl/calcChain.xml><?xml version="1.0" encoding="utf-8"?>
<calcChain xmlns="http://schemas.openxmlformats.org/spreadsheetml/2006/main">
  <c r="M100" i="12" l="1"/>
  <c r="M98" i="12"/>
  <c r="B8" i="16" l="1"/>
  <c r="A9" i="15" l="1"/>
  <c r="E100" i="12"/>
  <c r="E99" i="12"/>
  <c r="F99" i="12" s="1"/>
  <c r="H99" i="12" s="1"/>
  <c r="E31" i="12"/>
  <c r="F31" i="12" s="1"/>
  <c r="H31" i="12" s="1"/>
  <c r="E30" i="12"/>
  <c r="F30" i="12" s="1"/>
  <c r="H30" i="12" s="1"/>
  <c r="F100" i="12"/>
  <c r="H100" i="12" s="1"/>
  <c r="G99" i="12"/>
  <c r="G100" i="12"/>
  <c r="G118" i="12"/>
  <c r="G117" i="12" s="1"/>
  <c r="F118" i="12"/>
  <c r="H118" i="12" s="1"/>
  <c r="H117" i="12" s="1"/>
  <c r="G115" i="12"/>
  <c r="G114" i="12" s="1"/>
  <c r="F115" i="12"/>
  <c r="H115" i="12" s="1"/>
  <c r="H114" i="12" s="1"/>
  <c r="G112" i="12"/>
  <c r="G111" i="12" s="1"/>
  <c r="F112" i="12"/>
  <c r="H112" i="12" s="1"/>
  <c r="H111" i="12" s="1"/>
  <c r="G109" i="12"/>
  <c r="F109" i="12"/>
  <c r="H109" i="12" s="1"/>
  <c r="G108" i="12"/>
  <c r="F108" i="12"/>
  <c r="H108" i="12" s="1"/>
  <c r="G105" i="12"/>
  <c r="F105" i="12"/>
  <c r="H105" i="12" s="1"/>
  <c r="G104" i="12"/>
  <c r="F104" i="12"/>
  <c r="H104" i="12" s="1"/>
  <c r="G101" i="12"/>
  <c r="F101" i="12"/>
  <c r="H101" i="12" s="1"/>
  <c r="G98" i="12"/>
  <c r="F98" i="12"/>
  <c r="H98" i="12" s="1"/>
  <c r="G95" i="12"/>
  <c r="F95" i="12"/>
  <c r="H95" i="12" s="1"/>
  <c r="G94" i="12"/>
  <c r="F94" i="12"/>
  <c r="H94" i="12" s="1"/>
  <c r="G91" i="12"/>
  <c r="G90" i="12" s="1"/>
  <c r="F91" i="12"/>
  <c r="H91" i="12" s="1"/>
  <c r="H90" i="12" s="1"/>
  <c r="G84" i="12"/>
  <c r="G83" i="12" s="1"/>
  <c r="F84" i="12"/>
  <c r="H84" i="12" s="1"/>
  <c r="H83" i="12" s="1"/>
  <c r="G81" i="12"/>
  <c r="F81" i="12"/>
  <c r="H81" i="12" s="1"/>
  <c r="G78" i="12"/>
  <c r="G77" i="12" s="1"/>
  <c r="F78" i="12"/>
  <c r="H78" i="12" s="1"/>
  <c r="H77" i="12" s="1"/>
  <c r="G75" i="12"/>
  <c r="F75" i="12"/>
  <c r="H75" i="12" s="1"/>
  <c r="G74" i="12"/>
  <c r="F74" i="12"/>
  <c r="H74" i="12" s="1"/>
  <c r="G71" i="12"/>
  <c r="F71" i="12"/>
  <c r="H71" i="12" s="1"/>
  <c r="G70" i="12"/>
  <c r="F70" i="12"/>
  <c r="H70" i="12" s="1"/>
  <c r="G67" i="12"/>
  <c r="F67" i="12"/>
  <c r="H67" i="12" s="1"/>
  <c r="G66" i="12"/>
  <c r="F66" i="12"/>
  <c r="H66" i="12" s="1"/>
  <c r="G65" i="12"/>
  <c r="F65" i="12"/>
  <c r="H65" i="12" s="1"/>
  <c r="G64" i="12"/>
  <c r="F64" i="12"/>
  <c r="H64" i="12" s="1"/>
  <c r="G61" i="12"/>
  <c r="F61" i="12"/>
  <c r="H61" i="12" s="1"/>
  <c r="G60" i="12"/>
  <c r="F60" i="12"/>
  <c r="H60" i="12" s="1"/>
  <c r="G57" i="12"/>
  <c r="G56" i="12" s="1"/>
  <c r="F57" i="12"/>
  <c r="H57" i="12" s="1"/>
  <c r="H56" i="12" s="1"/>
  <c r="F39" i="12"/>
  <c r="G47" i="12"/>
  <c r="F47" i="12"/>
  <c r="H47" i="12" s="1"/>
  <c r="G30" i="12"/>
  <c r="F32" i="12"/>
  <c r="H32" i="12" s="1"/>
  <c r="G32" i="12"/>
  <c r="G25" i="12"/>
  <c r="G26" i="12"/>
  <c r="F26" i="12"/>
  <c r="H26" i="12" s="1"/>
  <c r="G31" i="12" l="1"/>
  <c r="G59" i="12"/>
  <c r="G63" i="12"/>
  <c r="H69" i="12"/>
  <c r="G107" i="12"/>
  <c r="H80" i="12"/>
  <c r="H103" i="12"/>
  <c r="G24" i="12"/>
  <c r="G103" i="12"/>
  <c r="H107" i="12"/>
  <c r="G93" i="12"/>
  <c r="G97" i="12"/>
  <c r="H59" i="12"/>
  <c r="H63" i="12"/>
  <c r="H93" i="12"/>
  <c r="H97" i="12"/>
  <c r="G80" i="12"/>
  <c r="G73" i="12"/>
  <c r="H73" i="12"/>
  <c r="G69" i="12"/>
  <c r="C18" i="15"/>
  <c r="G120" i="12" l="1"/>
  <c r="G86" i="12"/>
  <c r="H86" i="12"/>
  <c r="C19" i="13" s="1"/>
  <c r="H120" i="12"/>
  <c r="C22" i="15"/>
  <c r="C28" i="15" s="1"/>
  <c r="C21" i="13" l="1"/>
  <c r="C20" i="14"/>
  <c r="E47" i="16"/>
  <c r="D47" i="16"/>
  <c r="E43" i="16"/>
  <c r="D43" i="16"/>
  <c r="E36" i="16"/>
  <c r="D36" i="16"/>
  <c r="E24" i="16"/>
  <c r="D24" i="16"/>
  <c r="A6" i="15"/>
  <c r="G46" i="12"/>
  <c r="G45" i="12" s="1"/>
  <c r="F46" i="12"/>
  <c r="H46" i="12" s="1"/>
  <c r="H45" i="12" s="1"/>
  <c r="G43" i="12"/>
  <c r="G42" i="12" s="1"/>
  <c r="F43" i="12"/>
  <c r="H43" i="12" s="1"/>
  <c r="H42" i="12" s="1"/>
  <c r="D49" i="16" l="1"/>
  <c r="E20" i="14"/>
  <c r="F20" i="14"/>
  <c r="F22" i="14" s="1"/>
  <c r="E49" i="16"/>
  <c r="G50" i="12" l="1"/>
  <c r="G49" i="12" s="1"/>
  <c r="F50" i="12"/>
  <c r="H50" i="12" s="1"/>
  <c r="H49" i="12" s="1"/>
  <c r="G40" i="12"/>
  <c r="G39" i="12"/>
  <c r="F40" i="12"/>
  <c r="H40" i="12" s="1"/>
  <c r="H39" i="12"/>
  <c r="G36" i="12"/>
  <c r="G35" i="12"/>
  <c r="F36" i="12"/>
  <c r="H36" i="12" s="1"/>
  <c r="F35" i="12"/>
  <c r="H35" i="12" s="1"/>
  <c r="F29" i="12"/>
  <c r="H29" i="12" s="1"/>
  <c r="H28" i="12" s="1"/>
  <c r="F25" i="12"/>
  <c r="H25" i="12" s="1"/>
  <c r="H24" i="12" s="1"/>
  <c r="F22" i="12"/>
  <c r="H22" i="12" s="1"/>
  <c r="G29" i="12"/>
  <c r="G28" i="12" s="1"/>
  <c r="G22" i="12"/>
  <c r="A12" i="12"/>
  <c r="A11" i="12"/>
  <c r="A9" i="12"/>
  <c r="G34" i="12" l="1"/>
  <c r="G38" i="12"/>
  <c r="A11" i="13"/>
  <c r="A8" i="14"/>
  <c r="A7" i="14"/>
  <c r="A10" i="13"/>
  <c r="A8" i="13"/>
  <c r="A5" i="14"/>
  <c r="H38" i="12"/>
  <c r="H34" i="12"/>
  <c r="G21" i="12"/>
  <c r="G52" i="12" s="1"/>
  <c r="H122" i="12" s="1"/>
  <c r="H21" i="12"/>
  <c r="H52" i="12" l="1"/>
  <c r="C17" i="13" l="1"/>
  <c r="C23" i="13" s="1"/>
  <c r="C16" i="14"/>
  <c r="H124" i="12"/>
  <c r="J73" i="11"/>
  <c r="J72" i="11"/>
  <c r="J71" i="11" s="1"/>
  <c r="J69" i="11"/>
  <c r="J67" i="11"/>
  <c r="J68" i="11"/>
  <c r="J66" i="11"/>
  <c r="H123" i="12" l="1"/>
  <c r="J134" i="12"/>
  <c r="J135" i="12" s="1"/>
  <c r="J136" i="12" s="1"/>
  <c r="D16" i="14"/>
  <c r="D22" i="14" s="1"/>
  <c r="C24" i="14"/>
  <c r="E16" i="14"/>
  <c r="E22" i="14" s="1"/>
  <c r="J65" i="11"/>
  <c r="D21" i="14" l="1"/>
  <c r="D24" i="14"/>
  <c r="E24" i="14" s="1"/>
  <c r="F24" i="14" s="1"/>
  <c r="E21" i="14"/>
  <c r="F21" i="14"/>
  <c r="J63" i="11"/>
  <c r="J59" i="11"/>
  <c r="J60" i="11"/>
  <c r="J58" i="11"/>
  <c r="J49" i="11"/>
  <c r="J50" i="11"/>
  <c r="J51" i="11"/>
  <c r="J52" i="11"/>
  <c r="J48" i="11"/>
  <c r="J43" i="11"/>
  <c r="J44" i="11"/>
  <c r="J45" i="11"/>
  <c r="J42" i="11"/>
  <c r="N43" i="11"/>
  <c r="D23" i="14" l="1"/>
  <c r="J57" i="11"/>
  <c r="J47" i="11"/>
  <c r="J41" i="11"/>
  <c r="E23" i="14" l="1"/>
  <c r="J34" i="11"/>
  <c r="J35" i="11"/>
  <c r="J36" i="11"/>
  <c r="J37" i="11"/>
  <c r="J38" i="11"/>
  <c r="J39" i="11"/>
  <c r="J33" i="11"/>
  <c r="J28" i="11"/>
  <c r="J29" i="11"/>
  <c r="J30" i="11"/>
  <c r="J27" i="11"/>
  <c r="J22" i="11"/>
  <c r="J23" i="11"/>
  <c r="J24" i="11"/>
  <c r="J18" i="11"/>
  <c r="J14" i="11"/>
  <c r="F23" i="14" l="1"/>
  <c r="J26" i="11"/>
  <c r="J32" i="11"/>
  <c r="J74" i="11" l="1"/>
  <c r="N71" i="11" s="1"/>
  <c r="H71" i="11"/>
  <c r="J70" i="11"/>
  <c r="N65" i="11" s="1"/>
  <c r="J64" i="11"/>
  <c r="J62" i="11" s="1"/>
  <c r="N62" i="11" s="1"/>
  <c r="H62" i="11"/>
  <c r="J61" i="11"/>
  <c r="N57" i="11" s="1"/>
  <c r="H57" i="11"/>
  <c r="J55" i="11"/>
  <c r="H54" i="11"/>
  <c r="J31" i="11"/>
  <c r="N26" i="11"/>
  <c r="J21" i="11"/>
  <c r="J17" i="11"/>
  <c r="J19" i="11" s="1"/>
  <c r="J16" i="11" s="1"/>
  <c r="N16" i="11" s="1"/>
  <c r="H16" i="11"/>
  <c r="J15" i="11"/>
  <c r="J13" i="11" s="1"/>
  <c r="N13" i="11" s="1"/>
  <c r="P7" i="11"/>
  <c r="J46" i="11" l="1"/>
  <c r="N41" i="11" s="1"/>
  <c r="J12" i="11"/>
  <c r="J11" i="11"/>
  <c r="J25" i="11"/>
  <c r="J20" i="11" s="1"/>
  <c r="N20" i="11" s="1"/>
  <c r="J56" i="11"/>
  <c r="J54" i="11" s="1"/>
  <c r="N54" i="11" s="1"/>
  <c r="J40" i="11"/>
  <c r="N32" i="11" s="1"/>
  <c r="J53" i="11"/>
  <c r="N47" i="11" s="1"/>
</calcChain>
</file>

<file path=xl/sharedStrings.xml><?xml version="1.0" encoding="utf-8"?>
<sst xmlns="http://schemas.openxmlformats.org/spreadsheetml/2006/main" count="530" uniqueCount="328">
  <si>
    <t>INSUMO</t>
  </si>
  <si>
    <t>UN</t>
  </si>
  <si>
    <t>H</t>
  </si>
  <si>
    <t>PLANILHA ORÇAMENTÁRIA ANALÍTICA (COMPOSIÇÃO DOS PREÇOS UNITÁRIOS)</t>
  </si>
  <si>
    <t>Tipo</t>
  </si>
  <si>
    <t>Descrição</t>
  </si>
  <si>
    <t>Und</t>
  </si>
  <si>
    <t>Quant.</t>
  </si>
  <si>
    <t>Valor Unit</t>
  </si>
  <si>
    <t>Total</t>
  </si>
  <si>
    <t>COMPOSIÇÕES PRINCIPAIS</t>
  </si>
  <si>
    <t>M2</t>
  </si>
  <si>
    <t/>
  </si>
  <si>
    <t>L</t>
  </si>
  <si>
    <t>COMPOSICAO</t>
  </si>
  <si>
    <t>SERVENTE COM ENCARGOS COMPLEMENTARES</t>
  </si>
  <si>
    <t>KG</t>
  </si>
  <si>
    <t>M3</t>
  </si>
  <si>
    <t>PEDREIRO COM ENCARGOS COMPLEMENTARES</t>
  </si>
  <si>
    <t>RECOLOCACAO DE PLACAS DIVISORIAS DE GRANILITE, CONSIDERANDO REAPROVEITAMENTO DO MATERIAL</t>
  </si>
  <si>
    <t>CONECTOR PARAFUSO FENDIDO SPLIT-BOLT - PARA CABO DE 35MM2 - FORNECIMENTO E INSTALACAO</t>
  </si>
  <si>
    <t>CAP PVC ESGOTO 100MM (TAMPÃO) - FORNECIMENTO E INSTALAÇÃO</t>
  </si>
  <si>
    <t>TERMINAL AEREO EM ACO GALVANIZADO COM BASE DE FIXACAO H = 30CM</t>
  </si>
  <si>
    <t>CAIXA DE PASSAGEM 30X30X40 COM TAMPA E DRENO BRITA</t>
  </si>
  <si>
    <t>PISO EM GRANILITE, MARMORITE OU GRANITINA ESPESSURA 8 MM, INCLUSO JUNTAS DE DILATACAO PLASTICAS</t>
  </si>
  <si>
    <t>M</t>
  </si>
  <si>
    <t>ESPELHO CRISTAL, ESPESSURA 4MM, COM PARAFUSOS DE FIXACAO, SEM MOLDURA</t>
  </si>
  <si>
    <t>MANOMETRO 0 A 200 PSI (0 A 14 KGF/CM2), D = 50MM - FORNECIMENTO E COLOCACAO</t>
  </si>
  <si>
    <t>MASSA ÚNICA, PARA RECEBIMENTO DE PINTURA, EM ARGAMASSA TRAÇO 1:2:8, PREPARO MECÂNICO COM BETONEIRA 400L, APLICADA MANUALMENTE EM FACES INTERNAS DE PAREDES, ESPESSURA DE 20MM, COM EXECUÇÃO DE TALISCAS. AF_06/2014</t>
  </si>
  <si>
    <t>EMBOÇO, PARA RECEBIMENTO DE CERÂMICA, EM ARGAMASSA TRAÇO 1:2:8, PREPARO MANUAL, APLICADO MANUALMENTE EM FACES INTERNAS DE PAREDES, PARA AMBIENTE COM ÁREA MAIOR QUE 10M2, ESPESSURA DE 10MM, COM EXECUÇÃO DE TALISCAS. AF_06/2014</t>
  </si>
  <si>
    <t>EMBOÇO OU MASSA ÚNICA EM ARGAMASSA TRAÇO 1:2:8, PREPARO MECÂNICO COM BETONEIRA 400 L, APLICADA MANUALMENTE NAS PAREDES INTERNAS DA SACADA, ESPESSURA DE 25 MM, SEM USO DE TELA METÁLICA DE REFORÇO CONTRA FISSURAÇÃO. AF_06/2014</t>
  </si>
  <si>
    <t>CHAPISCO APLICADO EM ALVENARIAS E ESTRUTURAS DE CONCRETO INTERNAS, COM COLHER DE PEDREIRO.  ARGAMASSA TRAÇO 1:3 COM PREPARO EM BETONEIRA 400L. AF_06/2014</t>
  </si>
  <si>
    <t>CARPINTEIRO DE FORMAS COM ENCARGOS COMPLEMENTARES</t>
  </si>
  <si>
    <t>LANÇAMENTO COM USO DE BALDES, ADENSAMENTO E ACABAMENTO DE CONCRETO EM ESTRUTURAS. AF_12/2015</t>
  </si>
  <si>
    <t>ARGAMASSA TRAÇO 1:3 (EM VOLUME DE CIMENTO E AREIA MÉDIA ÚMIDA), PREPARO MECÂNICO COM BETONEIRA 400 L. AF_08/2019</t>
  </si>
  <si>
    <t>MIL</t>
  </si>
  <si>
    <t>LOCAÇÃO DE PONTO PARA REFERÊNCIA TOPOGRÁFICA. AF_10/2018</t>
  </si>
  <si>
    <t>AS</t>
  </si>
  <si>
    <t xml:space="preserve">LOCAÇÃO DE PAVIMENTAÇÃO. AF_10/2018 </t>
  </si>
  <si>
    <t>99058/SINAPI</t>
  </si>
  <si>
    <t>88316/SINAPI</t>
  </si>
  <si>
    <t>88262/SINAPI</t>
  </si>
  <si>
    <t>REGULARIZAÇÃO DO SUBLEITO</t>
  </si>
  <si>
    <t>MOTONIVELADORA POTÊNCIA BÁSICA LÍQUIDA (PRIMEIRA MARCHA) 125 HP, PESO BRUT CHP 13032 KG, LARGURA DA LÂMINA DE 3,7 M - CHP DIURNO. AF_06/2014</t>
  </si>
  <si>
    <t>FORNECIMENTO E APLICACAO DE MEIO FIO EM PEDRA GRANITICA</t>
  </si>
  <si>
    <t>Meio fio granitico</t>
  </si>
  <si>
    <t>88309/SINAPI</t>
  </si>
  <si>
    <t>ARGAMASSA TRAÇO 1:4 (EM VOLUME DE CIMENTO E AREIA MÉDIA ÚMIDA), PREPARO MANUAL. AF_08/201</t>
  </si>
  <si>
    <t>88631/SINAPI</t>
  </si>
  <si>
    <t>FORNECIMENTO E APLICACAO DE MEIO FIO EM PEDRA GRANITICA - CORDÃO DE RUA</t>
  </si>
  <si>
    <t>REVESTIMENTO EM PARALELEPIPEDO INCLUSIVE COLCHAO AREIA</t>
  </si>
  <si>
    <t>AREIA GROSSA -</t>
  </si>
  <si>
    <t>PARALELEPIPEDO GRANITICO OU BASALTICO, PARA PAVIMENTACAO</t>
  </si>
  <si>
    <t>ROLO COMPACTADOR VIBRATÓRIO DE UM CILINDRO AÇO LISO, POTÊNCIA 80 HP, PESO CHP OPERACIONAL MÁXIMO 8,1 T, IMPACTO DINÂMICO 16,15 / 9,5 T, LARGURA DE TRABALHO 1,68 M - CHP DIURNO. AF_06/2014</t>
  </si>
  <si>
    <t>ROLO COMPACTADOR VIBRATÓRIO DE UM CILINDRO AÇO LISO, POTÊNCIA 80 HP, PESO CHI OPERACIONAL MÁXIMO 8,1 T, IMPACTO DINÂMICO 16,15 / 9,5 T, LARGURA DE TRABALHO 1,68 M - CHI DIURNO. AF_06/2014</t>
  </si>
  <si>
    <t>CALCETEIRO COM ENCARGOS COMPLEMENTARES</t>
  </si>
  <si>
    <t>88260/SINAPI</t>
  </si>
  <si>
    <t>5685/SINAPI</t>
  </si>
  <si>
    <t>88628/SINAPI</t>
  </si>
  <si>
    <t>5684/SINAPI</t>
  </si>
  <si>
    <t>ATERRO COM EMPRÉSTIMO PARA PASSEIO DE PEDESTRES, INCLUSIVE TRANSPORTE</t>
  </si>
  <si>
    <t>CAMINHÃO PIPA 10.000 L TRUCADO, PESO BRUTO TOTAL 23.000 KG, CARGA ÚTIL MÁX CHP IMA 15.935 KG, DISTÂNCIA ENTRE EIXOS 4,8 M, POTÊNCIA 230 CV, INCLUSIVE TANQUE DE AÇO PARA TRANSPORTE DE ÁGUA - CHP DIURNO. AF_06/2014</t>
  </si>
  <si>
    <t>5901/SINAPI</t>
  </si>
  <si>
    <t>ARGILA, ARGILA VERMELHA OU ARGILA ARENOSA (RETIRADA NA JAZIDA, SEM TRANSPORTE)</t>
  </si>
  <si>
    <t>COMPACTADOR DE SOLOS DE PERCUSSÃO (SOQUETE) COM MOTOR A GASOLINA 4 TEMPOS, CHP POTÊNCIA 4 CV - CHP DIURNO. AF_08/2015</t>
  </si>
  <si>
    <t>91533/SINAPI</t>
  </si>
  <si>
    <t>EXECUÇÃO DE PASSEIO (CALÇADA) OU PISO DE CONCRETO COM CONCRETO MOLDADO IN LOCO, FEITO EM OBRA, ACABAMENTO CONVENCIONAL, NÃO ARMADO</t>
  </si>
  <si>
    <t>SARRAFO *2,5 X 7,5* CM EM PINUS, MISTA OU EQUIVALENTE DA REGIAO - BRUTA</t>
  </si>
  <si>
    <t>4517/SINAPI</t>
  </si>
  <si>
    <t>CONCRETO FCK = 20MPA, TRAÇO 1:2,7:3 (EM MASSA SECA DE CIMENTO/ AREIA MÉDIA / BRITA 1) - PREPARO MECÂNICO COM BETONEIRA 400 L. AF_05/2021</t>
  </si>
  <si>
    <t>FORNECIMENTO E IMPLANTAÇÃO DE PLACA DE REGULAMENTAÇÃO EM AÇO, R1 LADO 0,248 M - PELÍCULA RETRORREFLETIVA TIPO I + SI</t>
  </si>
  <si>
    <t>94964/SINAPI</t>
  </si>
  <si>
    <t xml:space="preserve">PINTURA DE MEIO-FIO COM TINTA BRANCA A BASE DE CAL (CAIAÇÃO). AF_05/2021 </t>
  </si>
  <si>
    <t>CAL HIDRATADA PARA PINTURA</t>
  </si>
  <si>
    <t>11161/SINAPI</t>
  </si>
  <si>
    <t xml:space="preserve"> PINTOR COM ENCARGOS COMPLEMENTARES H C 0,0370000 18,60 0,68</t>
  </si>
  <si>
    <t>88310/SINAPI</t>
  </si>
  <si>
    <t>SINALIZAÇÃO VERTICAL, C CHAPAS PLANAS DE AÇO ZINCADO Nº16 CONFORMIDADE C NORMA ABNT NBR 11904:2015, SUPORTE DE FIXAÇÃO EM SECÇÃO QUADRADA DE 3" MADEIRA DE LEI, PINTADO DUAS DEMÃOS</t>
  </si>
  <si>
    <t>SINALIZAÇÃO VERTICAL, C CHAPAS PLANAS DE AÇO ZINCADO Nº16 CONFORMIDADE C NORMA ABNT NBR 11904:2015, SUPORTE DE FIXAÇÃO EM SECÇÃO QUADRADA DE 3" MADEIRA DE LEI, PINTADO DUAS DEMÃOS -  FORNECIMENTO E INSTALAÇÃO</t>
  </si>
  <si>
    <t>RAMPA DE ACESSIBILIDADE EM CONCRETO SIMPLES (1:2,7:3), 20MPA, COM PINTURA LÁTEX ACRÍLICA, L=1,20M</t>
  </si>
  <si>
    <t>UND</t>
  </si>
  <si>
    <t>92873/SINAPI</t>
  </si>
  <si>
    <t>CONCRETO FCK = 20MPA, TRAÇO 1:2,7:3 (EM MASSA SECA DE CIMENTO/ AREIA MÉDIA/ BRITA 1) - PREPARO MECÂNICO COM BETONEIRA 400 L. AF_05/2021</t>
  </si>
  <si>
    <t>102491/SINAPI</t>
  </si>
  <si>
    <t>PINTURA DE PISO COM TINTA ACRÍLICA, APLICAÇÃO MANUAL, 2 DEMÃOS, INCLUSO FUNDO PREPARADOR. AF_05/2021</t>
  </si>
  <si>
    <t>00038138/INS</t>
  </si>
  <si>
    <t xml:space="preserve">LADRILHO HIDRAULICO, *30 X 30* CM, E= 2 CM, MILANO, NATURAL </t>
  </si>
  <si>
    <t>LIMPEZA FINAL COM VARRIÇÃO E REMOÇÃO DE ENTULHOS</t>
  </si>
  <si>
    <t>T x KM</t>
  </si>
  <si>
    <t xml:space="preserve"> TRANSPORTE COM CAMINHÃO BASCULANTE DE 10 M³, EM VIA URBANA PAVIMENTADA ADICIONAL PARA DMT EXCEDENTE A 30 KM (UNIDADE: TXKM). AF_07/2020</t>
  </si>
  <si>
    <t>93596/SINAPI</t>
  </si>
  <si>
    <t>PLANILHA ORÇAMENTÁRIA SINTÉTICA</t>
  </si>
  <si>
    <t>Item</t>
  </si>
  <si>
    <t>PREÇO UNIT. S/ BDI (R$)</t>
  </si>
  <si>
    <t xml:space="preserve">PREÇO UNIT. C/ BDI (R$) </t>
  </si>
  <si>
    <t xml:space="preserve">PREÇO TOTAL S/ BDI (R$) </t>
  </si>
  <si>
    <t xml:space="preserve">PREÇO TOTAL C/ BDI (R$) </t>
  </si>
  <si>
    <t>M²</t>
  </si>
  <si>
    <t>M³</t>
  </si>
  <si>
    <t>PAVIMENTAÇÃO</t>
  </si>
  <si>
    <t>Total sem BDI</t>
  </si>
  <si>
    <t>Total do BDI</t>
  </si>
  <si>
    <t>Total Geral</t>
  </si>
  <si>
    <t>1.1.1</t>
  </si>
  <si>
    <t>1.1</t>
  </si>
  <si>
    <t>BDI:</t>
  </si>
  <si>
    <t>2.1</t>
  </si>
  <si>
    <t>1.2</t>
  </si>
  <si>
    <t>TERRAPLENAGEM</t>
  </si>
  <si>
    <t>1.3</t>
  </si>
  <si>
    <t>1.2.1</t>
  </si>
  <si>
    <t>1.3.1</t>
  </si>
  <si>
    <t>1.3.2</t>
  </si>
  <si>
    <t>1.4</t>
  </si>
  <si>
    <t>PASSEIO PARA PEDESTRES</t>
  </si>
  <si>
    <t>1.4.1</t>
  </si>
  <si>
    <t>1.4.2</t>
  </si>
  <si>
    <t>1.5</t>
  </si>
  <si>
    <t>1.5.1</t>
  </si>
  <si>
    <t>1.5.2</t>
  </si>
  <si>
    <t>SINALIZAÇÃO</t>
  </si>
  <si>
    <t>1.6</t>
  </si>
  <si>
    <t>1.6.1</t>
  </si>
  <si>
    <t>SERVIÇOS COMPLEMENTARES</t>
  </si>
  <si>
    <t>SUBTOTAL</t>
  </si>
  <si>
    <t>2.2</t>
  </si>
  <si>
    <t>2.2.1</t>
  </si>
  <si>
    <t>2.3</t>
  </si>
  <si>
    <t>2.3.1</t>
  </si>
  <si>
    <t>2.4</t>
  </si>
  <si>
    <t>2.4.1</t>
  </si>
  <si>
    <t>CRONOGRAMA FÍSICO-FINANCEIRO</t>
  </si>
  <si>
    <t>Total Por Etapa</t>
  </si>
  <si>
    <t>30 DIAS</t>
  </si>
  <si>
    <t>60 DIAS</t>
  </si>
  <si>
    <t>90 DIAS</t>
  </si>
  <si>
    <t>Porcentagem</t>
  </si>
  <si>
    <t>Custo</t>
  </si>
  <si>
    <t>Porcentagem Acumulado</t>
  </si>
  <si>
    <t>Custo Acumulado</t>
  </si>
  <si>
    <t>PLANILHA RESUMO</t>
  </si>
  <si>
    <t>DESCRIÇÃO</t>
  </si>
  <si>
    <t>ITEM</t>
  </si>
  <si>
    <t>P.TOTAL</t>
  </si>
  <si>
    <t>TOTAL GERAL</t>
  </si>
  <si>
    <t>ENCARGOS SOCIAIS SOBRE PREÇOS DA MÃO-DE-OBRA HORISTA E MENSALISTA</t>
  </si>
  <si>
    <t>COM DESONERAÇÃO</t>
  </si>
  <si>
    <t>CÓDIGO</t>
  </si>
  <si>
    <t>HORISTA</t>
  </si>
  <si>
    <t>MENSALISTA</t>
  </si>
  <si>
    <t>%</t>
  </si>
  <si>
    <t>GRUPO A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</si>
  <si>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</si>
  <si>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</si>
  <si>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</si>
  <si>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</si>
  <si>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</si>
  <si>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</si>
  <si>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</si>
  <si>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</si>
  <si>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</si>
  <si>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</si>
  <si>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</si>
  <si>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</si>
  <si>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</si>
  <si>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</si>
  <si>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</si>
  <si>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</si>
  <si>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</si>
  <si>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</si>
  <si>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</si>
  <si>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</si>
  <si>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</si>
  <si>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</si>
  <si>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</si>
  <si>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</si>
  <si>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</si>
  <si>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</si>
  <si>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</si>
  <si>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</si>
  <si>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</si>
  <si>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</si>
  <si>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</si>
  <si>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</si>
  <si>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</si>
  <si>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</si>
  <si>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</si>
  <si>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</si>
  <si>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</si>
  <si>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</si>
  <si>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</si>
  <si>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</si>
  <si>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</si>
  <si>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</si>
  <si>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t>Total de Encargos Sociais que recebem incidências de A</t>
  </si>
  <si>
    <t>GRUPO C</t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</si>
  <si>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</si>
  <si>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</si>
  <si>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</si>
  <si>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</si>
  <si>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</si>
  <si>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</si>
  <si>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</si>
  <si>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</si>
  <si>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</si>
  <si>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</si>
  <si>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</si>
  <si>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de Encargos Sociais que não recebem incidências de A</t>
  </si>
  <si>
    <t>GRUPO D</t>
  </si>
  <si>
    <t>D1</t>
  </si>
  <si>
    <t>Reincidência de Grupo A sobre Grupo B</t>
  </si>
  <si>
    <t>D2</t>
  </si>
  <si>
    <t>Reincidência de Grupo A sobre Aviso Prévio Trabalhado e Reincidência do FGTS sobre Aviso Prévio Indenizado</t>
  </si>
  <si>
    <t>D</t>
  </si>
  <si>
    <t>Total de Reincidências de um grupo sobre o outro</t>
  </si>
  <si>
    <t>*GRUPO E</t>
  </si>
  <si>
    <t>TOTAL(A+B+C+D)</t>
  </si>
  <si>
    <t>COMPOSIÇÃO DO BDI</t>
  </si>
  <si>
    <t>Média</t>
  </si>
  <si>
    <t>AC</t>
  </si>
  <si>
    <t>ADMINISTRAÇÃO CENTRAL</t>
  </si>
  <si>
    <t>LUCRO</t>
  </si>
  <si>
    <t>DF</t>
  </si>
  <si>
    <t xml:space="preserve">DESPESAS FINANCEIRAS </t>
  </si>
  <si>
    <t>SEGUROS, RISCOS E GARANTIAS</t>
  </si>
  <si>
    <t>S</t>
  </si>
  <si>
    <t>Seguros</t>
  </si>
  <si>
    <t>G</t>
  </si>
  <si>
    <t>Garantia</t>
  </si>
  <si>
    <t>R</t>
  </si>
  <si>
    <t>Riscos</t>
  </si>
  <si>
    <t>I</t>
  </si>
  <si>
    <t>IMPOSTOS</t>
  </si>
  <si>
    <t>ISS*</t>
  </si>
  <si>
    <t>PIS</t>
  </si>
  <si>
    <t>COFINS</t>
  </si>
  <si>
    <t>CPRB**</t>
  </si>
  <si>
    <t>BDI</t>
  </si>
  <si>
    <t>Onde:</t>
  </si>
  <si>
    <t>AC – é a taxa de rateio da administração central;</t>
  </si>
  <si>
    <t>S – é uma taxa representativa de Seguros;</t>
  </si>
  <si>
    <t>R – corresponde aos riscos e imprevistos;</t>
  </si>
  <si>
    <t>G – é a taxa que representa o ônus das garantias exigidas em edital;</t>
  </si>
  <si>
    <t>DF – é a taxa representativa das despesas financeiras;</t>
  </si>
  <si>
    <t>L – corresponde ao lucro bruto;</t>
  </si>
  <si>
    <t>Obs.:(*) % de ISS considerando 5% sobre 50% do preço de venda.</t>
  </si>
  <si>
    <t>(**) % de CPRB foi incluído no BDI em virtude da Lei 12844/2013 e desonerado dos encargos sociais.</t>
  </si>
  <si>
    <t>PROPONENTE: PREFEITURA MUNICIPAL DE SOUSA-PB</t>
  </si>
  <si>
    <t>BDI: 30,49%</t>
  </si>
  <si>
    <t>Encargos Sociais COM desonerados: Horista: 85,69% / Mensalista: 48,16%</t>
  </si>
  <si>
    <t>SERVIÇOS TOPOGRÁFICOS</t>
  </si>
  <si>
    <t>SERVICOS TOPOGRAFICOS PARA PAVIMENTACAO, INCLUSIVE NOTA DE SERVICOS, ACOMPANHAMENTO E GREIDE [ADAPTADO DE SINAPI 78472]</t>
  </si>
  <si>
    <t>PLACA DE IDENTIFICAÇÃO DE LOGRADOURO</t>
  </si>
  <si>
    <t>RAMPA DE ACESSIBILIDADE</t>
  </si>
  <si>
    <t>1.7</t>
  </si>
  <si>
    <t>1.8</t>
  </si>
  <si>
    <t>1.7.1</t>
  </si>
  <si>
    <t>1.8.1</t>
  </si>
  <si>
    <t>2.1.1</t>
  </si>
  <si>
    <t>FAZER NEGÓCIO (Imposto municipal)</t>
  </si>
  <si>
    <t>I – é a taxa representativa dos impostos (ISS, PIS, COFINS, FAZER NEGÓCIO e INSS)</t>
  </si>
  <si>
    <t>OBRA:</t>
  </si>
  <si>
    <t xml:space="preserve"> RUA RAIMUNDO PEREIRA DE OLIVEIRA (TRECHO 02)</t>
  </si>
  <si>
    <t>OBRA: IMPLANTAÇÃO DE PAVIMENTAÇÃO EM VIAS PÚBLICAS URBANAS NO MUNICÍPIO DE SOUSA - PB, CONFORME CONTRATO DE REPASSE Nº 1030113-16/2016</t>
  </si>
  <si>
    <t>1.0- RUA RAIMUNDO PEREIRA DE OLIVEIRA (TRECHO 01)</t>
  </si>
  <si>
    <t>1.2.2</t>
  </si>
  <si>
    <t>ESCAVAÇÃOMECANICADEMATERIAL1ªCATEGORIAPROVENIENTEDECORTEDESUBLEITO (C/TRATOR ESTEIRA 160HP)</t>
  </si>
  <si>
    <t>COMPACTAÇÃOMECANICA,COMCONTROLEDOGC&gt;=95%DOPN(AREAS)(COMMOTONIVELADORA140HPEROLOCOMPRESSOR VIBRATORIO 80 HP)</t>
  </si>
  <si>
    <t>1.3.3</t>
  </si>
  <si>
    <t>1.3.4</t>
  </si>
  <si>
    <t>MEIO FIO EM CONCRETO PRÉ-MOLDADO, DIMENSÕES (100X15X12X30)CM (COMPRIMENTO X BASE INFERIOR X BASE SUPERIOR X ALTURA), PARA VIAS URBANAS</t>
  </si>
  <si>
    <t>MEIO FIO EM PEDRA GRANITICA, REJUNTADO COM ARGAMASSA TRAÇO1:3 (CIM:AREIA)-CORDÃO</t>
  </si>
  <si>
    <t>PAVIMENTAÇÃO EM PARALELEPIPEDO SOBRE COLCHAO DE AREIA E REJUNTADO COM ARGAMASSA DE CIMENTO E AREIA NO TRAÇO 1:3 (PEDRA PEQUENAS 30 A 35 PEÇAS POR M²)</t>
  </si>
  <si>
    <t>TRANSPORTE COM CAMINHÃO BASCULANTE 10M³, DMT = 68,00KM (PARALELEPIPEDO)</t>
  </si>
  <si>
    <t>M3XKM</t>
  </si>
  <si>
    <t xml:space="preserve">ATERRO COM EMPRÉSTIMO PARA PASSEIO DE PEDESTRES, INCLUSIVE TRANSPORTE </t>
  </si>
  <si>
    <t>EXECUÇÃODEPASSEIO(CALÇADA)OUPISODECONCRETOCOMCONCRETOFCK=20MPA,MOLDADOINLOCO,FEITOEMOBRA,ACABAMENTOCONVENCIONAL,NÃOARMADO , ESPESSURA DE 7CM</t>
  </si>
  <si>
    <t>PLACA DE SINALIZAÇÃO VIARIA VERTICAL</t>
  </si>
  <si>
    <t>CAIAÇÃO DE MEIO FIO</t>
  </si>
  <si>
    <t>1.7.2</t>
  </si>
  <si>
    <t>RAMPA DE ACESSIBILIDADE EM CONCRETO ARMADO SIMPLES (1:2,7:3) 20MPA, COMPINTURA LATEX ACRILICA , L=1,45M</t>
  </si>
  <si>
    <t>PLACA DE INDENTIFICAÇÃO DE LOGRADOURO 45X25CM</t>
  </si>
  <si>
    <t>RAMPA DE ACESSIBILIDADE EM CONCRETO ARMADO SIMPLES (1:2,7:3) 20MPA, COM PINTURA LATEX ACRILICA , L=1,50M</t>
  </si>
  <si>
    <t>LIMPEZA FINAL DA OBRA COM VARRIAÇÃO E REMOÇÃO DE ENTULHO</t>
  </si>
  <si>
    <t>2.2.2</t>
  </si>
  <si>
    <t>2.3.2</t>
  </si>
  <si>
    <t>2.3.3</t>
  </si>
  <si>
    <t>2.3.4</t>
  </si>
  <si>
    <t>2.4.2</t>
  </si>
  <si>
    <t>2.5</t>
  </si>
  <si>
    <t>2.5.1</t>
  </si>
  <si>
    <t>2.5.2</t>
  </si>
  <si>
    <t>2.6</t>
  </si>
  <si>
    <t>2.6.1</t>
  </si>
  <si>
    <t>2.7</t>
  </si>
  <si>
    <t>2.7.1</t>
  </si>
  <si>
    <t>2.8</t>
  </si>
  <si>
    <t>2.8.1</t>
  </si>
  <si>
    <t>2.0- RUA TIPOGRAFO M. MARQUES</t>
  </si>
  <si>
    <t>3.0- RUA RAIMUNDO PEREIRA DE OLIVEIRA (TRECHO 02)</t>
  </si>
  <si>
    <t>3.1</t>
  </si>
  <si>
    <t>3.1.1</t>
  </si>
  <si>
    <t>3.2</t>
  </si>
  <si>
    <t>3.2.1</t>
  </si>
  <si>
    <t>3.2.2</t>
  </si>
  <si>
    <t>3.3</t>
  </si>
  <si>
    <t>3.3.1</t>
  </si>
  <si>
    <t>3.3.2</t>
  </si>
  <si>
    <t>3.3.3</t>
  </si>
  <si>
    <t>3.3.4</t>
  </si>
  <si>
    <t>3.4</t>
  </si>
  <si>
    <t>3.4.1</t>
  </si>
  <si>
    <t>3.4.2</t>
  </si>
  <si>
    <t>3.5</t>
  </si>
  <si>
    <t>3.5.1</t>
  </si>
  <si>
    <t>3.5.2</t>
  </si>
  <si>
    <t>3.6</t>
  </si>
  <si>
    <t>3.6.1</t>
  </si>
  <si>
    <t>3.7</t>
  </si>
  <si>
    <t>3.7.1</t>
  </si>
  <si>
    <t>3.8</t>
  </si>
  <si>
    <t>3.8.1</t>
  </si>
  <si>
    <t>RUA RAIMUNDO PEREIRA DE OLIVEIRA (TRECHO 01)</t>
  </si>
  <si>
    <t>RUA TIPOGRAFO M. MARQUES</t>
  </si>
  <si>
    <t>BDI = 27,46%</t>
  </si>
  <si>
    <t>POR EXTENSO: QUINHENTOS E SETENTA E SEIS MIL, VINTE REAIS E QUATORZE CENTAVOS</t>
  </si>
  <si>
    <t>TOMADA DE PREÇOS Nº  007/2022</t>
  </si>
  <si>
    <t>IMPLANTAÇÃO DE PAVIMENTAÇÃO EM VIAS PÚBLICAS URBANAS NO MUNICÍPIO DE SOUSA - PB, CONFORME CONTRATO DE REPASSE Nº 1030113-16/2016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</si>
</sst>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-* #,##0.00000_-;\-* #,##0.00000_-;_-* &quot;-&quot;??_-;_-@_-"/>
    <numFmt numFmtId="166" formatCode="#,##0.00_ ;\-#,##0.00\ "/>
    <numFmt numFmtId="167" formatCode="* #,##0.00\ ;* \(#,##0.00\);* \-#\ ;@\ 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7"/>
      <name val="Arial Narrow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b/>
      <sz val="11"/>
      <name val="Courier New"/>
      <family val="3"/>
    </font>
    <font>
      <sz val="10"/>
      <name val="Courier New"/>
      <family val="3"/>
    </font>
    <font>
      <b/>
      <sz val="10"/>
      <name val="Courier New"/>
      <family val="3"/>
    </font>
    <font>
      <sz val="10"/>
      <color theme="0"/>
      <name val="Courier New"/>
      <family val="3"/>
    </font>
    <font>
      <sz val="11"/>
      <color rgb="FF000000"/>
      <name val="Arial"/>
      <family val="2"/>
    </font>
    <font>
      <sz val="11"/>
      <color rgb="FF000000"/>
      <name val="Arial"/>
      <family val="1"/>
    </font>
    <font>
      <b/>
      <sz val="11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theme="0"/>
      <name val="Arial"/>
      <family val="1"/>
    </font>
    <font>
      <sz val="10"/>
      <color rgb="FF000000"/>
      <name val="Arial"/>
      <family val="1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sz val="8"/>
      <name val="Times New Roman"/>
      <family val="1"/>
    </font>
    <font>
      <b/>
      <sz val="9"/>
      <color theme="1"/>
      <name val="Cambria Math"/>
      <family val="1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9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-0.499984740745262"/>
        <bgColor rgb="FFA9A9A9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0" fontId="6" fillId="0" borderId="0"/>
    <xf numFmtId="0" fontId="12" fillId="0" borderId="0" applyNumberFormat="0" applyBorder="0" applyProtection="0"/>
    <xf numFmtId="0" fontId="1" fillId="0" borderId="0"/>
    <xf numFmtId="167" fontId="1" fillId="0" borderId="0"/>
    <xf numFmtId="0" fontId="1" fillId="0" borderId="0">
      <alignment horizontal="justify" wrapText="1"/>
    </xf>
    <xf numFmtId="0" fontId="18" fillId="0" borderId="0"/>
  </cellStyleXfs>
  <cellXfs count="236">
    <xf numFmtId="0" fontId="0" fillId="0" borderId="0" xfId="0"/>
    <xf numFmtId="0" fontId="0" fillId="0" borderId="0" xfId="0" applyAlignment="1">
      <alignment vertical="center"/>
    </xf>
    <xf numFmtId="43" fontId="0" fillId="0" borderId="0" xfId="0" applyNumberFormat="1" applyAlignment="1">
      <alignment horizontal="center" vertical="center"/>
    </xf>
    <xf numFmtId="43" fontId="0" fillId="0" borderId="0" xfId="0" applyNumberFormat="1" applyAlignment="1">
      <alignment vertical="center"/>
    </xf>
    <xf numFmtId="0" fontId="4" fillId="2" borderId="0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6" fillId="0" borderId="0" xfId="0" applyFont="1"/>
    <xf numFmtId="43" fontId="6" fillId="0" borderId="0" xfId="0" applyNumberFormat="1" applyFont="1"/>
    <xf numFmtId="0" fontId="4" fillId="4" borderId="1" xfId="0" applyFont="1" applyFill="1" applyBorder="1" applyAlignment="1">
      <alignment horizontal="center" vertical="center" wrapText="1"/>
    </xf>
    <xf numFmtId="43" fontId="4" fillId="4" borderId="1" xfId="0" applyNumberFormat="1" applyFont="1" applyFill="1" applyBorder="1" applyAlignment="1">
      <alignment horizontal="center" vertical="center" wrapText="1"/>
    </xf>
    <xf numFmtId="10" fontId="0" fillId="0" borderId="0" xfId="6" applyNumberFormat="1" applyFont="1" applyAlignment="1">
      <alignment vertical="center"/>
    </xf>
    <xf numFmtId="0" fontId="9" fillId="6" borderId="13" xfId="7" applyFont="1" applyFill="1" applyBorder="1" applyAlignment="1">
      <alignment horizontal="center" vertical="center" wrapText="1"/>
    </xf>
    <xf numFmtId="0" fontId="9" fillId="6" borderId="14" xfId="7" applyFont="1" applyFill="1" applyBorder="1" applyAlignment="1">
      <alignment horizontal="left" vertical="center" wrapText="1"/>
    </xf>
    <xf numFmtId="0" fontId="9" fillId="6" borderId="14" xfId="7" applyFont="1" applyFill="1" applyBorder="1" applyAlignment="1">
      <alignment horizontal="center" vertical="center" wrapText="1"/>
    </xf>
    <xf numFmtId="165" fontId="9" fillId="6" borderId="14" xfId="7" applyNumberFormat="1" applyFont="1" applyFill="1" applyBorder="1" applyAlignment="1">
      <alignment horizontal="center" vertical="center" wrapText="1"/>
    </xf>
    <xf numFmtId="43" fontId="9" fillId="6" borderId="14" xfId="7" applyNumberFormat="1" applyFont="1" applyFill="1" applyBorder="1" applyAlignment="1">
      <alignment horizontal="center" vertical="center" wrapText="1"/>
    </xf>
    <xf numFmtId="43" fontId="9" fillId="6" borderId="15" xfId="7" applyNumberFormat="1" applyFont="1" applyFill="1" applyBorder="1" applyAlignment="1">
      <alignment horizontal="center" vertical="center" wrapText="1"/>
    </xf>
    <xf numFmtId="43" fontId="8" fillId="0" borderId="0" xfId="7" applyNumberFormat="1" applyFont="1" applyAlignment="1">
      <alignment horizontal="center" vertical="center"/>
    </xf>
    <xf numFmtId="0" fontId="8" fillId="0" borderId="0" xfId="7" applyNumberFormat="1" applyFont="1" applyAlignment="1">
      <alignment horizontal="left" vertical="center"/>
    </xf>
    <xf numFmtId="0" fontId="8" fillId="0" borderId="0" xfId="7" applyFont="1" applyAlignment="1">
      <alignment horizontal="left" vertical="center"/>
    </xf>
    <xf numFmtId="0" fontId="8" fillId="0" borderId="1" xfId="7" applyFont="1" applyBorder="1" applyAlignment="1">
      <alignment horizontal="center" vertical="center" wrapText="1"/>
    </xf>
    <xf numFmtId="0" fontId="8" fillId="0" borderId="1" xfId="7" applyFont="1" applyBorder="1" applyAlignment="1">
      <alignment horizontal="left" vertical="center" wrapText="1"/>
    </xf>
    <xf numFmtId="165" fontId="8" fillId="0" borderId="1" xfId="7" applyNumberFormat="1" applyFont="1" applyBorder="1" applyAlignment="1">
      <alignment horizontal="center" vertical="center" wrapText="1"/>
    </xf>
    <xf numFmtId="43" fontId="8" fillId="0" borderId="1" xfId="7" applyNumberFormat="1" applyFont="1" applyBorder="1" applyAlignment="1">
      <alignment horizontal="center" vertical="center" wrapText="1"/>
    </xf>
    <xf numFmtId="0" fontId="8" fillId="0" borderId="0" xfId="7" applyFont="1" applyAlignment="1">
      <alignment horizontal="center" vertical="center" wrapText="1"/>
    </xf>
    <xf numFmtId="0" fontId="8" fillId="0" borderId="0" xfId="7" applyFont="1" applyAlignment="1">
      <alignment horizontal="left" vertical="center" wrapText="1"/>
    </xf>
    <xf numFmtId="165" fontId="8" fillId="0" borderId="0" xfId="7" applyNumberFormat="1" applyFont="1" applyAlignment="1">
      <alignment horizontal="center" vertical="center" wrapText="1"/>
    </xf>
    <xf numFmtId="43" fontId="8" fillId="0" borderId="0" xfId="7" applyNumberFormat="1" applyFont="1" applyAlignment="1">
      <alignment horizontal="center" vertical="center" wrapText="1"/>
    </xf>
    <xf numFmtId="43" fontId="10" fillId="0" borderId="0" xfId="7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43" fontId="0" fillId="0" borderId="0" xfId="0" applyNumberFormat="1" applyAlignment="1">
      <alignment horizontal="center" vertical="center" wrapText="1"/>
    </xf>
    <xf numFmtId="43" fontId="6" fillId="0" borderId="0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0" fontId="5" fillId="7" borderId="13" xfId="0" applyNumberFormat="1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left" vertical="center" wrapText="1"/>
    </xf>
    <xf numFmtId="43" fontId="5" fillId="7" borderId="14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43" fontId="6" fillId="2" borderId="16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3" fontId="6" fillId="2" borderId="1" xfId="0" applyNumberFormat="1" applyFont="1" applyFill="1" applyBorder="1" applyAlignment="1">
      <alignment horizontal="center" vertical="center" wrapText="1"/>
    </xf>
    <xf numFmtId="43" fontId="6" fillId="0" borderId="1" xfId="0" applyNumberFormat="1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vertical="center" wrapText="1"/>
    </xf>
    <xf numFmtId="43" fontId="6" fillId="2" borderId="18" xfId="0" applyNumberFormat="1" applyFont="1" applyFill="1" applyBorder="1" applyAlignment="1">
      <alignment horizontal="center" vertical="center" wrapText="1"/>
    </xf>
    <xf numFmtId="43" fontId="6" fillId="0" borderId="18" xfId="0" applyNumberFormat="1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left" vertical="center"/>
    </xf>
    <xf numFmtId="43" fontId="5" fillId="7" borderId="14" xfId="0" applyNumberFormat="1" applyFont="1" applyFill="1" applyBorder="1" applyAlignment="1">
      <alignment horizontal="center" vertical="center"/>
    </xf>
    <xf numFmtId="43" fontId="6" fillId="0" borderId="0" xfId="4" applyFont="1" applyAlignment="1">
      <alignment vertical="center"/>
    </xf>
    <xf numFmtId="43" fontId="6" fillId="0" borderId="0" xfId="0" applyNumberFormat="1" applyFont="1" applyAlignment="1">
      <alignment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3" fontId="5" fillId="8" borderId="3" xfId="0" applyNumberFormat="1" applyFont="1" applyFill="1" applyBorder="1" applyAlignment="1">
      <alignment horizontal="center" vertical="center"/>
    </xf>
    <xf numFmtId="43" fontId="4" fillId="9" borderId="5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43" fontId="4" fillId="0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3" fontId="6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3" fontId="4" fillId="0" borderId="0" xfId="0" applyNumberFormat="1" applyFont="1" applyFill="1" applyBorder="1" applyAlignment="1">
      <alignment horizontal="center" vertical="center" wrapText="1"/>
    </xf>
    <xf numFmtId="10" fontId="4" fillId="2" borderId="7" xfId="0" applyNumberFormat="1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43" fontId="6" fillId="2" borderId="0" xfId="0" applyNumberFormat="1" applyFont="1" applyFill="1" applyBorder="1" applyAlignment="1">
      <alignment horizontal="center" vertical="center" wrapText="1"/>
    </xf>
    <xf numFmtId="44" fontId="5" fillId="7" borderId="15" xfId="8" applyFont="1" applyFill="1" applyBorder="1" applyAlignment="1">
      <alignment horizontal="center" vertical="center" wrapText="1"/>
    </xf>
    <xf numFmtId="44" fontId="6" fillId="2" borderId="16" xfId="8" applyFont="1" applyFill="1" applyBorder="1" applyAlignment="1">
      <alignment horizontal="center" vertical="center" wrapText="1"/>
    </xf>
    <xf numFmtId="44" fontId="6" fillId="2" borderId="1" xfId="8" applyFont="1" applyFill="1" applyBorder="1" applyAlignment="1">
      <alignment horizontal="center" vertical="center" wrapText="1"/>
    </xf>
    <xf numFmtId="44" fontId="4" fillId="2" borderId="23" xfId="8" applyFont="1" applyFill="1" applyBorder="1" applyAlignment="1">
      <alignment horizontal="center" vertical="center" wrapText="1"/>
    </xf>
    <xf numFmtId="44" fontId="6" fillId="0" borderId="1" xfId="8" applyFont="1" applyFill="1" applyBorder="1" applyAlignment="1">
      <alignment horizontal="center" vertical="center" wrapText="1"/>
    </xf>
    <xf numFmtId="44" fontId="6" fillId="0" borderId="16" xfId="8" applyFont="1" applyFill="1" applyBorder="1" applyAlignment="1">
      <alignment horizontal="center" vertical="center" wrapText="1"/>
    </xf>
    <xf numFmtId="0" fontId="6" fillId="0" borderId="0" xfId="9" applyFill="1" applyAlignment="1">
      <alignment vertical="center"/>
    </xf>
    <xf numFmtId="0" fontId="6" fillId="0" borderId="0" xfId="0" applyFont="1" applyBorder="1"/>
    <xf numFmtId="10" fontId="15" fillId="11" borderId="27" xfId="6" applyNumberFormat="1" applyFont="1" applyFill="1" applyBorder="1" applyAlignment="1">
      <alignment horizontal="center" vertical="center" wrapText="1"/>
    </xf>
    <xf numFmtId="10" fontId="6" fillId="0" borderId="0" xfId="6" applyNumberFormat="1" applyFont="1" applyFill="1" applyAlignment="1">
      <alignment vertical="center"/>
    </xf>
    <xf numFmtId="4" fontId="14" fillId="0" borderId="27" xfId="10" applyNumberFormat="1" applyFont="1" applyFill="1" applyBorder="1" applyAlignment="1">
      <alignment horizontal="center" vertical="center" wrapText="1"/>
    </xf>
    <xf numFmtId="166" fontId="6" fillId="0" borderId="0" xfId="9" applyNumberFormat="1" applyFill="1" applyAlignment="1">
      <alignment vertical="center"/>
    </xf>
    <xf numFmtId="4" fontId="14" fillId="0" borderId="28" xfId="10" applyNumberFormat="1" applyFont="1" applyFill="1" applyBorder="1" applyAlignment="1">
      <alignment horizontal="center" vertical="center" wrapText="1"/>
    </xf>
    <xf numFmtId="10" fontId="15" fillId="11" borderId="2" xfId="10" applyNumberFormat="1" applyFont="1" applyFill="1" applyBorder="1" applyAlignment="1">
      <alignment horizontal="center" vertical="center" wrapText="1"/>
    </xf>
    <xf numFmtId="10" fontId="6" fillId="0" borderId="0" xfId="9" applyNumberFormat="1" applyFill="1" applyAlignment="1">
      <alignment vertical="center"/>
    </xf>
    <xf numFmtId="39" fontId="14" fillId="0" borderId="7" xfId="10" applyNumberFormat="1" applyFont="1" applyFill="1" applyBorder="1" applyAlignment="1">
      <alignment horizontal="center" vertical="center" wrapText="1"/>
    </xf>
    <xf numFmtId="39" fontId="6" fillId="0" borderId="0" xfId="9" applyNumberFormat="1" applyFill="1" applyAlignment="1">
      <alignment vertical="center"/>
    </xf>
    <xf numFmtId="4" fontId="14" fillId="0" borderId="7" xfId="10" applyNumberFormat="1" applyFont="1" applyFill="1" applyBorder="1" applyAlignment="1">
      <alignment horizontal="center" vertical="center" wrapText="1"/>
    </xf>
    <xf numFmtId="4" fontId="6" fillId="0" borderId="0" xfId="9" applyNumberFormat="1" applyFill="1" applyAlignment="1">
      <alignment vertical="center"/>
    </xf>
    <xf numFmtId="0" fontId="6" fillId="0" borderId="0" xfId="9" applyFill="1" applyAlignment="1">
      <alignment horizontal="left" vertical="center"/>
    </xf>
    <xf numFmtId="4" fontId="6" fillId="0" borderId="0" xfId="9" applyNumberFormat="1" applyFill="1" applyAlignment="1">
      <alignment horizontal="center" vertical="center"/>
    </xf>
    <xf numFmtId="0" fontId="6" fillId="0" borderId="27" xfId="9" applyFill="1" applyBorder="1" applyAlignment="1">
      <alignment vertical="center"/>
    </xf>
    <xf numFmtId="0" fontId="4" fillId="2" borderId="21" xfId="0" applyFont="1" applyFill="1" applyBorder="1" applyAlignment="1">
      <alignment vertical="center" wrapText="1"/>
    </xf>
    <xf numFmtId="0" fontId="4" fillId="2" borderId="22" xfId="0" applyFont="1" applyFill="1" applyBorder="1" applyAlignment="1">
      <alignment vertical="center" wrapText="1"/>
    </xf>
    <xf numFmtId="0" fontId="4" fillId="2" borderId="23" xfId="0" applyFont="1" applyFill="1" applyBorder="1" applyAlignment="1">
      <alignment vertical="center" wrapText="1"/>
    </xf>
    <xf numFmtId="0" fontId="6" fillId="0" borderId="4" xfId="0" applyFont="1" applyBorder="1"/>
    <xf numFmtId="0" fontId="6" fillId="0" borderId="5" xfId="0" applyFont="1" applyBorder="1"/>
    <xf numFmtId="0" fontId="13" fillId="10" borderId="20" xfId="10" applyFont="1" applyFill="1" applyBorder="1" applyAlignment="1">
      <alignment horizontal="center" vertical="center" wrapText="1"/>
    </xf>
    <xf numFmtId="0" fontId="13" fillId="10" borderId="23" xfId="10" applyFont="1" applyFill="1" applyBorder="1" applyAlignment="1">
      <alignment horizontal="center" vertical="center" wrapText="1"/>
    </xf>
    <xf numFmtId="0" fontId="14" fillId="10" borderId="28" xfId="10" applyFont="1" applyFill="1" applyBorder="1" applyAlignment="1">
      <alignment vertical="center" wrapText="1"/>
    </xf>
    <xf numFmtId="0" fontId="14" fillId="10" borderId="28" xfId="10" applyFont="1" applyFill="1" applyBorder="1" applyAlignment="1">
      <alignment horizontal="center" vertical="center" wrapText="1"/>
    </xf>
    <xf numFmtId="44" fontId="14" fillId="10" borderId="8" xfId="8" applyFont="1" applyFill="1" applyBorder="1" applyAlignment="1">
      <alignment horizontal="center" vertical="center" wrapText="1"/>
    </xf>
    <xf numFmtId="167" fontId="8" fillId="0" borderId="0" xfId="12" applyFont="1" applyBorder="1" applyAlignment="1" applyProtection="1">
      <alignment horizontal="center"/>
    </xf>
    <xf numFmtId="0" fontId="18" fillId="0" borderId="0" xfId="14" applyBorder="1" applyAlignment="1">
      <alignment vertical="center"/>
    </xf>
    <xf numFmtId="0" fontId="19" fillId="0" borderId="0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17" fillId="0" borderId="0" xfId="13" applyFont="1" applyBorder="1" applyAlignment="1" applyProtection="1">
      <alignment vertical="center" wrapText="1"/>
      <protection locked="0"/>
    </xf>
    <xf numFmtId="0" fontId="1" fillId="2" borderId="0" xfId="7" applyFill="1"/>
    <xf numFmtId="0" fontId="1" fillId="2" borderId="0" xfId="7" applyFill="1" applyAlignment="1">
      <alignment horizontal="center"/>
    </xf>
    <xf numFmtId="0" fontId="21" fillId="2" borderId="0" xfId="7" applyFont="1" applyFill="1" applyAlignment="1">
      <alignment horizontal="center"/>
    </xf>
    <xf numFmtId="0" fontId="21" fillId="2" borderId="0" xfId="7" applyFont="1" applyFill="1"/>
    <xf numFmtId="0" fontId="23" fillId="2" borderId="0" xfId="7" applyFont="1" applyFill="1"/>
    <xf numFmtId="0" fontId="23" fillId="2" borderId="0" xfId="7" applyFont="1" applyFill="1" applyAlignment="1">
      <alignment vertical="center"/>
    </xf>
    <xf numFmtId="0" fontId="24" fillId="0" borderId="0" xfId="0" applyFont="1"/>
    <xf numFmtId="0" fontId="23" fillId="2" borderId="0" xfId="7" applyFont="1" applyFill="1" applyAlignment="1">
      <alignment wrapText="1"/>
    </xf>
    <xf numFmtId="0" fontId="23" fillId="2" borderId="0" xfId="7" applyFont="1" applyFill="1" applyAlignment="1">
      <alignment horizontal="left" vertical="center" wrapText="1"/>
    </xf>
    <xf numFmtId="44" fontId="6" fillId="0" borderId="18" xfId="8" applyFont="1" applyFill="1" applyBorder="1" applyAlignment="1">
      <alignment horizontal="center" vertical="center" wrapText="1"/>
    </xf>
    <xf numFmtId="44" fontId="6" fillId="0" borderId="34" xfId="8" applyFont="1" applyFill="1" applyBorder="1" applyAlignment="1">
      <alignment horizontal="center" vertical="center" wrapText="1"/>
    </xf>
    <xf numFmtId="44" fontId="6" fillId="2" borderId="18" xfId="8" applyFont="1" applyFill="1" applyBorder="1" applyAlignment="1">
      <alignment horizontal="center" vertical="center" wrapText="1"/>
    </xf>
    <xf numFmtId="10" fontId="15" fillId="11" borderId="0" xfId="10" applyNumberFormat="1" applyFont="1" applyFill="1" applyBorder="1" applyAlignment="1">
      <alignment horizontal="center" vertical="center" wrapText="1"/>
    </xf>
    <xf numFmtId="0" fontId="13" fillId="10" borderId="1" xfId="10" applyFont="1" applyFill="1" applyBorder="1" applyAlignment="1">
      <alignment horizontal="center" vertical="center" wrapText="1"/>
    </xf>
    <xf numFmtId="4" fontId="13" fillId="10" borderId="1" xfId="10" applyNumberFormat="1" applyFont="1" applyFill="1" applyBorder="1" applyAlignment="1">
      <alignment horizontal="center" vertical="center" wrapText="1"/>
    </xf>
    <xf numFmtId="10" fontId="15" fillId="11" borderId="1" xfId="6" applyNumberFormat="1" applyFont="1" applyFill="1" applyBorder="1" applyAlignment="1">
      <alignment horizontal="center" vertical="center" wrapText="1"/>
    </xf>
    <xf numFmtId="10" fontId="4" fillId="12" borderId="1" xfId="10" applyNumberFormat="1" applyFont="1" applyFill="1" applyBorder="1" applyAlignment="1">
      <alignment horizontal="center" vertical="center" wrapText="1"/>
    </xf>
    <xf numFmtId="10" fontId="4" fillId="0" borderId="1" xfId="10" applyNumberFormat="1" applyFont="1" applyFill="1" applyBorder="1" applyAlignment="1">
      <alignment horizontal="center" vertical="center" wrapText="1"/>
    </xf>
    <xf numFmtId="4" fontId="14" fillId="0" borderId="1" xfId="10" applyNumberFormat="1" applyFont="1" applyFill="1" applyBorder="1" applyAlignment="1">
      <alignment horizontal="center" vertical="center" wrapText="1"/>
    </xf>
    <xf numFmtId="39" fontId="16" fillId="0" borderId="1" xfId="10" applyNumberFormat="1" applyFont="1" applyFill="1" applyBorder="1" applyAlignment="1">
      <alignment horizontal="center" vertical="center" wrapText="1"/>
    </xf>
    <xf numFmtId="10" fontId="21" fillId="0" borderId="1" xfId="7" applyNumberFormat="1" applyFont="1" applyFill="1" applyBorder="1" applyAlignment="1">
      <alignment horizontal="center"/>
    </xf>
    <xf numFmtId="0" fontId="22" fillId="0" borderId="1" xfId="7" applyFont="1" applyFill="1" applyBorder="1" applyAlignment="1">
      <alignment horizontal="center"/>
    </xf>
    <xf numFmtId="10" fontId="21" fillId="2" borderId="32" xfId="7" applyNumberFormat="1" applyFont="1" applyFill="1" applyBorder="1" applyAlignment="1">
      <alignment horizontal="center"/>
    </xf>
    <xf numFmtId="0" fontId="21" fillId="2" borderId="32" xfId="7" applyFont="1" applyFill="1" applyBorder="1" applyAlignment="1">
      <alignment horizontal="left"/>
    </xf>
    <xf numFmtId="10" fontId="21" fillId="2" borderId="33" xfId="7" applyNumberFormat="1" applyFont="1" applyFill="1" applyBorder="1" applyAlignment="1">
      <alignment horizontal="center"/>
    </xf>
    <xf numFmtId="0" fontId="21" fillId="2" borderId="33" xfId="7" applyFont="1" applyFill="1" applyBorder="1" applyAlignment="1">
      <alignment horizontal="left"/>
    </xf>
    <xf numFmtId="0" fontId="21" fillId="2" borderId="33" xfId="7" applyFont="1" applyFill="1" applyBorder="1" applyAlignment="1">
      <alignment horizontal="left" vertical="center" wrapText="1"/>
    </xf>
    <xf numFmtId="10" fontId="22" fillId="2" borderId="33" xfId="7" applyNumberFormat="1" applyFont="1" applyFill="1" applyBorder="1" applyAlignment="1">
      <alignment horizontal="center"/>
    </xf>
    <xf numFmtId="0" fontId="21" fillId="2" borderId="33" xfId="7" applyFont="1" applyFill="1" applyBorder="1" applyAlignment="1">
      <alignment horizontal="right"/>
    </xf>
    <xf numFmtId="10" fontId="22" fillId="14" borderId="33" xfId="7" applyNumberFormat="1" applyFont="1" applyFill="1" applyBorder="1" applyAlignment="1">
      <alignment horizontal="center"/>
    </xf>
    <xf numFmtId="0" fontId="22" fillId="14" borderId="33" xfId="7" applyFont="1" applyFill="1" applyBorder="1" applyAlignment="1">
      <alignment horizontal="left"/>
    </xf>
    <xf numFmtId="0" fontId="25" fillId="0" borderId="0" xfId="13" applyFont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" fillId="2" borderId="0" xfId="7" applyFill="1" applyAlignment="1">
      <alignment horizontal="center"/>
    </xf>
    <xf numFmtId="0" fontId="26" fillId="2" borderId="0" xfId="7" applyFont="1" applyFill="1" applyAlignment="1">
      <alignment horizontal="left" vertical="center" wrapText="1"/>
    </xf>
    <xf numFmtId="0" fontId="26" fillId="2" borderId="0" xfId="7" applyFont="1" applyFill="1" applyAlignment="1">
      <alignment horizontal="center"/>
    </xf>
    <xf numFmtId="0" fontId="27" fillId="2" borderId="0" xfId="7" applyFont="1" applyFill="1" applyAlignment="1">
      <alignment horizontal="left"/>
    </xf>
    <xf numFmtId="0" fontId="27" fillId="2" borderId="0" xfId="7" applyFont="1" applyFill="1" applyAlignment="1">
      <alignment horizontal="center"/>
    </xf>
    <xf numFmtId="167" fontId="27" fillId="0" borderId="1" xfId="12" applyFont="1" applyFill="1" applyBorder="1" applyAlignment="1" applyProtection="1">
      <alignment vertical="center" wrapText="1"/>
    </xf>
    <xf numFmtId="0" fontId="26" fillId="0" borderId="1" xfId="11" applyFont="1" applyFill="1" applyBorder="1" applyAlignment="1">
      <alignment horizontal="center" vertical="center" wrapText="1"/>
    </xf>
    <xf numFmtId="0" fontId="26" fillId="0" borderId="1" xfId="11" applyFont="1" applyFill="1" applyBorder="1" applyAlignment="1">
      <alignment horizontal="left" vertical="center" wrapText="1" indent="15"/>
    </xf>
    <xf numFmtId="167" fontId="26" fillId="0" borderId="1" xfId="12" applyFont="1" applyFill="1" applyBorder="1" applyAlignment="1" applyProtection="1">
      <alignment horizontal="right" vertical="center" wrapText="1"/>
    </xf>
    <xf numFmtId="0" fontId="27" fillId="13" borderId="1" xfId="11" applyFont="1" applyFill="1" applyBorder="1" applyAlignment="1">
      <alignment vertical="center" wrapText="1"/>
    </xf>
    <xf numFmtId="0" fontId="27" fillId="13" borderId="1" xfId="11" applyFont="1" applyFill="1" applyBorder="1" applyAlignment="1">
      <alignment horizontal="center" vertical="center" wrapText="1"/>
    </xf>
    <xf numFmtId="167" fontId="27" fillId="13" borderId="1" xfId="12" applyFont="1" applyFill="1" applyBorder="1" applyAlignment="1" applyProtection="1">
      <alignment vertical="center" wrapText="1"/>
    </xf>
    <xf numFmtId="0" fontId="27" fillId="0" borderId="1" xfId="11" applyFont="1" applyFill="1" applyBorder="1" applyAlignment="1">
      <alignment horizontal="center" vertical="center" wrapText="1"/>
    </xf>
    <xf numFmtId="0" fontId="27" fillId="0" borderId="1" xfId="11" applyFont="1" applyFill="1" applyBorder="1" applyAlignment="1">
      <alignment vertical="center" wrapText="1"/>
    </xf>
    <xf numFmtId="167" fontId="27" fillId="0" borderId="1" xfId="12" applyFont="1" applyFill="1" applyBorder="1" applyAlignment="1" applyProtection="1">
      <alignment horizontal="right" vertical="center" wrapText="1"/>
    </xf>
    <xf numFmtId="0" fontId="26" fillId="0" borderId="1" xfId="11" applyFont="1" applyFill="1" applyBorder="1" applyAlignment="1">
      <alignment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43" fontId="5" fillId="3" borderId="11" xfId="0" applyNumberFormat="1" applyFont="1" applyFill="1" applyBorder="1" applyAlignment="1">
      <alignment horizontal="center" vertical="center" wrapText="1"/>
    </xf>
    <xf numFmtId="43" fontId="5" fillId="3" borderId="12" xfId="0" applyNumberFormat="1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43" fontId="5" fillId="3" borderId="17" xfId="0" applyNumberFormat="1" applyFont="1" applyFill="1" applyBorder="1" applyAlignment="1">
      <alignment horizontal="center" vertical="center" wrapText="1"/>
    </xf>
    <xf numFmtId="0" fontId="6" fillId="4" borderId="0" xfId="0" applyFont="1" applyFill="1" applyAlignment="1">
      <alignment vertical="center"/>
    </xf>
    <xf numFmtId="0" fontId="4" fillId="0" borderId="21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43" fontId="5" fillId="8" borderId="9" xfId="0" applyNumberFormat="1" applyFont="1" applyFill="1" applyBorder="1" applyAlignment="1">
      <alignment horizontal="center" vertical="center" wrapText="1"/>
    </xf>
    <xf numFmtId="43" fontId="5" fillId="8" borderId="2" xfId="0" applyNumberFormat="1" applyFont="1" applyFill="1" applyBorder="1" applyAlignment="1">
      <alignment horizontal="center" vertical="center" wrapText="1"/>
    </xf>
    <xf numFmtId="43" fontId="4" fillId="9" borderId="4" xfId="0" applyNumberFormat="1" applyFont="1" applyFill="1" applyBorder="1" applyAlignment="1">
      <alignment horizontal="center" vertical="center" wrapText="1"/>
    </xf>
    <xf numFmtId="43" fontId="4" fillId="9" borderId="0" xfId="0" applyNumberFormat="1" applyFont="1" applyFill="1" applyBorder="1" applyAlignment="1">
      <alignment horizontal="center" vertical="center" wrapText="1"/>
    </xf>
    <xf numFmtId="43" fontId="5" fillId="3" borderId="6" xfId="0" applyNumberFormat="1" applyFont="1" applyFill="1" applyBorder="1" applyAlignment="1">
      <alignment horizontal="center" vertical="center" wrapText="1"/>
    </xf>
    <xf numFmtId="43" fontId="5" fillId="3" borderId="7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43" fontId="6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43" fontId="5" fillId="3" borderId="26" xfId="0" applyNumberFormat="1" applyFont="1" applyFill="1" applyBorder="1" applyAlignment="1">
      <alignment horizontal="center" vertical="center" wrapText="1"/>
    </xf>
    <xf numFmtId="0" fontId="14" fillId="0" borderId="30" xfId="10" applyNumberFormat="1" applyFont="1" applyFill="1" applyBorder="1" applyAlignment="1">
      <alignment horizontal="center" vertical="center" wrapText="1"/>
    </xf>
    <xf numFmtId="0" fontId="14" fillId="0" borderId="28" xfId="10" applyFont="1" applyFill="1" applyBorder="1" applyAlignment="1">
      <alignment horizontal="center" vertical="center" wrapText="1"/>
    </xf>
    <xf numFmtId="0" fontId="14" fillId="0" borderId="30" xfId="10" applyFont="1" applyFill="1" applyBorder="1" applyAlignment="1">
      <alignment horizontal="left" vertical="center" wrapText="1"/>
    </xf>
    <xf numFmtId="0" fontId="14" fillId="0" borderId="28" xfId="10" applyFont="1" applyFill="1" applyBorder="1" applyAlignment="1">
      <alignment horizontal="left" vertical="center" wrapText="1"/>
    </xf>
    <xf numFmtId="44" fontId="4" fillId="0" borderId="30" xfId="8" applyFont="1" applyFill="1" applyBorder="1" applyAlignment="1">
      <alignment horizontal="center" vertical="center" wrapText="1"/>
    </xf>
    <xf numFmtId="44" fontId="4" fillId="0" borderId="28" xfId="8" applyFont="1" applyFill="1" applyBorder="1" applyAlignment="1">
      <alignment horizontal="center" vertical="center" wrapText="1"/>
    </xf>
    <xf numFmtId="0" fontId="29" fillId="0" borderId="0" xfId="9" applyFont="1" applyFill="1" applyAlignment="1">
      <alignment horizontal="left" wrapText="1"/>
    </xf>
    <xf numFmtId="44" fontId="4" fillId="0" borderId="3" xfId="8" applyFont="1" applyFill="1" applyBorder="1" applyAlignment="1">
      <alignment horizontal="center" vertical="center" wrapText="1"/>
    </xf>
    <xf numFmtId="44" fontId="4" fillId="0" borderId="8" xfId="8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14" fillId="0" borderId="6" xfId="10" applyFont="1" applyFill="1" applyBorder="1" applyAlignment="1">
      <alignment horizontal="left" vertical="center" wrapText="1"/>
    </xf>
    <xf numFmtId="0" fontId="14" fillId="0" borderId="31" xfId="10" applyFont="1" applyFill="1" applyBorder="1" applyAlignment="1">
      <alignment horizontal="left" vertical="center" wrapText="1"/>
    </xf>
    <xf numFmtId="0" fontId="14" fillId="0" borderId="9" xfId="10" applyFont="1" applyFill="1" applyBorder="1" applyAlignment="1">
      <alignment horizontal="left" vertical="center" wrapText="1"/>
    </xf>
    <xf numFmtId="0" fontId="14" fillId="0" borderId="29" xfId="10" applyFont="1" applyFill="1" applyBorder="1" applyAlignment="1">
      <alignment horizontal="left" vertical="center" wrapText="1"/>
    </xf>
    <xf numFmtId="0" fontId="11" fillId="0" borderId="0" xfId="9" applyFont="1" applyFill="1" applyAlignment="1">
      <alignment horizontal="center" wrapText="1"/>
    </xf>
    <xf numFmtId="0" fontId="14" fillId="0" borderId="1" xfId="10" applyNumberFormat="1" applyFont="1" applyFill="1" applyBorder="1" applyAlignment="1">
      <alignment horizontal="center" vertical="center" wrapText="1"/>
    </xf>
    <xf numFmtId="0" fontId="14" fillId="0" borderId="1" xfId="10" applyFont="1" applyFill="1" applyBorder="1" applyAlignment="1">
      <alignment horizontal="center" vertical="center" wrapText="1"/>
    </xf>
    <xf numFmtId="0" fontId="14" fillId="0" borderId="1" xfId="10" applyFont="1" applyFill="1" applyBorder="1" applyAlignment="1">
      <alignment horizontal="left" vertical="center" wrapText="1"/>
    </xf>
    <xf numFmtId="0" fontId="14" fillId="0" borderId="4" xfId="10" applyFont="1" applyFill="1" applyBorder="1" applyAlignment="1">
      <alignment horizontal="left" vertical="center" wrapText="1"/>
    </xf>
    <xf numFmtId="0" fontId="14" fillId="0" borderId="19" xfId="10" applyFont="1" applyFill="1" applyBorder="1" applyAlignment="1">
      <alignment horizontal="left" vertical="center" wrapText="1"/>
    </xf>
    <xf numFmtId="0" fontId="26" fillId="2" borderId="0" xfId="7" applyFont="1" applyFill="1" applyAlignment="1">
      <alignment horizontal="left" wrapText="1"/>
    </xf>
    <xf numFmtId="0" fontId="22" fillId="0" borderId="1" xfId="7" applyFont="1" applyFill="1" applyBorder="1" applyAlignment="1">
      <alignment horizontal="center" vertical="center"/>
    </xf>
    <xf numFmtId="0" fontId="26" fillId="2" borderId="0" xfId="7" applyFont="1" applyFill="1" applyAlignment="1">
      <alignment horizontal="left" vertical="center" wrapText="1"/>
    </xf>
    <xf numFmtId="0" fontId="22" fillId="0" borderId="13" xfId="7" applyFont="1" applyFill="1" applyBorder="1" applyAlignment="1">
      <alignment horizontal="center" vertical="center"/>
    </xf>
    <xf numFmtId="0" fontId="22" fillId="0" borderId="14" xfId="7" applyFont="1" applyFill="1" applyBorder="1" applyAlignment="1">
      <alignment horizontal="center" vertical="center"/>
    </xf>
    <xf numFmtId="0" fontId="22" fillId="0" borderId="15" xfId="7" applyFont="1" applyFill="1" applyBorder="1" applyAlignment="1">
      <alignment horizontal="center" vertical="center"/>
    </xf>
    <xf numFmtId="0" fontId="26" fillId="2" borderId="0" xfId="7" applyFont="1" applyFill="1" applyAlignment="1">
      <alignment horizontal="left"/>
    </xf>
    <xf numFmtId="167" fontId="27" fillId="0" borderId="1" xfId="12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5" fillId="0" borderId="0" xfId="13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 wrapText="1"/>
    </xf>
    <xf numFmtId="0" fontId="28" fillId="0" borderId="1" xfId="11" applyFont="1" applyFill="1" applyBorder="1" applyAlignment="1">
      <alignment horizontal="center" vertical="center"/>
    </xf>
  </cellXfs>
  <cellStyles count="15">
    <cellStyle name="Excel Built-in Normal 2 2 2" xfId="11"/>
    <cellStyle name="Excel Built-in Normal 3 6" xfId="14"/>
    <cellStyle name="Excel Built-in Normal_Acompanhamento - CHÃ GRANDE - GABARITO" xfId="13"/>
    <cellStyle name="Excel Built-in Vírgula 2" xfId="12"/>
    <cellStyle name="Moeda" xfId="8" builtinId="4"/>
    <cellStyle name="Normal" xfId="0" builtinId="0"/>
    <cellStyle name="Normal 2" xfId="7"/>
    <cellStyle name="Normal 2 3" xfId="10"/>
    <cellStyle name="Normal 4 2" xfId="5"/>
    <cellStyle name="Normal 7" xfId="9"/>
    <cellStyle name="Porcentagem" xfId="6" builtinId="5"/>
    <cellStyle name="Separador de milhares 2" xfId="2"/>
    <cellStyle name="Separador de milhares 2 2" xfId="3"/>
    <cellStyle name="Separador de milhares 3" xfId="1"/>
    <cellStyle name="Vírgula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28</xdr:row>
          <xdr:rowOff>66675</xdr:rowOff>
        </xdr:from>
        <xdr:to>
          <xdr:col>1</xdr:col>
          <xdr:colOff>2771775</xdr:colOff>
          <xdr:row>30</xdr:row>
          <xdr:rowOff>323850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esktop/Pasta%20ProjetosNivson/Projeto%202021/Pavimenta&#231;&#227;o/Pavimenta&#231;&#227;o%20Sousa/BDI,%20encargos%20licita&#231;&#227;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IS SOCIAIS"/>
      <sheetName val="BDI NOVO"/>
    </sheetNames>
    <sheetDataSet>
      <sheetData sheetId="0">
        <row r="11">
          <cell r="B11" t="str">
            <v>OBRA: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4"/>
  <sheetViews>
    <sheetView showGridLines="0" view="pageBreakPreview" topLeftCell="E1" zoomScale="85" zoomScaleNormal="100" zoomScaleSheetLayoutView="85" workbookViewId="0">
      <selection activeCell="E1" sqref="E1:J1"/>
    </sheetView>
  </sheetViews>
  <sheetFormatPr defaultColWidth="10.28515625" defaultRowHeight="12.6" customHeight="1" x14ac:dyDescent="0.25"/>
  <cols>
    <col min="1" max="4" width="10.28515625" style="1" hidden="1" customWidth="1"/>
    <col min="5" max="5" width="16.42578125" style="31" customWidth="1"/>
    <col min="6" max="6" width="41.7109375" style="32" customWidth="1"/>
    <col min="7" max="7" width="10.28515625" style="31"/>
    <col min="8" max="8" width="16" style="33" bestFit="1" customWidth="1"/>
    <col min="9" max="9" width="15" style="34" bestFit="1" customWidth="1"/>
    <col min="10" max="10" width="13.5703125" style="34" bestFit="1" customWidth="1"/>
    <col min="13" max="13" width="24.28515625" customWidth="1"/>
    <col min="14" max="14" width="15" style="2" bestFit="1" customWidth="1"/>
    <col min="15" max="15" width="10.28515625" style="3"/>
    <col min="16" max="16" width="17.85546875" style="1" bestFit="1" customWidth="1"/>
    <col min="17" max="16384" width="10.28515625" style="1"/>
  </cols>
  <sheetData>
    <row r="1" spans="1:16" ht="28.5" customHeight="1" x14ac:dyDescent="0.25">
      <c r="E1" s="162" t="s">
        <v>263</v>
      </c>
      <c r="F1" s="163"/>
      <c r="G1" s="163"/>
      <c r="H1" s="163"/>
      <c r="I1" s="163"/>
      <c r="J1" s="164"/>
      <c r="K1" s="1"/>
      <c r="L1" s="1"/>
      <c r="M1" s="1"/>
    </row>
    <row r="2" spans="1:16" ht="19.5" customHeight="1" x14ac:dyDescent="0.25">
      <c r="E2" s="165" t="s">
        <v>247</v>
      </c>
      <c r="F2" s="166"/>
      <c r="G2" s="166"/>
      <c r="H2" s="166"/>
      <c r="I2" s="166"/>
      <c r="J2" s="167"/>
      <c r="K2" s="1"/>
      <c r="L2" s="1"/>
      <c r="M2" s="1"/>
    </row>
    <row r="3" spans="1:16" ht="19.5" customHeight="1" x14ac:dyDescent="0.25">
      <c r="E3" s="165" t="s">
        <v>249</v>
      </c>
      <c r="F3" s="166"/>
      <c r="G3" s="166"/>
      <c r="H3" s="166"/>
      <c r="I3" s="166"/>
      <c r="J3" s="167"/>
      <c r="K3" s="1"/>
      <c r="L3" s="1"/>
      <c r="M3" s="1"/>
    </row>
    <row r="4" spans="1:16" ht="19.5" customHeight="1" thickBot="1" x14ac:dyDescent="0.3">
      <c r="E4" s="168" t="s">
        <v>248</v>
      </c>
      <c r="F4" s="169"/>
      <c r="G4" s="169"/>
      <c r="H4" s="169"/>
      <c r="I4" s="169"/>
      <c r="J4" s="170"/>
      <c r="K4" s="1"/>
      <c r="L4" s="1"/>
      <c r="M4" s="1"/>
    </row>
    <row r="5" spans="1:16" ht="15.75" thickBot="1" x14ac:dyDescent="0.3">
      <c r="E5" s="171" t="s">
        <v>3</v>
      </c>
      <c r="F5" s="172"/>
      <c r="G5" s="172"/>
      <c r="H5" s="172"/>
      <c r="I5" s="173"/>
      <c r="J5" s="174"/>
      <c r="K5" s="1"/>
      <c r="L5" s="1"/>
      <c r="M5" s="1"/>
    </row>
    <row r="6" spans="1:16" s="8" customFormat="1" ht="8.25" customHeight="1" x14ac:dyDescent="0.2">
      <c r="G6" s="9"/>
      <c r="H6" s="9"/>
      <c r="I6" s="9"/>
    </row>
    <row r="7" spans="1:16" ht="34.5" customHeight="1" x14ac:dyDescent="0.25">
      <c r="E7" s="10" t="s">
        <v>4</v>
      </c>
      <c r="F7" s="10" t="s">
        <v>5</v>
      </c>
      <c r="G7" s="10" t="s">
        <v>6</v>
      </c>
      <c r="H7" s="11" t="s">
        <v>7</v>
      </c>
      <c r="I7" s="11" t="s">
        <v>8</v>
      </c>
      <c r="J7" s="11" t="s">
        <v>9</v>
      </c>
      <c r="K7" s="1"/>
      <c r="L7" s="1"/>
      <c r="M7" s="1"/>
      <c r="N7" s="1"/>
      <c r="O7" s="1"/>
      <c r="P7" s="12" t="e">
        <f>1-(#REF!/#REF!)</f>
        <v>#REF!</v>
      </c>
    </row>
    <row r="8" spans="1:16" s="8" customFormat="1" ht="8.25" customHeight="1" x14ac:dyDescent="0.2">
      <c r="G8" s="9"/>
      <c r="H8" s="9"/>
      <c r="I8" s="9"/>
    </row>
    <row r="9" spans="1:16" s="8" customFormat="1" ht="18" customHeight="1" x14ac:dyDescent="0.2">
      <c r="E9" s="159" t="s">
        <v>10</v>
      </c>
      <c r="F9" s="160"/>
      <c r="G9" s="160"/>
      <c r="H9" s="160"/>
      <c r="I9" s="160"/>
      <c r="J9" s="161"/>
    </row>
    <row r="10" spans="1:16" s="8" customFormat="1" ht="8.25" customHeight="1" x14ac:dyDescent="0.2">
      <c r="G10" s="9"/>
      <c r="H10" s="9"/>
      <c r="I10" s="9"/>
    </row>
    <row r="11" spans="1:16" ht="15" x14ac:dyDescent="0.25">
      <c r="A11" s="20"/>
      <c r="B11" s="21"/>
      <c r="C11" s="21"/>
      <c r="D11" s="20"/>
      <c r="E11" s="26"/>
      <c r="F11" s="27"/>
      <c r="G11" s="26"/>
      <c r="H11" s="28"/>
      <c r="I11" s="29"/>
      <c r="J11" s="30" t="e">
        <f>SUBTOTAL(9,#REF!)</f>
        <v>#REF!</v>
      </c>
      <c r="K11" s="1"/>
      <c r="L11" s="1"/>
      <c r="M11" s="1"/>
      <c r="N11" s="19"/>
      <c r="O11" s="1"/>
    </row>
    <row r="12" spans="1:16" ht="15" x14ac:dyDescent="0.25">
      <c r="A12" s="20"/>
      <c r="B12" s="21"/>
      <c r="C12" s="21"/>
      <c r="D12" s="20"/>
      <c r="E12" s="26"/>
      <c r="F12" s="27"/>
      <c r="G12" s="26"/>
      <c r="H12" s="28"/>
      <c r="I12" s="29"/>
      <c r="J12" s="30" t="e">
        <f>SUBTOTAL(9,#REF!)</f>
        <v>#REF!</v>
      </c>
      <c r="K12" s="1"/>
      <c r="L12" s="1"/>
      <c r="M12" s="1"/>
      <c r="N12" s="19"/>
      <c r="O12" s="1"/>
    </row>
    <row r="13" spans="1:16" ht="27" x14ac:dyDescent="0.25">
      <c r="A13" s="20">
        <v>72179</v>
      </c>
      <c r="B13" s="21" t="s">
        <v>19</v>
      </c>
      <c r="C13" s="21" t="s">
        <v>11</v>
      </c>
      <c r="D13" s="20">
        <v>43</v>
      </c>
      <c r="E13" s="13"/>
      <c r="F13" s="14" t="s">
        <v>38</v>
      </c>
      <c r="G13" s="15" t="s">
        <v>12</v>
      </c>
      <c r="H13" s="16" t="s">
        <v>25</v>
      </c>
      <c r="I13" s="17" t="s">
        <v>12</v>
      </c>
      <c r="J13" s="18">
        <f>J15</f>
        <v>0.4</v>
      </c>
      <c r="K13" s="1"/>
      <c r="L13" s="1"/>
      <c r="M13" s="1"/>
      <c r="N13" s="19" t="b">
        <f>J13=D13</f>
        <v>0</v>
      </c>
      <c r="O13" s="1"/>
    </row>
    <row r="14" spans="1:16" ht="27" x14ac:dyDescent="0.25">
      <c r="A14" s="20"/>
      <c r="B14" s="21"/>
      <c r="C14" s="21"/>
      <c r="D14" s="20"/>
      <c r="E14" s="22" t="s">
        <v>39</v>
      </c>
      <c r="F14" s="23" t="s">
        <v>36</v>
      </c>
      <c r="G14" s="22" t="s">
        <v>37</v>
      </c>
      <c r="H14" s="24">
        <v>0.05</v>
      </c>
      <c r="I14" s="25">
        <v>8.17</v>
      </c>
      <c r="J14" s="25">
        <f t="shared" ref="J14" si="0">TRUNC(I14*H14,2)</f>
        <v>0.4</v>
      </c>
      <c r="K14" s="1"/>
      <c r="L14" s="1"/>
      <c r="M14" s="1"/>
      <c r="N14" s="19">
        <v>17.2</v>
      </c>
      <c r="O14" s="1"/>
    </row>
    <row r="15" spans="1:16" ht="15" x14ac:dyDescent="0.25">
      <c r="A15" s="20"/>
      <c r="B15" s="21"/>
      <c r="C15" s="21"/>
      <c r="D15" s="20"/>
      <c r="E15" s="26"/>
      <c r="F15" s="27"/>
      <c r="G15" s="26"/>
      <c r="H15" s="28"/>
      <c r="I15" s="29"/>
      <c r="J15" s="30">
        <f>SUBTOTAL(9,J14)</f>
        <v>0.4</v>
      </c>
      <c r="K15" s="1"/>
      <c r="L15" s="1"/>
      <c r="M15" s="1"/>
      <c r="N15" s="19"/>
      <c r="O15" s="1"/>
    </row>
    <row r="16" spans="1:16" ht="15" x14ac:dyDescent="0.25">
      <c r="A16" s="20">
        <v>72272</v>
      </c>
      <c r="B16" s="21" t="s">
        <v>20</v>
      </c>
      <c r="C16" s="21" t="s">
        <v>1</v>
      </c>
      <c r="D16" s="20">
        <v>12.22</v>
      </c>
      <c r="E16" s="13"/>
      <c r="F16" s="14" t="s">
        <v>42</v>
      </c>
      <c r="G16" s="15" t="s">
        <v>12</v>
      </c>
      <c r="H16" s="16" t="str">
        <f>C16</f>
        <v>UN</v>
      </c>
      <c r="I16" s="17" t="s">
        <v>12</v>
      </c>
      <c r="J16" s="18">
        <f>J19</f>
        <v>1.3199999999999998</v>
      </c>
      <c r="K16" s="1"/>
      <c r="L16" s="1"/>
      <c r="M16" s="1"/>
      <c r="N16" s="19" t="b">
        <f>J16=D16</f>
        <v>0</v>
      </c>
      <c r="O16" s="1"/>
    </row>
    <row r="17" spans="1:15" ht="67.5" x14ac:dyDescent="0.25">
      <c r="A17" s="20"/>
      <c r="B17" s="21"/>
      <c r="C17" s="21"/>
      <c r="D17" s="20"/>
      <c r="E17" s="22">
        <v>5932</v>
      </c>
      <c r="F17" s="23" t="s">
        <v>43</v>
      </c>
      <c r="G17" s="22" t="s">
        <v>37</v>
      </c>
      <c r="H17" s="24">
        <v>7.0000000000000001E-3</v>
      </c>
      <c r="I17" s="25">
        <v>165.18</v>
      </c>
      <c r="J17" s="25">
        <f t="shared" ref="J17:J18" si="1">TRUNC(I17*H17,2)</f>
        <v>1.1499999999999999</v>
      </c>
      <c r="K17" s="1"/>
      <c r="L17" s="1"/>
      <c r="M17" s="1"/>
      <c r="N17" s="19">
        <v>6.04</v>
      </c>
      <c r="O17" s="1"/>
    </row>
    <row r="18" spans="1:15" ht="27" x14ac:dyDescent="0.25">
      <c r="A18" s="20"/>
      <c r="B18" s="21"/>
      <c r="C18" s="21"/>
      <c r="D18" s="20"/>
      <c r="E18" s="22" t="s">
        <v>40</v>
      </c>
      <c r="F18" s="23" t="s">
        <v>15</v>
      </c>
      <c r="G18" s="22" t="s">
        <v>2</v>
      </c>
      <c r="H18" s="24">
        <v>1.2500000000000001E-2</v>
      </c>
      <c r="I18" s="25">
        <v>13.94</v>
      </c>
      <c r="J18" s="25">
        <f t="shared" si="1"/>
        <v>0.17</v>
      </c>
      <c r="K18" s="1"/>
      <c r="L18" s="1"/>
      <c r="M18" s="1"/>
      <c r="N18" s="19">
        <v>13.34</v>
      </c>
      <c r="O18" s="1"/>
    </row>
    <row r="19" spans="1:15" ht="15" x14ac:dyDescent="0.25">
      <c r="A19" s="20"/>
      <c r="B19" s="21"/>
      <c r="C19" s="21"/>
      <c r="D19" s="20"/>
      <c r="E19" s="26"/>
      <c r="F19" s="27"/>
      <c r="G19" s="26"/>
      <c r="H19" s="28"/>
      <c r="I19" s="29"/>
      <c r="J19" s="30">
        <f>SUBTOTAL(9,J17:J18)</f>
        <v>1.3199999999999998</v>
      </c>
      <c r="K19" s="1"/>
      <c r="L19" s="1"/>
      <c r="M19" s="1"/>
      <c r="N19" s="19"/>
      <c r="O19" s="1"/>
    </row>
    <row r="20" spans="1:15" ht="27" x14ac:dyDescent="0.25">
      <c r="A20" s="20">
        <v>72295</v>
      </c>
      <c r="B20" s="21" t="s">
        <v>21</v>
      </c>
      <c r="C20" s="21" t="s">
        <v>1</v>
      </c>
      <c r="D20" s="20">
        <v>9.66</v>
      </c>
      <c r="E20" s="13"/>
      <c r="F20" s="14" t="s">
        <v>44</v>
      </c>
      <c r="G20" s="15" t="s">
        <v>12</v>
      </c>
      <c r="H20" s="16" t="s">
        <v>25</v>
      </c>
      <c r="I20" s="17" t="s">
        <v>12</v>
      </c>
      <c r="J20" s="18">
        <f>J25</f>
        <v>20.669999999999998</v>
      </c>
      <c r="K20" s="1"/>
      <c r="L20" s="1"/>
      <c r="M20" s="1"/>
      <c r="N20" s="19" t="b">
        <f>J20=D20</f>
        <v>0</v>
      </c>
      <c r="O20" s="1"/>
    </row>
    <row r="21" spans="1:15" ht="15" x14ac:dyDescent="0.25">
      <c r="A21" s="20"/>
      <c r="B21" s="21"/>
      <c r="C21" s="21"/>
      <c r="D21" s="20"/>
      <c r="E21" s="22" t="s">
        <v>0</v>
      </c>
      <c r="F21" s="23" t="s">
        <v>45</v>
      </c>
      <c r="G21" s="22" t="s">
        <v>25</v>
      </c>
      <c r="H21" s="24">
        <v>1</v>
      </c>
      <c r="I21" s="25">
        <v>14</v>
      </c>
      <c r="J21" s="25">
        <f t="shared" ref="J21:J24" si="2">TRUNC(I21*H21,2)</f>
        <v>14</v>
      </c>
      <c r="K21" s="1"/>
      <c r="L21" s="1"/>
      <c r="M21" s="1"/>
      <c r="N21" s="19">
        <v>36.130000000000003</v>
      </c>
      <c r="O21" s="1"/>
    </row>
    <row r="22" spans="1:15" ht="40.5" x14ac:dyDescent="0.25">
      <c r="A22" s="20"/>
      <c r="B22" s="21"/>
      <c r="C22" s="21"/>
      <c r="D22" s="20"/>
      <c r="E22" s="22" t="s">
        <v>48</v>
      </c>
      <c r="F22" s="23" t="s">
        <v>47</v>
      </c>
      <c r="G22" s="22" t="s">
        <v>17</v>
      </c>
      <c r="H22" s="24">
        <v>1E-3</v>
      </c>
      <c r="I22" s="25">
        <v>423.66</v>
      </c>
      <c r="J22" s="25">
        <f t="shared" si="2"/>
        <v>0.42</v>
      </c>
      <c r="K22" s="1"/>
      <c r="L22" s="1"/>
      <c r="M22" s="1"/>
      <c r="N22" s="19">
        <v>31.37</v>
      </c>
      <c r="O22" s="1"/>
    </row>
    <row r="23" spans="1:15" ht="30.75" customHeight="1" x14ac:dyDescent="0.25">
      <c r="A23" s="20"/>
      <c r="B23" s="21"/>
      <c r="C23" s="21"/>
      <c r="D23" s="20"/>
      <c r="E23" s="22" t="s">
        <v>46</v>
      </c>
      <c r="F23" s="23" t="s">
        <v>18</v>
      </c>
      <c r="G23" s="22" t="s">
        <v>2</v>
      </c>
      <c r="H23" s="24">
        <v>0.14000000000000001</v>
      </c>
      <c r="I23" s="25">
        <v>16.79</v>
      </c>
      <c r="J23" s="25">
        <f t="shared" si="2"/>
        <v>2.35</v>
      </c>
      <c r="K23" s="1"/>
      <c r="L23" s="1"/>
      <c r="M23" s="1"/>
      <c r="N23" s="19">
        <v>16.79</v>
      </c>
      <c r="O23" s="1"/>
    </row>
    <row r="24" spans="1:15" ht="27" x14ac:dyDescent="0.25">
      <c r="A24" s="20"/>
      <c r="B24" s="21"/>
      <c r="C24" s="21"/>
      <c r="D24" s="20"/>
      <c r="E24" s="22" t="s">
        <v>40</v>
      </c>
      <c r="F24" s="23" t="s">
        <v>15</v>
      </c>
      <c r="G24" s="22" t="s">
        <v>2</v>
      </c>
      <c r="H24" s="24">
        <v>0.28000000000000003</v>
      </c>
      <c r="I24" s="25">
        <v>13.94</v>
      </c>
      <c r="J24" s="25">
        <f t="shared" si="2"/>
        <v>3.9</v>
      </c>
      <c r="K24" s="1"/>
      <c r="L24" s="1"/>
      <c r="M24" s="1"/>
      <c r="N24" s="19">
        <v>13.83</v>
      </c>
      <c r="O24" s="1"/>
    </row>
    <row r="25" spans="1:15" ht="15" x14ac:dyDescent="0.25">
      <c r="A25" s="20"/>
      <c r="B25" s="21"/>
      <c r="C25" s="21"/>
      <c r="D25" s="20"/>
      <c r="E25" s="26"/>
      <c r="F25" s="27"/>
      <c r="G25" s="26"/>
      <c r="H25" s="28"/>
      <c r="I25" s="29"/>
      <c r="J25" s="30">
        <f>SUBTOTAL(9,J21:J24)</f>
        <v>20.669999999999998</v>
      </c>
      <c r="K25" s="1"/>
      <c r="L25" s="1"/>
      <c r="M25" s="1"/>
      <c r="N25" s="19"/>
      <c r="O25" s="1"/>
    </row>
    <row r="26" spans="1:15" ht="40.5" x14ac:dyDescent="0.25">
      <c r="A26" s="20">
        <v>72315</v>
      </c>
      <c r="B26" s="21" t="s">
        <v>22</v>
      </c>
      <c r="C26" s="21" t="s">
        <v>1</v>
      </c>
      <c r="D26" s="20">
        <v>22.1</v>
      </c>
      <c r="E26" s="13"/>
      <c r="F26" s="14" t="s">
        <v>49</v>
      </c>
      <c r="G26" s="15" t="s">
        <v>12</v>
      </c>
      <c r="H26" s="16" t="s">
        <v>25</v>
      </c>
      <c r="I26" s="17" t="s">
        <v>12</v>
      </c>
      <c r="J26" s="18">
        <f>SUM(J27:J30)</f>
        <v>20.669999999999998</v>
      </c>
      <c r="K26" s="1"/>
      <c r="L26" s="1"/>
      <c r="M26" s="1"/>
      <c r="N26" s="19" t="b">
        <f>J26=D26</f>
        <v>0</v>
      </c>
      <c r="O26" s="1"/>
    </row>
    <row r="27" spans="1:15" ht="15" x14ac:dyDescent="0.25">
      <c r="A27" s="20"/>
      <c r="B27" s="21"/>
      <c r="C27" s="21"/>
      <c r="D27" s="20"/>
      <c r="E27" s="22" t="s">
        <v>0</v>
      </c>
      <c r="F27" s="23" t="s">
        <v>45</v>
      </c>
      <c r="G27" s="22" t="s">
        <v>25</v>
      </c>
      <c r="H27" s="24">
        <v>1</v>
      </c>
      <c r="I27" s="25">
        <v>14</v>
      </c>
      <c r="J27" s="25">
        <f t="shared" ref="J27:J30" si="3">TRUNC(I27*H27,2)</f>
        <v>14</v>
      </c>
      <c r="K27" s="1"/>
      <c r="L27" s="1"/>
      <c r="M27" s="1"/>
      <c r="N27" s="19">
        <v>6.63</v>
      </c>
      <c r="O27" s="1"/>
    </row>
    <row r="28" spans="1:15" ht="40.5" x14ac:dyDescent="0.25">
      <c r="A28" s="20"/>
      <c r="B28" s="21"/>
      <c r="C28" s="21"/>
      <c r="D28" s="20"/>
      <c r="E28" s="22" t="s">
        <v>48</v>
      </c>
      <c r="F28" s="23" t="s">
        <v>47</v>
      </c>
      <c r="G28" s="22" t="s">
        <v>17</v>
      </c>
      <c r="H28" s="24">
        <v>1E-3</v>
      </c>
      <c r="I28" s="25">
        <v>423.66</v>
      </c>
      <c r="J28" s="25">
        <f t="shared" si="3"/>
        <v>0.42</v>
      </c>
      <c r="K28" s="1"/>
      <c r="L28" s="1"/>
      <c r="M28" s="1"/>
      <c r="N28" s="19">
        <v>13.34</v>
      </c>
      <c r="O28" s="1"/>
    </row>
    <row r="29" spans="1:15" ht="27" x14ac:dyDescent="0.25">
      <c r="A29" s="20"/>
      <c r="B29" s="21"/>
      <c r="C29" s="21"/>
      <c r="D29" s="20"/>
      <c r="E29" s="22" t="s">
        <v>46</v>
      </c>
      <c r="F29" s="23" t="s">
        <v>18</v>
      </c>
      <c r="G29" s="22" t="s">
        <v>2</v>
      </c>
      <c r="H29" s="24">
        <v>0.14000000000000001</v>
      </c>
      <c r="I29" s="25">
        <v>16.79</v>
      </c>
      <c r="J29" s="25">
        <f t="shared" si="3"/>
        <v>2.35</v>
      </c>
      <c r="K29" s="1"/>
      <c r="L29" s="1"/>
      <c r="M29" s="1"/>
      <c r="N29" s="19">
        <v>17.600000000000001</v>
      </c>
      <c r="O29" s="1"/>
    </row>
    <row r="30" spans="1:15" ht="27" x14ac:dyDescent="0.25">
      <c r="A30" s="20"/>
      <c r="B30" s="21"/>
      <c r="C30" s="21"/>
      <c r="D30" s="20"/>
      <c r="E30" s="22" t="s">
        <v>40</v>
      </c>
      <c r="F30" s="23" t="s">
        <v>15</v>
      </c>
      <c r="G30" s="22" t="s">
        <v>2</v>
      </c>
      <c r="H30" s="24">
        <v>0.28000000000000003</v>
      </c>
      <c r="I30" s="25">
        <v>13.94</v>
      </c>
      <c r="J30" s="25">
        <f t="shared" si="3"/>
        <v>3.9</v>
      </c>
      <c r="K30" s="1"/>
      <c r="L30" s="1"/>
      <c r="M30" s="1"/>
      <c r="N30" s="19"/>
      <c r="O30" s="1"/>
    </row>
    <row r="31" spans="1:15" ht="15" x14ac:dyDescent="0.25">
      <c r="A31" s="20"/>
      <c r="B31" s="21"/>
      <c r="C31" s="21"/>
      <c r="D31" s="20"/>
      <c r="E31" s="26"/>
      <c r="F31" s="27"/>
      <c r="G31" s="26"/>
      <c r="H31" s="28"/>
      <c r="I31" s="29"/>
      <c r="J31" s="30" t="e">
        <f>SUBTOTAL(9,#REF!)</f>
        <v>#REF!</v>
      </c>
      <c r="K31" s="1"/>
      <c r="L31" s="1"/>
      <c r="M31" s="1"/>
      <c r="N31" s="19"/>
      <c r="O31" s="1"/>
    </row>
    <row r="32" spans="1:15" ht="27" x14ac:dyDescent="0.25">
      <c r="A32" s="20">
        <v>83446</v>
      </c>
      <c r="B32" s="21" t="s">
        <v>23</v>
      </c>
      <c r="C32" s="21" t="s">
        <v>1</v>
      </c>
      <c r="D32" s="20">
        <v>135.53</v>
      </c>
      <c r="E32" s="13"/>
      <c r="F32" s="14" t="s">
        <v>50</v>
      </c>
      <c r="G32" s="15" t="s">
        <v>12</v>
      </c>
      <c r="H32" s="16" t="s">
        <v>11</v>
      </c>
      <c r="I32" s="17" t="s">
        <v>12</v>
      </c>
      <c r="J32" s="18">
        <f>SUM(J33:J39)</f>
        <v>51.42</v>
      </c>
      <c r="K32" s="1"/>
      <c r="L32" s="1"/>
      <c r="M32" s="1"/>
      <c r="N32" s="19" t="b">
        <f>J32=D32</f>
        <v>0</v>
      </c>
      <c r="O32" s="1"/>
    </row>
    <row r="33" spans="1:15" ht="15" x14ac:dyDescent="0.25">
      <c r="A33" s="20"/>
      <c r="B33" s="21"/>
      <c r="C33" s="21"/>
      <c r="D33" s="20"/>
      <c r="E33" s="22" t="s">
        <v>0</v>
      </c>
      <c r="F33" s="23" t="s">
        <v>51</v>
      </c>
      <c r="G33" s="22" t="s">
        <v>17</v>
      </c>
      <c r="H33" s="24">
        <v>0.114</v>
      </c>
      <c r="I33" s="25">
        <v>50</v>
      </c>
      <c r="J33" s="25">
        <f>TRUNC(I33*H33,2)</f>
        <v>5.7</v>
      </c>
      <c r="K33" s="1"/>
      <c r="L33" s="1"/>
      <c r="M33" s="1"/>
      <c r="N33" s="19">
        <v>4.47</v>
      </c>
      <c r="O33" s="1"/>
    </row>
    <row r="34" spans="1:15" ht="27" x14ac:dyDescent="0.25">
      <c r="A34" s="20"/>
      <c r="B34" s="21"/>
      <c r="C34" s="21"/>
      <c r="D34" s="20"/>
      <c r="E34" s="22" t="s">
        <v>0</v>
      </c>
      <c r="F34" s="23" t="s">
        <v>52</v>
      </c>
      <c r="G34" s="22" t="s">
        <v>35</v>
      </c>
      <c r="H34" s="24">
        <v>3.3000000000000002E-2</v>
      </c>
      <c r="I34" s="25">
        <v>700</v>
      </c>
      <c r="J34" s="25">
        <f t="shared" ref="J34:J39" si="4">TRUNC(I34*H34,2)</f>
        <v>23.1</v>
      </c>
      <c r="K34" s="1"/>
      <c r="L34" s="1"/>
      <c r="M34" s="1"/>
      <c r="N34" s="19">
        <v>69</v>
      </c>
      <c r="O34" s="1"/>
    </row>
    <row r="35" spans="1:15" ht="81" x14ac:dyDescent="0.25">
      <c r="A35" s="20"/>
      <c r="B35" s="21"/>
      <c r="C35" s="21"/>
      <c r="D35" s="20"/>
      <c r="E35" s="22" t="s">
        <v>59</v>
      </c>
      <c r="F35" s="23" t="s">
        <v>53</v>
      </c>
      <c r="G35" s="22" t="s">
        <v>37</v>
      </c>
      <c r="H35" s="24">
        <v>3.0999999999999999E-3</v>
      </c>
      <c r="I35" s="25">
        <v>108.92</v>
      </c>
      <c r="J35" s="25">
        <f t="shared" si="4"/>
        <v>0.33</v>
      </c>
      <c r="K35" s="1"/>
      <c r="L35" s="1"/>
      <c r="M35" s="1"/>
      <c r="N35" s="19">
        <v>0.68</v>
      </c>
      <c r="O35" s="1"/>
    </row>
    <row r="36" spans="1:15" ht="81" x14ac:dyDescent="0.25">
      <c r="A36" s="20"/>
      <c r="B36" s="21"/>
      <c r="C36" s="21"/>
      <c r="D36" s="20"/>
      <c r="E36" s="22" t="s">
        <v>57</v>
      </c>
      <c r="F36" s="23" t="s">
        <v>54</v>
      </c>
      <c r="G36" s="22" t="s">
        <v>37</v>
      </c>
      <c r="H36" s="24">
        <v>0.1109</v>
      </c>
      <c r="I36" s="25">
        <v>39.53</v>
      </c>
      <c r="J36" s="25">
        <f t="shared" si="4"/>
        <v>4.38</v>
      </c>
      <c r="K36" s="1"/>
      <c r="L36" s="1"/>
      <c r="M36" s="1"/>
      <c r="N36" s="19">
        <v>27.16</v>
      </c>
      <c r="O36" s="1"/>
    </row>
    <row r="37" spans="1:15" ht="27" x14ac:dyDescent="0.25">
      <c r="A37" s="20"/>
      <c r="B37" s="21"/>
      <c r="C37" s="21"/>
      <c r="D37" s="20"/>
      <c r="E37" s="22" t="s">
        <v>56</v>
      </c>
      <c r="F37" s="23" t="s">
        <v>55</v>
      </c>
      <c r="G37" s="22" t="s">
        <v>2</v>
      </c>
      <c r="H37" s="24">
        <v>0.31209999999999999</v>
      </c>
      <c r="I37" s="25">
        <v>17.5</v>
      </c>
      <c r="J37" s="25">
        <f t="shared" si="4"/>
        <v>5.46</v>
      </c>
      <c r="K37" s="1"/>
      <c r="L37" s="1"/>
      <c r="M37" s="1"/>
      <c r="N37" s="19">
        <v>0.45</v>
      </c>
      <c r="O37" s="1"/>
    </row>
    <row r="38" spans="1:15" ht="27" x14ac:dyDescent="0.25">
      <c r="A38" s="20"/>
      <c r="B38" s="21"/>
      <c r="C38" s="21"/>
      <c r="D38" s="20"/>
      <c r="E38" s="22" t="s">
        <v>40</v>
      </c>
      <c r="F38" s="23" t="s">
        <v>15</v>
      </c>
      <c r="G38" s="22" t="s">
        <v>2</v>
      </c>
      <c r="H38" s="24">
        <v>0.31209999999999999</v>
      </c>
      <c r="I38" s="25">
        <v>13.94</v>
      </c>
      <c r="J38" s="25">
        <f t="shared" si="4"/>
        <v>4.3499999999999996</v>
      </c>
      <c r="K38" s="1"/>
      <c r="L38" s="1"/>
      <c r="M38" s="1"/>
      <c r="N38" s="19">
        <v>70</v>
      </c>
      <c r="O38" s="1"/>
    </row>
    <row r="39" spans="1:15" ht="54" x14ac:dyDescent="0.25">
      <c r="A39" s="20"/>
      <c r="B39" s="21"/>
      <c r="C39" s="21"/>
      <c r="D39" s="20"/>
      <c r="E39" s="22" t="s">
        <v>58</v>
      </c>
      <c r="F39" s="23" t="s">
        <v>34</v>
      </c>
      <c r="G39" s="22" t="s">
        <v>17</v>
      </c>
      <c r="H39" s="24">
        <v>2.0400000000000001E-2</v>
      </c>
      <c r="I39" s="25">
        <v>397.53</v>
      </c>
      <c r="J39" s="25">
        <f t="shared" si="4"/>
        <v>8.1</v>
      </c>
      <c r="K39" s="1"/>
      <c r="L39" s="1"/>
      <c r="M39" s="1"/>
      <c r="N39" s="19">
        <v>70</v>
      </c>
      <c r="O39" s="1"/>
    </row>
    <row r="40" spans="1:15" ht="15" x14ac:dyDescent="0.25">
      <c r="A40" s="20"/>
      <c r="B40" s="21"/>
      <c r="C40" s="21"/>
      <c r="D40" s="20"/>
      <c r="E40" s="26"/>
      <c r="F40" s="27"/>
      <c r="G40" s="26"/>
      <c r="H40" s="28"/>
      <c r="I40" s="29"/>
      <c r="J40" s="30">
        <f>SUBTOTAL(9,J33:J39)</f>
        <v>51.42</v>
      </c>
      <c r="K40" s="1"/>
      <c r="L40" s="1"/>
      <c r="M40" s="1"/>
      <c r="N40" s="19"/>
      <c r="O40" s="1"/>
    </row>
    <row r="41" spans="1:15" ht="27" x14ac:dyDescent="0.25">
      <c r="A41" s="20">
        <v>84191</v>
      </c>
      <c r="B41" s="21" t="s">
        <v>24</v>
      </c>
      <c r="C41" s="21" t="s">
        <v>11</v>
      </c>
      <c r="D41" s="20">
        <v>99.34</v>
      </c>
      <c r="E41" s="13"/>
      <c r="F41" s="14" t="s">
        <v>60</v>
      </c>
      <c r="G41" s="15" t="s">
        <v>12</v>
      </c>
      <c r="H41" s="16" t="s">
        <v>17</v>
      </c>
      <c r="I41" s="17" t="s">
        <v>12</v>
      </c>
      <c r="J41" s="18">
        <f>SUM(J42:J45)</f>
        <v>35.24</v>
      </c>
      <c r="K41" s="1"/>
      <c r="L41" s="1"/>
      <c r="M41" s="1"/>
      <c r="N41" s="19" t="b">
        <f>J41=D41</f>
        <v>0</v>
      </c>
      <c r="O41" s="1"/>
    </row>
    <row r="42" spans="1:15" ht="94.5" x14ac:dyDescent="0.25">
      <c r="A42" s="20"/>
      <c r="B42" s="21"/>
      <c r="C42" s="21"/>
      <c r="D42" s="20"/>
      <c r="E42" s="22" t="s">
        <v>62</v>
      </c>
      <c r="F42" s="23" t="s">
        <v>61</v>
      </c>
      <c r="G42" s="22" t="s">
        <v>37</v>
      </c>
      <c r="H42" s="24">
        <v>6.0000000000000001E-3</v>
      </c>
      <c r="I42" s="25">
        <v>213.64</v>
      </c>
      <c r="J42" s="25">
        <f>TRUNC(I42*H42,2)</f>
        <v>1.28</v>
      </c>
      <c r="K42" s="1"/>
      <c r="L42" s="1"/>
      <c r="M42" s="1"/>
      <c r="N42" s="19">
        <v>0.88</v>
      </c>
      <c r="O42" s="1"/>
    </row>
    <row r="43" spans="1:15" ht="40.5" x14ac:dyDescent="0.25">
      <c r="A43" s="20"/>
      <c r="B43" s="21"/>
      <c r="C43" s="21"/>
      <c r="D43" s="20"/>
      <c r="E43" s="22" t="s">
        <v>0</v>
      </c>
      <c r="F43" s="23" t="s">
        <v>63</v>
      </c>
      <c r="G43" s="22" t="s">
        <v>17</v>
      </c>
      <c r="H43" s="24">
        <v>1.25</v>
      </c>
      <c r="I43" s="25">
        <v>15</v>
      </c>
      <c r="J43" s="25">
        <f t="shared" ref="J43:J45" si="5">TRUNC(I43*H43,2)</f>
        <v>18.75</v>
      </c>
      <c r="K43" s="1"/>
      <c r="L43" s="1"/>
      <c r="M43" s="1"/>
      <c r="N43" s="19">
        <f>150/12</f>
        <v>12.5</v>
      </c>
      <c r="O43" s="1"/>
    </row>
    <row r="44" spans="1:15" ht="54" x14ac:dyDescent="0.25">
      <c r="A44" s="20"/>
      <c r="B44" s="21"/>
      <c r="C44" s="21"/>
      <c r="D44" s="20"/>
      <c r="E44" s="22" t="s">
        <v>65</v>
      </c>
      <c r="F44" s="23" t="s">
        <v>64</v>
      </c>
      <c r="G44" s="22" t="s">
        <v>37</v>
      </c>
      <c r="H44" s="24">
        <v>0.27400000000000002</v>
      </c>
      <c r="I44" s="25">
        <v>22.03</v>
      </c>
      <c r="J44" s="25">
        <f t="shared" si="5"/>
        <v>6.03</v>
      </c>
      <c r="K44" s="1"/>
      <c r="L44" s="1"/>
      <c r="M44" s="1"/>
      <c r="N44" s="19">
        <v>450.11</v>
      </c>
      <c r="O44" s="1"/>
    </row>
    <row r="45" spans="1:15" ht="27" x14ac:dyDescent="0.25">
      <c r="A45" s="20"/>
      <c r="B45" s="21"/>
      <c r="C45" s="21"/>
      <c r="D45" s="20"/>
      <c r="E45" s="22" t="s">
        <v>40</v>
      </c>
      <c r="F45" s="23" t="s">
        <v>15</v>
      </c>
      <c r="G45" s="22" t="s">
        <v>2</v>
      </c>
      <c r="H45" s="24">
        <v>0.65900000000000003</v>
      </c>
      <c r="I45" s="25">
        <v>13.94</v>
      </c>
      <c r="J45" s="25">
        <f t="shared" si="5"/>
        <v>9.18</v>
      </c>
      <c r="K45" s="1"/>
      <c r="L45" s="1"/>
      <c r="M45" s="1"/>
      <c r="N45" s="19">
        <v>17.2</v>
      </c>
      <c r="O45" s="1"/>
    </row>
    <row r="46" spans="1:15" ht="15" x14ac:dyDescent="0.25">
      <c r="A46" s="20"/>
      <c r="B46" s="21"/>
      <c r="C46" s="21"/>
      <c r="D46" s="20"/>
      <c r="E46" s="26"/>
      <c r="F46" s="27"/>
      <c r="G46" s="26"/>
      <c r="H46" s="28"/>
      <c r="I46" s="29"/>
      <c r="J46" s="30">
        <f>SUBTOTAL(9,J42:J45)</f>
        <v>35.24</v>
      </c>
      <c r="K46" s="1"/>
      <c r="L46" s="1"/>
      <c r="M46" s="1"/>
      <c r="N46" s="19"/>
      <c r="O46" s="1"/>
    </row>
    <row r="47" spans="1:15" ht="67.5" x14ac:dyDescent="0.25">
      <c r="A47" s="20">
        <v>85005</v>
      </c>
      <c r="B47" s="21" t="s">
        <v>26</v>
      </c>
      <c r="C47" s="21" t="s">
        <v>11</v>
      </c>
      <c r="D47" s="20">
        <v>355.04</v>
      </c>
      <c r="E47" s="13"/>
      <c r="F47" s="14" t="s">
        <v>66</v>
      </c>
      <c r="G47" s="15" t="s">
        <v>12</v>
      </c>
      <c r="H47" s="16" t="s">
        <v>17</v>
      </c>
      <c r="I47" s="17" t="s">
        <v>12</v>
      </c>
      <c r="J47" s="18">
        <f>SUM(J48:J52)</f>
        <v>566.80999999999995</v>
      </c>
      <c r="K47" s="1"/>
      <c r="L47" s="1"/>
      <c r="M47" s="1"/>
      <c r="N47" s="19" t="b">
        <f>J47=D47</f>
        <v>0</v>
      </c>
      <c r="O47" s="1"/>
    </row>
    <row r="48" spans="1:15" ht="40.5" x14ac:dyDescent="0.25">
      <c r="A48" s="20"/>
      <c r="B48" s="21"/>
      <c r="C48" s="21"/>
      <c r="D48" s="20"/>
      <c r="E48" s="22" t="s">
        <v>68</v>
      </c>
      <c r="F48" s="23" t="s">
        <v>67</v>
      </c>
      <c r="G48" s="22" t="s">
        <v>25</v>
      </c>
      <c r="H48" s="24">
        <v>2</v>
      </c>
      <c r="I48" s="25">
        <v>4.58</v>
      </c>
      <c r="J48" s="25">
        <f>TRUNC(I48*H48,2)</f>
        <v>9.16</v>
      </c>
      <c r="K48" s="1"/>
      <c r="L48" s="1"/>
      <c r="M48" s="1"/>
      <c r="N48" s="19">
        <v>3.68</v>
      </c>
      <c r="O48" s="1"/>
    </row>
    <row r="49" spans="1:15" ht="27" x14ac:dyDescent="0.25">
      <c r="A49" s="20"/>
      <c r="B49" s="21"/>
      <c r="C49" s="21"/>
      <c r="D49" s="20"/>
      <c r="E49" s="22" t="s">
        <v>41</v>
      </c>
      <c r="F49" s="23" t="s">
        <v>32</v>
      </c>
      <c r="G49" s="22" t="s">
        <v>2</v>
      </c>
      <c r="H49" s="24">
        <v>2.2559999999999998</v>
      </c>
      <c r="I49" s="25">
        <v>17.399999999999999</v>
      </c>
      <c r="J49" s="25">
        <f t="shared" ref="J49:J52" si="6">TRUNC(I49*H49,2)</f>
        <v>39.25</v>
      </c>
      <c r="K49" s="1"/>
      <c r="L49" s="1"/>
      <c r="M49" s="1"/>
      <c r="N49" s="19"/>
      <c r="O49" s="1"/>
    </row>
    <row r="50" spans="1:15" ht="27" x14ac:dyDescent="0.25">
      <c r="A50" s="20"/>
      <c r="B50" s="21"/>
      <c r="C50" s="21"/>
      <c r="D50" s="20"/>
      <c r="E50" s="22" t="s">
        <v>46</v>
      </c>
      <c r="F50" s="23" t="s">
        <v>18</v>
      </c>
      <c r="G50" s="22" t="s">
        <v>2</v>
      </c>
      <c r="H50" s="24">
        <v>1.98</v>
      </c>
      <c r="I50" s="25">
        <v>16.79</v>
      </c>
      <c r="J50" s="25">
        <f t="shared" si="6"/>
        <v>33.24</v>
      </c>
      <c r="K50" s="1"/>
      <c r="L50" s="1"/>
      <c r="M50" s="1"/>
      <c r="N50" s="19">
        <v>305.77</v>
      </c>
      <c r="O50" s="1"/>
    </row>
    <row r="51" spans="1:15" ht="27" x14ac:dyDescent="0.25">
      <c r="A51" s="20"/>
      <c r="B51" s="21"/>
      <c r="C51" s="21"/>
      <c r="D51" s="20"/>
      <c r="E51" s="22" t="s">
        <v>40</v>
      </c>
      <c r="F51" s="23" t="s">
        <v>15</v>
      </c>
      <c r="G51" s="22" t="s">
        <v>2</v>
      </c>
      <c r="H51" s="24">
        <v>4.2389999999999999</v>
      </c>
      <c r="I51" s="25">
        <v>13.94</v>
      </c>
      <c r="J51" s="25">
        <f t="shared" si="6"/>
        <v>59.09</v>
      </c>
      <c r="K51" s="1"/>
      <c r="L51" s="1"/>
      <c r="M51" s="1"/>
      <c r="N51" s="19">
        <v>13.83</v>
      </c>
      <c r="O51" s="1"/>
    </row>
    <row r="52" spans="1:15" ht="67.5" x14ac:dyDescent="0.25">
      <c r="A52" s="20"/>
      <c r="B52" s="21"/>
      <c r="C52" s="21"/>
      <c r="D52" s="20"/>
      <c r="E52" s="22" t="s">
        <v>71</v>
      </c>
      <c r="F52" s="23" t="s">
        <v>69</v>
      </c>
      <c r="G52" s="22" t="s">
        <v>17</v>
      </c>
      <c r="H52" s="24">
        <v>1.2130000000000001</v>
      </c>
      <c r="I52" s="25">
        <v>351.26</v>
      </c>
      <c r="J52" s="25">
        <f t="shared" si="6"/>
        <v>426.07</v>
      </c>
      <c r="K52" s="1"/>
      <c r="L52" s="1"/>
      <c r="M52" s="1"/>
      <c r="N52" s="19">
        <v>14.51</v>
      </c>
      <c r="O52" s="1"/>
    </row>
    <row r="53" spans="1:15" ht="15" x14ac:dyDescent="0.25">
      <c r="A53" s="20"/>
      <c r="B53" s="21"/>
      <c r="C53" s="21"/>
      <c r="D53" s="20"/>
      <c r="E53" s="26"/>
      <c r="F53" s="27"/>
      <c r="G53" s="26"/>
      <c r="H53" s="28"/>
      <c r="I53" s="29"/>
      <c r="J53" s="30">
        <f>SUBTOTAL(9,J48:J52)</f>
        <v>566.80999999999995</v>
      </c>
      <c r="K53" s="1"/>
      <c r="L53" s="1"/>
      <c r="M53" s="1"/>
      <c r="N53" s="19"/>
      <c r="O53" s="1"/>
    </row>
    <row r="54" spans="1:15" ht="54" x14ac:dyDescent="0.25">
      <c r="A54" s="20">
        <v>85120</v>
      </c>
      <c r="B54" s="21" t="s">
        <v>27</v>
      </c>
      <c r="C54" s="21" t="s">
        <v>1</v>
      </c>
      <c r="D54" s="20">
        <v>119.58</v>
      </c>
      <c r="E54" s="13"/>
      <c r="F54" s="14" t="s">
        <v>70</v>
      </c>
      <c r="G54" s="15" t="s">
        <v>12</v>
      </c>
      <c r="H54" s="16" t="str">
        <f>C54</f>
        <v>UN</v>
      </c>
      <c r="I54" s="17" t="s">
        <v>12</v>
      </c>
      <c r="J54" s="18">
        <f>J56</f>
        <v>157.13</v>
      </c>
      <c r="K54" s="1"/>
      <c r="L54" s="1"/>
      <c r="M54" s="1"/>
      <c r="N54" s="19" t="b">
        <f>J54=D54</f>
        <v>0</v>
      </c>
      <c r="O54" s="1"/>
    </row>
    <row r="55" spans="1:15" ht="54" x14ac:dyDescent="0.25">
      <c r="A55" s="20"/>
      <c r="B55" s="21"/>
      <c r="C55" s="21"/>
      <c r="D55" s="20"/>
      <c r="E55" s="22" t="s">
        <v>0</v>
      </c>
      <c r="F55" s="23" t="s">
        <v>70</v>
      </c>
      <c r="G55" s="22" t="s">
        <v>1</v>
      </c>
      <c r="H55" s="24">
        <v>1</v>
      </c>
      <c r="I55" s="25">
        <v>157.13</v>
      </c>
      <c r="J55" s="25">
        <f t="shared" ref="J55" si="7">TRUNC(I55*H55,2)</f>
        <v>157.13</v>
      </c>
      <c r="K55" s="1"/>
      <c r="L55" s="1"/>
      <c r="M55" s="1"/>
      <c r="N55" s="19">
        <v>2.36</v>
      </c>
      <c r="O55" s="1"/>
    </row>
    <row r="56" spans="1:15" ht="15" x14ac:dyDescent="0.25">
      <c r="A56" s="20"/>
      <c r="B56" s="21"/>
      <c r="C56" s="21"/>
      <c r="D56" s="20"/>
      <c r="E56" s="26"/>
      <c r="F56" s="27"/>
      <c r="G56" s="26"/>
      <c r="H56" s="28"/>
      <c r="I56" s="29"/>
      <c r="J56" s="30">
        <f>SUBTOTAL(9,J55:J55)</f>
        <v>157.13</v>
      </c>
      <c r="K56" s="1"/>
      <c r="L56" s="1"/>
      <c r="M56" s="1"/>
      <c r="N56" s="19"/>
      <c r="O56" s="1"/>
    </row>
    <row r="57" spans="1:15" ht="40.5" x14ac:dyDescent="0.25">
      <c r="A57" s="20">
        <v>87529</v>
      </c>
      <c r="B57" s="21" t="s">
        <v>28</v>
      </c>
      <c r="C57" s="21" t="s">
        <v>11</v>
      </c>
      <c r="D57" s="20">
        <v>23.52</v>
      </c>
      <c r="E57" s="13"/>
      <c r="F57" s="14" t="s">
        <v>72</v>
      </c>
      <c r="G57" s="15" t="s">
        <v>12</v>
      </c>
      <c r="H57" s="16" t="str">
        <f>C57</f>
        <v>M2</v>
      </c>
      <c r="I57" s="17" t="s">
        <v>12</v>
      </c>
      <c r="J57" s="18">
        <f>SUM(J58:J60)</f>
        <v>0.80999999999999994</v>
      </c>
      <c r="K57" s="1"/>
      <c r="L57" s="1"/>
      <c r="M57" s="1"/>
      <c r="N57" s="19" t="b">
        <f>J57=D57</f>
        <v>0</v>
      </c>
      <c r="O57" s="1"/>
    </row>
    <row r="58" spans="1:15" ht="15" x14ac:dyDescent="0.25">
      <c r="A58" s="20"/>
      <c r="B58" s="21"/>
      <c r="C58" s="21"/>
      <c r="D58" s="20"/>
      <c r="E58" s="22" t="s">
        <v>74</v>
      </c>
      <c r="F58" s="23" t="s">
        <v>73</v>
      </c>
      <c r="G58" s="22" t="s">
        <v>16</v>
      </c>
      <c r="H58" s="24">
        <v>0.106</v>
      </c>
      <c r="I58" s="25">
        <v>0.92</v>
      </c>
      <c r="J58" s="25">
        <f t="shared" ref="J58:J60" si="8">TRUNC(I58*H58,2)</f>
        <v>0.09</v>
      </c>
      <c r="K58" s="1"/>
      <c r="L58" s="1"/>
      <c r="M58" s="1"/>
      <c r="N58" s="19">
        <v>347.95</v>
      </c>
      <c r="O58" s="1"/>
    </row>
    <row r="59" spans="1:15" ht="40.5" x14ac:dyDescent="0.25">
      <c r="A59" s="20"/>
      <c r="B59" s="21"/>
      <c r="C59" s="21"/>
      <c r="D59" s="20"/>
      <c r="E59" s="22" t="s">
        <v>76</v>
      </c>
      <c r="F59" s="23" t="s">
        <v>75</v>
      </c>
      <c r="G59" s="22" t="s">
        <v>2</v>
      </c>
      <c r="H59" s="24">
        <v>2.7E-2</v>
      </c>
      <c r="I59" s="25">
        <v>18.600000000000001</v>
      </c>
      <c r="J59" s="25">
        <f t="shared" si="8"/>
        <v>0.5</v>
      </c>
      <c r="K59" s="1"/>
      <c r="L59" s="1"/>
      <c r="M59" s="1"/>
      <c r="N59" s="19">
        <v>17.2</v>
      </c>
      <c r="O59" s="1"/>
    </row>
    <row r="60" spans="1:15" ht="27" x14ac:dyDescent="0.25">
      <c r="A60" s="20"/>
      <c r="B60" s="21"/>
      <c r="C60" s="21"/>
      <c r="D60" s="20"/>
      <c r="E60" s="22" t="s">
        <v>40</v>
      </c>
      <c r="F60" s="23" t="s">
        <v>15</v>
      </c>
      <c r="G60" s="22" t="s">
        <v>2</v>
      </c>
      <c r="H60" s="24">
        <v>1.6E-2</v>
      </c>
      <c r="I60" s="25">
        <v>13.94</v>
      </c>
      <c r="J60" s="25">
        <f t="shared" si="8"/>
        <v>0.22</v>
      </c>
      <c r="K60" s="1"/>
      <c r="L60" s="1"/>
      <c r="M60" s="1"/>
      <c r="N60" s="19">
        <v>13.83</v>
      </c>
      <c r="O60" s="1"/>
    </row>
    <row r="61" spans="1:15" ht="15" x14ac:dyDescent="0.25">
      <c r="A61" s="20"/>
      <c r="B61" s="21"/>
      <c r="C61" s="21"/>
      <c r="D61" s="20"/>
      <c r="E61" s="26"/>
      <c r="F61" s="27"/>
      <c r="G61" s="26"/>
      <c r="H61" s="28"/>
      <c r="I61" s="29"/>
      <c r="J61" s="30">
        <f>SUBTOTAL(9,J58:J60)</f>
        <v>0.80999999999999994</v>
      </c>
      <c r="K61" s="1"/>
      <c r="L61" s="1"/>
      <c r="M61" s="1"/>
      <c r="N61" s="19"/>
      <c r="O61" s="1"/>
    </row>
    <row r="62" spans="1:15" ht="81" x14ac:dyDescent="0.25">
      <c r="A62" s="20">
        <v>87554</v>
      </c>
      <c r="B62" s="21" t="s">
        <v>29</v>
      </c>
      <c r="C62" s="21" t="s">
        <v>11</v>
      </c>
      <c r="D62" s="20">
        <v>13.72</v>
      </c>
      <c r="E62" s="13"/>
      <c r="F62" s="14" t="s">
        <v>77</v>
      </c>
      <c r="G62" s="15" t="s">
        <v>12</v>
      </c>
      <c r="H62" s="16" t="str">
        <f>C62</f>
        <v>M2</v>
      </c>
      <c r="I62" s="17" t="s">
        <v>12</v>
      </c>
      <c r="J62" s="18">
        <f>J64</f>
        <v>461.32</v>
      </c>
      <c r="K62" s="1"/>
      <c r="L62" s="1"/>
      <c r="M62" s="1"/>
      <c r="N62" s="19" t="b">
        <f>J62=D62</f>
        <v>0</v>
      </c>
      <c r="O62" s="1"/>
    </row>
    <row r="63" spans="1:15" ht="94.5" x14ac:dyDescent="0.25">
      <c r="A63" s="20"/>
      <c r="B63" s="21"/>
      <c r="C63" s="21"/>
      <c r="D63" s="20"/>
      <c r="E63" s="22" t="s">
        <v>14</v>
      </c>
      <c r="F63" s="23" t="s">
        <v>78</v>
      </c>
      <c r="G63" s="22" t="s">
        <v>11</v>
      </c>
      <c r="H63" s="24">
        <v>1</v>
      </c>
      <c r="I63" s="25">
        <v>461.32</v>
      </c>
      <c r="J63" s="25">
        <f t="shared" ref="J63" si="9">TRUNC(I63*H63,2)</f>
        <v>461.32</v>
      </c>
      <c r="K63" s="1"/>
      <c r="L63" s="1"/>
      <c r="M63" s="1"/>
      <c r="N63" s="19">
        <v>435.16</v>
      </c>
      <c r="O63" s="1"/>
    </row>
    <row r="64" spans="1:15" ht="15" x14ac:dyDescent="0.25">
      <c r="A64" s="20"/>
      <c r="B64" s="21"/>
      <c r="C64" s="21"/>
      <c r="D64" s="20"/>
      <c r="E64" s="26"/>
      <c r="F64" s="27"/>
      <c r="G64" s="26"/>
      <c r="H64" s="28"/>
      <c r="I64" s="29"/>
      <c r="J64" s="30">
        <f>SUBTOTAL(9,J63:J63)</f>
        <v>461.32</v>
      </c>
      <c r="K64" s="1"/>
      <c r="L64" s="1"/>
      <c r="M64" s="1"/>
      <c r="N64" s="19"/>
      <c r="O64" s="1"/>
    </row>
    <row r="65" spans="1:15" ht="74.25" customHeight="1" x14ac:dyDescent="0.25">
      <c r="A65" s="20">
        <v>87825</v>
      </c>
      <c r="B65" s="21" t="s">
        <v>30</v>
      </c>
      <c r="C65" s="21" t="s">
        <v>11</v>
      </c>
      <c r="D65" s="20">
        <v>46.3</v>
      </c>
      <c r="E65" s="13"/>
      <c r="F65" s="14" t="s">
        <v>79</v>
      </c>
      <c r="G65" s="15" t="s">
        <v>12</v>
      </c>
      <c r="H65" s="16" t="s">
        <v>80</v>
      </c>
      <c r="I65" s="17" t="s">
        <v>12</v>
      </c>
      <c r="J65" s="18">
        <f>SUM(J66:J69)</f>
        <v>492.12</v>
      </c>
      <c r="K65" s="1"/>
      <c r="L65" s="1"/>
      <c r="M65" s="1"/>
      <c r="N65" s="19" t="b">
        <f>J65=D65</f>
        <v>0</v>
      </c>
      <c r="O65" s="1"/>
    </row>
    <row r="66" spans="1:15" ht="78.75" customHeight="1" x14ac:dyDescent="0.25">
      <c r="A66" s="20"/>
      <c r="B66" s="21"/>
      <c r="C66" s="21"/>
      <c r="D66" s="20"/>
      <c r="E66" s="22" t="s">
        <v>71</v>
      </c>
      <c r="F66" s="23" t="s">
        <v>82</v>
      </c>
      <c r="G66" s="22" t="s">
        <v>17</v>
      </c>
      <c r="H66" s="24">
        <v>0.57499999999999996</v>
      </c>
      <c r="I66" s="25">
        <v>351.26</v>
      </c>
      <c r="J66" s="25">
        <f t="shared" ref="J66:J69" si="10">TRUNC(I66*H66,2)</f>
        <v>201.97</v>
      </c>
      <c r="K66" s="1"/>
      <c r="L66" s="1"/>
      <c r="M66" s="1"/>
      <c r="N66" s="19">
        <v>347.95</v>
      </c>
      <c r="O66" s="1"/>
    </row>
    <row r="67" spans="1:15" ht="55.5" customHeight="1" x14ac:dyDescent="0.25">
      <c r="A67" s="20"/>
      <c r="B67" s="21"/>
      <c r="C67" s="21"/>
      <c r="D67" s="20"/>
      <c r="E67" s="22" t="s">
        <v>81</v>
      </c>
      <c r="F67" s="23" t="s">
        <v>33</v>
      </c>
      <c r="G67" s="22" t="s">
        <v>17</v>
      </c>
      <c r="H67" s="24">
        <v>0.57499999999999996</v>
      </c>
      <c r="I67" s="25">
        <v>143.37</v>
      </c>
      <c r="J67" s="25">
        <f t="shared" si="10"/>
        <v>82.43</v>
      </c>
      <c r="K67" s="1"/>
      <c r="L67" s="1"/>
      <c r="M67" s="1"/>
      <c r="N67" s="19">
        <v>17.2</v>
      </c>
      <c r="O67" s="1"/>
    </row>
    <row r="68" spans="1:15" ht="57.75" customHeight="1" x14ac:dyDescent="0.25">
      <c r="A68" s="20"/>
      <c r="B68" s="21"/>
      <c r="C68" s="21"/>
      <c r="D68" s="20"/>
      <c r="E68" s="22" t="s">
        <v>83</v>
      </c>
      <c r="F68" s="23" t="s">
        <v>84</v>
      </c>
      <c r="G68" s="22" t="s">
        <v>11</v>
      </c>
      <c r="H68" s="24">
        <v>10.8</v>
      </c>
      <c r="I68" s="25">
        <v>12.95</v>
      </c>
      <c r="J68" s="25">
        <f t="shared" si="10"/>
        <v>139.86000000000001</v>
      </c>
      <c r="K68" s="1"/>
      <c r="L68" s="1"/>
      <c r="M68" s="1"/>
      <c r="N68" s="19"/>
      <c r="O68" s="1"/>
    </row>
    <row r="69" spans="1:15" ht="55.5" customHeight="1" x14ac:dyDescent="0.25">
      <c r="A69" s="20"/>
      <c r="B69" s="21"/>
      <c r="C69" s="21"/>
      <c r="D69" s="20"/>
      <c r="E69" s="22" t="s">
        <v>85</v>
      </c>
      <c r="F69" s="23" t="s">
        <v>86</v>
      </c>
      <c r="G69" s="22" t="s">
        <v>11</v>
      </c>
      <c r="H69" s="24">
        <v>1.35</v>
      </c>
      <c r="I69" s="25">
        <v>50.27</v>
      </c>
      <c r="J69" s="25">
        <f t="shared" si="10"/>
        <v>67.86</v>
      </c>
      <c r="K69" s="1"/>
      <c r="L69" s="1"/>
      <c r="M69" s="1"/>
      <c r="N69" s="19"/>
      <c r="O69" s="1"/>
    </row>
    <row r="70" spans="1:15" ht="12.6" customHeight="1" x14ac:dyDescent="0.25">
      <c r="A70" s="20"/>
      <c r="B70" s="21"/>
      <c r="C70" s="21"/>
      <c r="D70" s="20"/>
      <c r="E70" s="26"/>
      <c r="F70" s="27"/>
      <c r="G70" s="26"/>
      <c r="H70" s="28"/>
      <c r="I70" s="29"/>
      <c r="J70" s="30">
        <f>SUBTOTAL(9,J66:J69)</f>
        <v>492.12</v>
      </c>
      <c r="K70" s="1"/>
      <c r="L70" s="1"/>
      <c r="M70" s="1"/>
      <c r="N70" s="19"/>
      <c r="O70" s="1"/>
    </row>
    <row r="71" spans="1:15" ht="12.6" customHeight="1" x14ac:dyDescent="0.25">
      <c r="A71" s="20">
        <v>87879</v>
      </c>
      <c r="B71" s="21" t="s">
        <v>31</v>
      </c>
      <c r="C71" s="21" t="s">
        <v>11</v>
      </c>
      <c r="D71" s="20">
        <v>2.62</v>
      </c>
      <c r="E71" s="13"/>
      <c r="F71" s="14" t="s">
        <v>87</v>
      </c>
      <c r="G71" s="15" t="s">
        <v>12</v>
      </c>
      <c r="H71" s="16" t="str">
        <f>C71</f>
        <v>M2</v>
      </c>
      <c r="I71" s="17" t="s">
        <v>12</v>
      </c>
      <c r="J71" s="18">
        <f>SUM(J72:J73)</f>
        <v>0.39</v>
      </c>
      <c r="K71" s="1"/>
      <c r="L71" s="1"/>
      <c r="M71" s="1"/>
      <c r="N71" s="19" t="b">
        <f>J71=D71</f>
        <v>0</v>
      </c>
      <c r="O71" s="1"/>
    </row>
    <row r="72" spans="1:15" ht="75.75" customHeight="1" x14ac:dyDescent="0.25">
      <c r="A72" s="20"/>
      <c r="B72" s="21"/>
      <c r="C72" s="21"/>
      <c r="D72" s="20"/>
      <c r="E72" s="22" t="s">
        <v>90</v>
      </c>
      <c r="F72" s="23" t="s">
        <v>89</v>
      </c>
      <c r="G72" s="22" t="s">
        <v>88</v>
      </c>
      <c r="H72" s="24">
        <v>6.2600000000000003E-2</v>
      </c>
      <c r="I72" s="25">
        <v>0.43</v>
      </c>
      <c r="J72" s="25">
        <f t="shared" ref="J72:J73" si="11">TRUNC(I72*H72,2)</f>
        <v>0.02</v>
      </c>
      <c r="K72" s="1"/>
      <c r="L72" s="1"/>
      <c r="M72" s="1"/>
      <c r="N72" s="19">
        <v>316.88</v>
      </c>
      <c r="O72" s="1"/>
    </row>
    <row r="73" spans="1:15" ht="30" customHeight="1" x14ac:dyDescent="0.25">
      <c r="A73" s="20"/>
      <c r="B73" s="21"/>
      <c r="C73" s="21"/>
      <c r="D73" s="20"/>
      <c r="E73" s="22" t="s">
        <v>40</v>
      </c>
      <c r="F73" s="23" t="s">
        <v>15</v>
      </c>
      <c r="G73" s="22" t="s">
        <v>2</v>
      </c>
      <c r="H73" s="24">
        <v>2.7099999999999999E-2</v>
      </c>
      <c r="I73" s="25">
        <v>13.94</v>
      </c>
      <c r="J73" s="25">
        <f t="shared" si="11"/>
        <v>0.37</v>
      </c>
      <c r="K73" s="1"/>
      <c r="L73" s="1"/>
      <c r="M73" s="1"/>
      <c r="N73" s="19">
        <v>17.2</v>
      </c>
      <c r="O73" s="1"/>
    </row>
    <row r="74" spans="1:15" ht="12.6" customHeight="1" x14ac:dyDescent="0.25">
      <c r="A74" s="20"/>
      <c r="B74" s="21"/>
      <c r="C74" s="21"/>
      <c r="D74" s="20"/>
      <c r="E74" s="26"/>
      <c r="F74" s="27"/>
      <c r="G74" s="26"/>
      <c r="H74" s="28"/>
      <c r="I74" s="29"/>
      <c r="J74" s="30">
        <f>SUBTOTAL(9,J72:J73)</f>
        <v>0.39</v>
      </c>
      <c r="K74" s="1"/>
      <c r="L74" s="1"/>
      <c r="M74" s="1"/>
      <c r="N74" s="19"/>
      <c r="O74" s="1"/>
    </row>
  </sheetData>
  <sheetProtection selectLockedCells="1"/>
  <protectedRanges>
    <protectedRange sqref="BG10:BJ10" name="Intervalo1_1"/>
  </protectedRanges>
  <mergeCells count="6">
    <mergeCell ref="E9:J9"/>
    <mergeCell ref="E1:J1"/>
    <mergeCell ref="E2:J2"/>
    <mergeCell ref="E3:J3"/>
    <mergeCell ref="E4:J4"/>
    <mergeCell ref="E5:J5"/>
  </mergeCells>
  <printOptions horizontalCentered="1"/>
  <pageMargins left="0.39370078740157483" right="0.39370078740157483" top="0.86614173228346458" bottom="0.59055118110236227" header="0" footer="0"/>
  <pageSetup paperSize="9" scale="47" fitToHeight="0" orientation="portrait" r:id="rId1"/>
  <headerFooter scaleWithDoc="0" alignWithMargins="0">
    <oddHeader xml:space="preserve">&amp;R
        &amp;P         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Y136"/>
  <sheetViews>
    <sheetView tabSelected="1" topLeftCell="A96" zoomScale="85" zoomScaleNormal="85" workbookViewId="0">
      <selection activeCell="G94" sqref="G94"/>
    </sheetView>
  </sheetViews>
  <sheetFormatPr defaultColWidth="7.85546875" defaultRowHeight="12.75" x14ac:dyDescent="0.25"/>
  <cols>
    <col min="1" max="1" width="7.5703125" style="65" customWidth="1"/>
    <col min="2" max="2" width="54.140625" style="38" customWidth="1"/>
    <col min="3" max="3" width="8.85546875" style="38" customWidth="1"/>
    <col min="4" max="4" width="11.140625" style="66" customWidth="1"/>
    <col min="5" max="5" width="14" style="66" customWidth="1"/>
    <col min="6" max="6" width="13.85546875" style="66" customWidth="1"/>
    <col min="7" max="7" width="14.5703125" style="66" customWidth="1"/>
    <col min="8" max="8" width="14.85546875" style="66" customWidth="1"/>
    <col min="9" max="9" width="14.140625" style="38" customWidth="1"/>
    <col min="10" max="10" width="11.7109375" style="38" customWidth="1"/>
    <col min="11" max="12" width="7.85546875" style="38"/>
    <col min="13" max="14" width="10.85546875" style="38" bestFit="1" customWidth="1"/>
    <col min="15" max="16384" width="7.85546875" style="38"/>
  </cols>
  <sheetData>
    <row r="8" spans="1:8" ht="13.5" thickBot="1" x14ac:dyDescent="0.3"/>
    <row r="9" spans="1:8" ht="27.75" customHeight="1" x14ac:dyDescent="0.25">
      <c r="A9" s="162" t="str">
        <f>Composições!E1</f>
        <v>OBRA: IMPLANTAÇÃO DE PAVIMENTAÇÃO EM VIAS PÚBLICAS URBANAS NO MUNICÍPIO DE SOUSA - PB, CONFORME CONTRATO DE REPASSE Nº 1030113-16/2016</v>
      </c>
      <c r="B9" s="163"/>
      <c r="C9" s="163"/>
      <c r="D9" s="163"/>
      <c r="E9" s="163"/>
      <c r="F9" s="163"/>
      <c r="G9" s="163"/>
      <c r="H9" s="164"/>
    </row>
    <row r="10" spans="1:8" ht="27.75" customHeight="1" x14ac:dyDescent="0.25">
      <c r="A10" s="180" t="s">
        <v>326</v>
      </c>
      <c r="B10" s="181"/>
      <c r="C10" s="181"/>
      <c r="D10" s="181"/>
      <c r="E10" s="181"/>
      <c r="F10" s="181"/>
      <c r="G10" s="181"/>
      <c r="H10" s="182"/>
    </row>
    <row r="11" spans="1:8" ht="19.5" customHeight="1" x14ac:dyDescent="0.25">
      <c r="A11" s="165" t="str">
        <f>Composições!E2</f>
        <v>PROPONENTE: PREFEITURA MUNICIPAL DE SOUSA-PB</v>
      </c>
      <c r="B11" s="166"/>
      <c r="C11" s="166"/>
      <c r="D11" s="166"/>
      <c r="E11" s="166"/>
      <c r="F11" s="166"/>
      <c r="G11" s="166"/>
      <c r="H11" s="167"/>
    </row>
    <row r="12" spans="1:8" ht="19.5" customHeight="1" x14ac:dyDescent="0.25">
      <c r="A12" s="165" t="str">
        <f>Composições!E3</f>
        <v>Encargos Sociais COM desonerados: Horista: 85,69% / Mensalista: 48,16%</v>
      </c>
      <c r="B12" s="166"/>
      <c r="C12" s="166"/>
      <c r="D12" s="166"/>
      <c r="E12" s="166"/>
      <c r="F12" s="166"/>
      <c r="G12" s="166"/>
      <c r="H12" s="167"/>
    </row>
    <row r="13" spans="1:8" ht="19.5" customHeight="1" thickBot="1" x14ac:dyDescent="0.3">
      <c r="A13" s="5" t="s">
        <v>105</v>
      </c>
      <c r="B13" s="69">
        <v>0.27460000000000001</v>
      </c>
      <c r="C13" s="6"/>
      <c r="D13" s="6"/>
      <c r="E13" s="6"/>
      <c r="F13" s="6"/>
      <c r="G13" s="6"/>
      <c r="H13" s="7"/>
    </row>
    <row r="14" spans="1:8" ht="19.5" customHeight="1" x14ac:dyDescent="0.25">
      <c r="A14" s="4"/>
      <c r="B14" s="4"/>
      <c r="C14" s="4"/>
      <c r="D14" s="4"/>
      <c r="E14" s="4"/>
      <c r="F14" s="4"/>
      <c r="G14" s="4"/>
      <c r="H14" s="4"/>
    </row>
    <row r="15" spans="1:8" ht="13.5" thickBot="1" x14ac:dyDescent="0.3">
      <c r="A15" s="175" t="s">
        <v>91</v>
      </c>
      <c r="B15" s="175"/>
      <c r="C15" s="175"/>
      <c r="D15" s="176"/>
      <c r="E15" s="176"/>
      <c r="F15" s="176"/>
      <c r="G15" s="176"/>
      <c r="H15" s="176"/>
    </row>
    <row r="16" spans="1:8" s="8" customFormat="1" ht="14.45" customHeight="1" x14ac:dyDescent="0.2">
      <c r="F16" s="9"/>
      <c r="G16" s="9"/>
      <c r="H16" s="9"/>
    </row>
    <row r="17" spans="1:25" ht="38.25" x14ac:dyDescent="0.25">
      <c r="A17" s="39" t="s">
        <v>92</v>
      </c>
      <c r="B17" s="39" t="s">
        <v>5</v>
      </c>
      <c r="C17" s="39" t="s">
        <v>6</v>
      </c>
      <c r="D17" s="40" t="s">
        <v>7</v>
      </c>
      <c r="E17" s="40" t="s">
        <v>93</v>
      </c>
      <c r="F17" s="40" t="s">
        <v>94</v>
      </c>
      <c r="G17" s="40" t="s">
        <v>95</v>
      </c>
      <c r="H17" s="40" t="s">
        <v>96</v>
      </c>
    </row>
    <row r="18" spans="1:25" ht="13.5" thickBot="1" x14ac:dyDescent="0.3">
      <c r="A18" s="67"/>
      <c r="B18" s="67"/>
      <c r="C18" s="67"/>
      <c r="D18" s="68"/>
      <c r="E18" s="68"/>
      <c r="F18" s="68"/>
      <c r="G18" s="68"/>
      <c r="H18" s="68"/>
    </row>
    <row r="19" spans="1:25" ht="13.5" customHeight="1" thickBot="1" x14ac:dyDescent="0.3">
      <c r="A19" s="178" t="s">
        <v>264</v>
      </c>
      <c r="B19" s="179"/>
      <c r="C19" s="179"/>
      <c r="D19" s="179"/>
      <c r="E19" s="179"/>
      <c r="F19" s="179"/>
      <c r="G19" s="179"/>
      <c r="H19" s="70"/>
    </row>
    <row r="20" spans="1:25" s="8" customFormat="1" ht="15" customHeight="1" x14ac:dyDescent="0.2">
      <c r="F20" s="9"/>
      <c r="G20" s="9"/>
      <c r="H20" s="9"/>
    </row>
    <row r="21" spans="1:25" x14ac:dyDescent="0.25">
      <c r="A21" s="41" t="s">
        <v>104</v>
      </c>
      <c r="B21" s="42" t="s">
        <v>250</v>
      </c>
      <c r="C21" s="42"/>
      <c r="D21" s="43"/>
      <c r="E21" s="43"/>
      <c r="F21" s="43"/>
      <c r="G21" s="73">
        <f>SUM(G22:G22)</f>
        <v>1804.5</v>
      </c>
      <c r="H21" s="73">
        <f>SUM(H22:H22)</f>
        <v>2312.02</v>
      </c>
    </row>
    <row r="22" spans="1:25" ht="43.5" customHeight="1" x14ac:dyDescent="0.25">
      <c r="A22" s="44" t="s">
        <v>103</v>
      </c>
      <c r="B22" s="45" t="s">
        <v>251</v>
      </c>
      <c r="C22" s="47" t="s">
        <v>97</v>
      </c>
      <c r="D22" s="46">
        <v>5639.07</v>
      </c>
      <c r="E22" s="78">
        <v>0.32</v>
      </c>
      <c r="F22" s="78">
        <f>ROUND(E22*(1+$B$13),2)</f>
        <v>0.41</v>
      </c>
      <c r="G22" s="74">
        <f>ROUND(E22*D22,2)</f>
        <v>1804.5</v>
      </c>
      <c r="H22" s="75">
        <f>ROUND(F22*D22,2)</f>
        <v>2312.02</v>
      </c>
      <c r="X22" s="177"/>
      <c r="Y22" s="177"/>
    </row>
    <row r="23" spans="1:25" x14ac:dyDescent="0.25">
      <c r="A23" s="51"/>
      <c r="B23" s="52"/>
      <c r="C23" s="51"/>
      <c r="D23" s="53"/>
      <c r="E23" s="53"/>
      <c r="F23" s="54"/>
      <c r="G23" s="46"/>
      <c r="H23" s="53"/>
    </row>
    <row r="24" spans="1:25" x14ac:dyDescent="0.25">
      <c r="A24" s="41" t="s">
        <v>107</v>
      </c>
      <c r="B24" s="42" t="s">
        <v>108</v>
      </c>
      <c r="C24" s="42"/>
      <c r="D24" s="43"/>
      <c r="E24" s="43"/>
      <c r="F24" s="43"/>
      <c r="G24" s="73">
        <f>SUM(G25:G26)</f>
        <v>3495.64</v>
      </c>
      <c r="H24" s="73">
        <f>SUM(H25:H26)</f>
        <v>4459.2</v>
      </c>
    </row>
    <row r="25" spans="1:25" ht="38.25" x14ac:dyDescent="0.25">
      <c r="A25" s="47" t="s">
        <v>110</v>
      </c>
      <c r="B25" s="48" t="s">
        <v>266</v>
      </c>
      <c r="C25" s="47" t="s">
        <v>98</v>
      </c>
      <c r="D25" s="49">
        <v>1120.4000000000001</v>
      </c>
      <c r="E25" s="75">
        <v>1.56</v>
      </c>
      <c r="F25" s="78">
        <f>ROUND(E25*(1+$B$13),2)</f>
        <v>1.99</v>
      </c>
      <c r="G25" s="74">
        <f>ROUND(E25*D25,2)</f>
        <v>1747.82</v>
      </c>
      <c r="H25" s="75">
        <f>ROUND(F25*D25,2)</f>
        <v>2229.6</v>
      </c>
    </row>
    <row r="26" spans="1:25" ht="38.25" x14ac:dyDescent="0.25">
      <c r="A26" s="47" t="s">
        <v>265</v>
      </c>
      <c r="B26" s="48" t="s">
        <v>267</v>
      </c>
      <c r="C26" s="47" t="s">
        <v>98</v>
      </c>
      <c r="D26" s="49">
        <v>1120.4000000000001</v>
      </c>
      <c r="E26" s="75">
        <v>1.56</v>
      </c>
      <c r="F26" s="78">
        <f>ROUND(E26*(1+$B$13),2)</f>
        <v>1.99</v>
      </c>
      <c r="G26" s="74">
        <f>ROUND(E26*D26,2)</f>
        <v>1747.82</v>
      </c>
      <c r="H26" s="75">
        <f>ROUND(F26*D26,2)</f>
        <v>2229.6</v>
      </c>
    </row>
    <row r="27" spans="1:25" x14ac:dyDescent="0.25">
      <c r="A27" s="47"/>
      <c r="B27" s="48"/>
      <c r="C27" s="47"/>
      <c r="D27" s="49"/>
      <c r="E27" s="50"/>
      <c r="F27" s="50"/>
      <c r="G27" s="46"/>
      <c r="H27" s="49"/>
    </row>
    <row r="28" spans="1:25" x14ac:dyDescent="0.25">
      <c r="A28" s="41" t="s">
        <v>109</v>
      </c>
      <c r="B28" s="42" t="s">
        <v>99</v>
      </c>
      <c r="C28" s="42"/>
      <c r="D28" s="43"/>
      <c r="E28" s="43"/>
      <c r="F28" s="43"/>
      <c r="G28" s="73">
        <f>SUM(G29:G32)</f>
        <v>335105.39</v>
      </c>
      <c r="H28" s="73">
        <f>SUM(H29:H32)</f>
        <v>427119.29</v>
      </c>
    </row>
    <row r="29" spans="1:25" ht="38.25" x14ac:dyDescent="0.25">
      <c r="A29" s="47" t="s">
        <v>111</v>
      </c>
      <c r="B29" s="48" t="s">
        <v>270</v>
      </c>
      <c r="C29" s="47" t="s">
        <v>25</v>
      </c>
      <c r="D29" s="49">
        <v>0</v>
      </c>
      <c r="E29" s="77">
        <v>47.1</v>
      </c>
      <c r="F29" s="78">
        <f>ROUND(E29*(1+$B$13),2)</f>
        <v>60.03</v>
      </c>
      <c r="G29" s="74">
        <f>ROUND(E29*D29,2)</f>
        <v>0</v>
      </c>
      <c r="H29" s="75">
        <f>ROUND(F29*D29,2)</f>
        <v>0</v>
      </c>
    </row>
    <row r="30" spans="1:25" ht="25.5" x14ac:dyDescent="0.25">
      <c r="A30" s="47" t="s">
        <v>112</v>
      </c>
      <c r="B30" s="48" t="s">
        <v>271</v>
      </c>
      <c r="C30" s="47" t="s">
        <v>25</v>
      </c>
      <c r="D30" s="49">
        <v>1099.2</v>
      </c>
      <c r="E30" s="77">
        <f>J30*0.9</f>
        <v>23.678999999999998</v>
      </c>
      <c r="F30" s="78">
        <f t="shared" ref="F30:F32" si="0">ROUND(E30*(1+$B$13),2)</f>
        <v>30.18</v>
      </c>
      <c r="G30" s="74">
        <f t="shared" ref="G30:G32" si="1">ROUND(E30*D30,2)</f>
        <v>26027.96</v>
      </c>
      <c r="H30" s="75">
        <f t="shared" ref="H30:H32" si="2">ROUND(F30*D30,2)</f>
        <v>33173.86</v>
      </c>
      <c r="J30" s="77">
        <v>26.31</v>
      </c>
    </row>
    <row r="31" spans="1:25" ht="51" x14ac:dyDescent="0.25">
      <c r="A31" s="47" t="s">
        <v>268</v>
      </c>
      <c r="B31" s="48" t="s">
        <v>272</v>
      </c>
      <c r="C31" s="47" t="s">
        <v>97</v>
      </c>
      <c r="D31" s="49">
        <v>5639.07</v>
      </c>
      <c r="E31" s="77">
        <f>J31*0.9</f>
        <v>54.81</v>
      </c>
      <c r="F31" s="78">
        <f t="shared" si="0"/>
        <v>69.86</v>
      </c>
      <c r="G31" s="74">
        <f t="shared" si="1"/>
        <v>309077.43</v>
      </c>
      <c r="H31" s="75">
        <f t="shared" si="2"/>
        <v>393945.43</v>
      </c>
      <c r="J31" s="77">
        <v>60.9</v>
      </c>
    </row>
    <row r="32" spans="1:25" ht="25.5" x14ac:dyDescent="0.25">
      <c r="A32" s="47" t="s">
        <v>269</v>
      </c>
      <c r="B32" s="48" t="s">
        <v>273</v>
      </c>
      <c r="C32" s="47" t="s">
        <v>274</v>
      </c>
      <c r="D32" s="49">
        <v>0</v>
      </c>
      <c r="E32" s="77">
        <v>0.65</v>
      </c>
      <c r="F32" s="78">
        <f t="shared" si="0"/>
        <v>0.83</v>
      </c>
      <c r="G32" s="74">
        <f t="shared" si="1"/>
        <v>0</v>
      </c>
      <c r="H32" s="75">
        <f t="shared" si="2"/>
        <v>0</v>
      </c>
    </row>
    <row r="33" spans="1:8" x14ac:dyDescent="0.25">
      <c r="A33" s="51"/>
      <c r="B33" s="52"/>
      <c r="C33" s="51"/>
      <c r="D33" s="53"/>
      <c r="E33" s="54"/>
      <c r="F33" s="54"/>
      <c r="G33" s="46"/>
      <c r="H33" s="53"/>
    </row>
    <row r="34" spans="1:8" x14ac:dyDescent="0.25">
      <c r="A34" s="41" t="s">
        <v>113</v>
      </c>
      <c r="B34" s="55" t="s">
        <v>114</v>
      </c>
      <c r="C34" s="55"/>
      <c r="D34" s="56"/>
      <c r="E34" s="56"/>
      <c r="F34" s="43"/>
      <c r="G34" s="73">
        <f>SUM(G35:G36)</f>
        <v>33615.42</v>
      </c>
      <c r="H34" s="73">
        <f>SUM(H35:H36)</f>
        <v>42846.37</v>
      </c>
    </row>
    <row r="35" spans="1:8" ht="42" customHeight="1" x14ac:dyDescent="0.25">
      <c r="A35" s="44" t="s">
        <v>115</v>
      </c>
      <c r="B35" s="45" t="s">
        <v>275</v>
      </c>
      <c r="C35" s="47" t="s">
        <v>98</v>
      </c>
      <c r="D35" s="46">
        <v>144.53</v>
      </c>
      <c r="E35" s="78">
        <v>46.9</v>
      </c>
      <c r="F35" s="78">
        <f>ROUND(E35*(1+$B$13),2)</f>
        <v>59.78</v>
      </c>
      <c r="G35" s="74">
        <f>ROUND(E35*D35,2)</f>
        <v>6778.46</v>
      </c>
      <c r="H35" s="75">
        <f>ROUND(F35*D35,2)</f>
        <v>8640</v>
      </c>
    </row>
    <row r="36" spans="1:8" ht="60" customHeight="1" x14ac:dyDescent="0.25">
      <c r="A36" s="47" t="s">
        <v>116</v>
      </c>
      <c r="B36" s="48" t="s">
        <v>276</v>
      </c>
      <c r="C36" s="47" t="s">
        <v>98</v>
      </c>
      <c r="D36" s="49">
        <v>46.63</v>
      </c>
      <c r="E36" s="77">
        <v>575.53</v>
      </c>
      <c r="F36" s="78">
        <f t="shared" ref="F36" si="3">ROUND(E36*(1+$B$13),2)</f>
        <v>733.57</v>
      </c>
      <c r="G36" s="74">
        <f t="shared" ref="G36" si="4">ROUND(E36*D36,2)</f>
        <v>26836.959999999999</v>
      </c>
      <c r="H36" s="75">
        <f t="shared" ref="H36" si="5">ROUND(F36*D36,2)</f>
        <v>34206.370000000003</v>
      </c>
    </row>
    <row r="37" spans="1:8" x14ac:dyDescent="0.25">
      <c r="A37" s="51"/>
      <c r="B37" s="52"/>
      <c r="C37" s="51"/>
      <c r="D37" s="53"/>
      <c r="E37" s="54"/>
      <c r="F37" s="54"/>
      <c r="G37" s="46"/>
      <c r="H37" s="53"/>
    </row>
    <row r="38" spans="1:8" x14ac:dyDescent="0.25">
      <c r="A38" s="41" t="s">
        <v>117</v>
      </c>
      <c r="B38" s="42" t="s">
        <v>120</v>
      </c>
      <c r="C38" s="42"/>
      <c r="D38" s="43"/>
      <c r="E38" s="43"/>
      <c r="F38" s="43"/>
      <c r="G38" s="73">
        <f>SUM(G39:G40)</f>
        <v>1964.5</v>
      </c>
      <c r="H38" s="73">
        <f>SUM(H39:H40)</f>
        <v>2503.2399999999998</v>
      </c>
    </row>
    <row r="39" spans="1:8" x14ac:dyDescent="0.25">
      <c r="A39" s="47" t="s">
        <v>118</v>
      </c>
      <c r="B39" s="48" t="s">
        <v>277</v>
      </c>
      <c r="C39" s="47" t="s">
        <v>80</v>
      </c>
      <c r="D39" s="49">
        <v>11</v>
      </c>
      <c r="E39" s="77">
        <v>146.74</v>
      </c>
      <c r="F39" s="78">
        <f>ROUND(E39*(1+$B$13),2)</f>
        <v>187.03</v>
      </c>
      <c r="G39" s="74">
        <f t="shared" ref="G39" si="6">ROUND(E39*D39,2)</f>
        <v>1614.14</v>
      </c>
      <c r="H39" s="75">
        <f t="shared" ref="H39" si="7">ROUND(F39*D39,2)</f>
        <v>2057.33</v>
      </c>
    </row>
    <row r="40" spans="1:8" x14ac:dyDescent="0.25">
      <c r="A40" s="47" t="s">
        <v>119</v>
      </c>
      <c r="B40" s="48" t="s">
        <v>278</v>
      </c>
      <c r="C40" s="47" t="s">
        <v>97</v>
      </c>
      <c r="D40" s="49">
        <v>353.9</v>
      </c>
      <c r="E40" s="77">
        <v>0.99</v>
      </c>
      <c r="F40" s="78">
        <f t="shared" ref="F40" si="8">ROUND(E40*(1+$B$13),2)</f>
        <v>1.26</v>
      </c>
      <c r="G40" s="74">
        <f t="shared" ref="G40" si="9">ROUND(E40*D40,2)</f>
        <v>350.36</v>
      </c>
      <c r="H40" s="75">
        <f t="shared" ref="H40" si="10">ROUND(F40*D40,2)</f>
        <v>445.91</v>
      </c>
    </row>
    <row r="41" spans="1:8" x14ac:dyDescent="0.25">
      <c r="A41" s="51"/>
      <c r="B41" s="52"/>
      <c r="C41" s="51"/>
      <c r="D41" s="53"/>
      <c r="E41" s="119"/>
      <c r="F41" s="120"/>
      <c r="G41" s="74"/>
      <c r="H41" s="121"/>
    </row>
    <row r="42" spans="1:8" x14ac:dyDescent="0.25">
      <c r="A42" s="41" t="s">
        <v>121</v>
      </c>
      <c r="B42" s="42" t="s">
        <v>252</v>
      </c>
      <c r="C42" s="42"/>
      <c r="D42" s="43"/>
      <c r="E42" s="43"/>
      <c r="F42" s="43"/>
      <c r="G42" s="73">
        <f>SUM(G43)</f>
        <v>564.97</v>
      </c>
      <c r="H42" s="73">
        <f>SUM(H43)</f>
        <v>720.09</v>
      </c>
    </row>
    <row r="43" spans="1:8" x14ac:dyDescent="0.25">
      <c r="A43" s="47" t="s">
        <v>122</v>
      </c>
      <c r="B43" s="48" t="s">
        <v>281</v>
      </c>
      <c r="C43" s="47" t="s">
        <v>80</v>
      </c>
      <c r="D43" s="49">
        <v>7</v>
      </c>
      <c r="E43" s="77">
        <v>80.709999999999994</v>
      </c>
      <c r="F43" s="78">
        <f t="shared" ref="F43" si="11">ROUND(E43*(1+$B$13),2)</f>
        <v>102.87</v>
      </c>
      <c r="G43" s="74">
        <f t="shared" ref="G43" si="12">ROUND(E43*D43,2)</f>
        <v>564.97</v>
      </c>
      <c r="H43" s="75">
        <f t="shared" ref="H43" si="13">ROUND(F43*D43,2)</f>
        <v>720.09</v>
      </c>
    </row>
    <row r="44" spans="1:8" x14ac:dyDescent="0.25">
      <c r="A44" s="51"/>
      <c r="B44" s="52"/>
      <c r="C44" s="51"/>
      <c r="D44" s="53"/>
      <c r="E44" s="119"/>
      <c r="F44" s="120"/>
      <c r="G44" s="74"/>
      <c r="H44" s="121"/>
    </row>
    <row r="45" spans="1:8" x14ac:dyDescent="0.25">
      <c r="A45" s="41" t="s">
        <v>254</v>
      </c>
      <c r="B45" s="42" t="s">
        <v>253</v>
      </c>
      <c r="C45" s="42"/>
      <c r="D45" s="43"/>
      <c r="E45" s="43"/>
      <c r="F45" s="43"/>
      <c r="G45" s="73">
        <f>SUM(G46:G47)</f>
        <v>4774.5600000000004</v>
      </c>
      <c r="H45" s="73">
        <f>SUM(H46:H47)</f>
        <v>6085.68</v>
      </c>
    </row>
    <row r="46" spans="1:8" ht="38.25" x14ac:dyDescent="0.25">
      <c r="A46" s="47" t="s">
        <v>256</v>
      </c>
      <c r="B46" s="48" t="s">
        <v>280</v>
      </c>
      <c r="C46" s="47" t="s">
        <v>80</v>
      </c>
      <c r="D46" s="49">
        <v>2</v>
      </c>
      <c r="E46" s="77">
        <v>596.82000000000005</v>
      </c>
      <c r="F46" s="78">
        <f t="shared" ref="F46" si="14">ROUND(E46*(1+$B$13),2)</f>
        <v>760.71</v>
      </c>
      <c r="G46" s="74">
        <f t="shared" ref="G46" si="15">ROUND(E46*D46,2)</f>
        <v>1193.6400000000001</v>
      </c>
      <c r="H46" s="75">
        <f t="shared" ref="H46" si="16">ROUND(F46*D46,2)</f>
        <v>1521.42</v>
      </c>
    </row>
    <row r="47" spans="1:8" ht="38.25" x14ac:dyDescent="0.25">
      <c r="A47" s="47" t="s">
        <v>279</v>
      </c>
      <c r="B47" s="48" t="s">
        <v>282</v>
      </c>
      <c r="C47" s="47" t="s">
        <v>80</v>
      </c>
      <c r="D47" s="49">
        <v>6</v>
      </c>
      <c r="E47" s="77">
        <v>596.82000000000005</v>
      </c>
      <c r="F47" s="78">
        <f t="shared" ref="F47" si="17">ROUND(E47*(1+$B$13),2)</f>
        <v>760.71</v>
      </c>
      <c r="G47" s="74">
        <f t="shared" ref="G47" si="18">ROUND(E47*D47,2)</f>
        <v>3580.92</v>
      </c>
      <c r="H47" s="75">
        <f t="shared" ref="H47" si="19">ROUND(F47*D47,2)</f>
        <v>4564.26</v>
      </c>
    </row>
    <row r="48" spans="1:8" x14ac:dyDescent="0.25">
      <c r="A48" s="51"/>
      <c r="B48" s="52"/>
      <c r="C48" s="51"/>
      <c r="D48" s="53"/>
      <c r="E48" s="54"/>
      <c r="F48" s="54"/>
      <c r="G48" s="46"/>
      <c r="H48" s="53"/>
    </row>
    <row r="49" spans="1:9" x14ac:dyDescent="0.25">
      <c r="A49" s="41" t="s">
        <v>255</v>
      </c>
      <c r="B49" s="42" t="s">
        <v>123</v>
      </c>
      <c r="C49" s="42"/>
      <c r="D49" s="43"/>
      <c r="E49" s="43"/>
      <c r="F49" s="43"/>
      <c r="G49" s="73">
        <f>SUM(G50)</f>
        <v>2368.41</v>
      </c>
      <c r="H49" s="73">
        <f>SUM(H50)</f>
        <v>3045.1</v>
      </c>
    </row>
    <row r="50" spans="1:9" ht="25.5" x14ac:dyDescent="0.25">
      <c r="A50" s="44" t="s">
        <v>257</v>
      </c>
      <c r="B50" s="45" t="s">
        <v>283</v>
      </c>
      <c r="C50" s="44" t="s">
        <v>97</v>
      </c>
      <c r="D50" s="46">
        <v>5639.07</v>
      </c>
      <c r="E50" s="74">
        <v>0.42</v>
      </c>
      <c r="F50" s="78">
        <f t="shared" ref="F50" si="20">ROUND(E50*(1+$B$13),2)</f>
        <v>0.54</v>
      </c>
      <c r="G50" s="74">
        <f t="shared" ref="G50" si="21">ROUND(E50*D50,2)</f>
        <v>2368.41</v>
      </c>
      <c r="H50" s="75">
        <f t="shared" ref="H50" si="22">ROUND(F50*D50,2)</f>
        <v>3045.1</v>
      </c>
    </row>
    <row r="51" spans="1:9" ht="13.5" thickBot="1" x14ac:dyDescent="0.3">
      <c r="A51" s="44"/>
      <c r="B51" s="48"/>
      <c r="C51" s="44"/>
      <c r="D51" s="49"/>
      <c r="E51" s="75"/>
      <c r="F51" s="78"/>
      <c r="G51" s="74"/>
      <c r="H51" s="75"/>
      <c r="I51" s="57"/>
    </row>
    <row r="52" spans="1:9" ht="15" customHeight="1" thickBot="1" x14ac:dyDescent="0.3">
      <c r="A52" s="183" t="s">
        <v>124</v>
      </c>
      <c r="B52" s="184"/>
      <c r="C52" s="184"/>
      <c r="D52" s="184"/>
      <c r="E52" s="184"/>
      <c r="F52" s="184"/>
      <c r="G52" s="76">
        <f>SUM(G49,G38,G34,G28,G24,G21)</f>
        <v>378353.86000000004</v>
      </c>
      <c r="H52" s="76">
        <f>SUM(H49,H45,H42,H38,H34,H28,H24,H21)</f>
        <v>489090.99</v>
      </c>
    </row>
    <row r="53" spans="1:9" x14ac:dyDescent="0.25">
      <c r="A53" s="60"/>
      <c r="B53" s="71"/>
      <c r="C53" s="60"/>
      <c r="D53" s="72"/>
      <c r="E53" s="72"/>
      <c r="F53" s="35"/>
      <c r="G53" s="72"/>
      <c r="H53" s="72"/>
    </row>
    <row r="54" spans="1:9" x14ac:dyDescent="0.25">
      <c r="A54" s="194" t="s">
        <v>298</v>
      </c>
      <c r="B54" s="194"/>
      <c r="C54" s="194"/>
      <c r="D54" s="194"/>
      <c r="E54" s="194"/>
      <c r="F54" s="194"/>
      <c r="G54" s="194"/>
      <c r="H54" s="194"/>
    </row>
    <row r="55" spans="1:9" x14ac:dyDescent="0.25">
      <c r="A55" s="142"/>
      <c r="B55" s="142"/>
      <c r="C55" s="142"/>
      <c r="D55" s="142"/>
      <c r="E55" s="142"/>
      <c r="F55" s="142"/>
      <c r="G55" s="142"/>
      <c r="H55" s="142"/>
    </row>
    <row r="56" spans="1:9" x14ac:dyDescent="0.25">
      <c r="A56" s="41" t="s">
        <v>106</v>
      </c>
      <c r="B56" s="42" t="s">
        <v>250</v>
      </c>
      <c r="C56" s="42"/>
      <c r="D56" s="43"/>
      <c r="E56" s="43"/>
      <c r="F56" s="43"/>
      <c r="G56" s="73">
        <f>SUM(G57:G57)</f>
        <v>0</v>
      </c>
      <c r="H56" s="73">
        <f>SUM(H57:H57)</f>
        <v>0</v>
      </c>
    </row>
    <row r="57" spans="1:9" ht="38.25" x14ac:dyDescent="0.25">
      <c r="A57" s="44" t="s">
        <v>258</v>
      </c>
      <c r="B57" s="45" t="s">
        <v>251</v>
      </c>
      <c r="C57" s="47" t="s">
        <v>97</v>
      </c>
      <c r="D57" s="46">
        <v>0</v>
      </c>
      <c r="E57" s="78">
        <v>0.32</v>
      </c>
      <c r="F57" s="78">
        <f>ROUND(E57*(1+$B$13),2)</f>
        <v>0.41</v>
      </c>
      <c r="G57" s="74">
        <f>ROUND(E57*D57,2)</f>
        <v>0</v>
      </c>
      <c r="H57" s="75">
        <f>ROUND(F57*D57,2)</f>
        <v>0</v>
      </c>
    </row>
    <row r="58" spans="1:9" x14ac:dyDescent="0.25">
      <c r="A58" s="51"/>
      <c r="B58" s="52"/>
      <c r="C58" s="51"/>
      <c r="D58" s="53"/>
      <c r="E58" s="53"/>
      <c r="F58" s="54"/>
      <c r="G58" s="46"/>
      <c r="H58" s="53"/>
    </row>
    <row r="59" spans="1:9" x14ac:dyDescent="0.25">
      <c r="A59" s="41" t="s">
        <v>125</v>
      </c>
      <c r="B59" s="42" t="s">
        <v>108</v>
      </c>
      <c r="C59" s="42"/>
      <c r="D59" s="43"/>
      <c r="E59" s="43"/>
      <c r="F59" s="43"/>
      <c r="G59" s="73">
        <f>SUM(G60:G61)</f>
        <v>0</v>
      </c>
      <c r="H59" s="73">
        <f>SUM(H60:H61)</f>
        <v>0</v>
      </c>
    </row>
    <row r="60" spans="1:9" ht="38.25" x14ac:dyDescent="0.25">
      <c r="A60" s="47" t="s">
        <v>126</v>
      </c>
      <c r="B60" s="48" t="s">
        <v>266</v>
      </c>
      <c r="C60" s="47" t="s">
        <v>98</v>
      </c>
      <c r="D60" s="49">
        <v>0</v>
      </c>
      <c r="E60" s="75">
        <v>1.56</v>
      </c>
      <c r="F60" s="78">
        <f>ROUND(E60*(1+$B$13),2)</f>
        <v>1.99</v>
      </c>
      <c r="G60" s="74">
        <f>ROUND(E60*D60,2)</f>
        <v>0</v>
      </c>
      <c r="H60" s="75">
        <f>ROUND(F60*D60,2)</f>
        <v>0</v>
      </c>
    </row>
    <row r="61" spans="1:9" ht="38.25" x14ac:dyDescent="0.25">
      <c r="A61" s="47" t="s">
        <v>284</v>
      </c>
      <c r="B61" s="48" t="s">
        <v>267</v>
      </c>
      <c r="C61" s="47" t="s">
        <v>98</v>
      </c>
      <c r="D61" s="49">
        <v>0</v>
      </c>
      <c r="E61" s="75">
        <v>1.56</v>
      </c>
      <c r="F61" s="78">
        <f>ROUND(E61*(1+$B$13),2)</f>
        <v>1.99</v>
      </c>
      <c r="G61" s="74">
        <f>ROUND(E61*D61,2)</f>
        <v>0</v>
      </c>
      <c r="H61" s="75">
        <f>ROUND(F61*D61,2)</f>
        <v>0</v>
      </c>
    </row>
    <row r="62" spans="1:9" x14ac:dyDescent="0.25">
      <c r="A62" s="47"/>
      <c r="B62" s="48"/>
      <c r="C62" s="47"/>
      <c r="D62" s="49"/>
      <c r="E62" s="50"/>
      <c r="F62" s="50"/>
      <c r="G62" s="46"/>
      <c r="H62" s="49"/>
    </row>
    <row r="63" spans="1:9" x14ac:dyDescent="0.25">
      <c r="A63" s="41" t="s">
        <v>127</v>
      </c>
      <c r="B63" s="42" t="s">
        <v>99</v>
      </c>
      <c r="C63" s="42"/>
      <c r="D63" s="43"/>
      <c r="E63" s="43"/>
      <c r="F63" s="43"/>
      <c r="G63" s="73">
        <f>SUM(G64:G67)</f>
        <v>0</v>
      </c>
      <c r="H63" s="73">
        <f>SUM(H64:H67)</f>
        <v>0</v>
      </c>
    </row>
    <row r="64" spans="1:9" ht="38.25" x14ac:dyDescent="0.25">
      <c r="A64" s="47" t="s">
        <v>128</v>
      </c>
      <c r="B64" s="48" t="s">
        <v>270</v>
      </c>
      <c r="C64" s="47" t="s">
        <v>25</v>
      </c>
      <c r="D64" s="49">
        <v>0</v>
      </c>
      <c r="E64" s="77">
        <v>47.1</v>
      </c>
      <c r="F64" s="78">
        <f>ROUND(E64*(1+$B$13),2)</f>
        <v>60.03</v>
      </c>
      <c r="G64" s="74">
        <f>ROUND(E64*D64,2)</f>
        <v>0</v>
      </c>
      <c r="H64" s="75">
        <f>ROUND(F64*D64,2)</f>
        <v>0</v>
      </c>
    </row>
    <row r="65" spans="1:8" ht="25.5" x14ac:dyDescent="0.25">
      <c r="A65" s="47" t="s">
        <v>285</v>
      </c>
      <c r="B65" s="48" t="s">
        <v>271</v>
      </c>
      <c r="C65" s="47" t="s">
        <v>25</v>
      </c>
      <c r="D65" s="49">
        <v>0</v>
      </c>
      <c r="E65" s="77">
        <v>26.31</v>
      </c>
      <c r="F65" s="78">
        <f t="shared" ref="F65:F67" si="23">ROUND(E65*(1+$B$13),2)</f>
        <v>33.53</v>
      </c>
      <c r="G65" s="74">
        <f t="shared" ref="G65:G67" si="24">ROUND(E65*D65,2)</f>
        <v>0</v>
      </c>
      <c r="H65" s="75">
        <f t="shared" ref="H65:H67" si="25">ROUND(F65*D65,2)</f>
        <v>0</v>
      </c>
    </row>
    <row r="66" spans="1:8" ht="51" x14ac:dyDescent="0.25">
      <c r="A66" s="47" t="s">
        <v>286</v>
      </c>
      <c r="B66" s="48" t="s">
        <v>272</v>
      </c>
      <c r="C66" s="47" t="s">
        <v>97</v>
      </c>
      <c r="D66" s="49">
        <v>0</v>
      </c>
      <c r="E66" s="77">
        <v>60.9</v>
      </c>
      <c r="F66" s="78">
        <f t="shared" si="23"/>
        <v>77.62</v>
      </c>
      <c r="G66" s="74">
        <f t="shared" si="24"/>
        <v>0</v>
      </c>
      <c r="H66" s="75">
        <f t="shared" si="25"/>
        <v>0</v>
      </c>
    </row>
    <row r="67" spans="1:8" ht="25.5" x14ac:dyDescent="0.25">
      <c r="A67" s="47" t="s">
        <v>287</v>
      </c>
      <c r="B67" s="48" t="s">
        <v>273</v>
      </c>
      <c r="C67" s="47" t="s">
        <v>274</v>
      </c>
      <c r="D67" s="49">
        <v>0</v>
      </c>
      <c r="E67" s="77">
        <v>0.65</v>
      </c>
      <c r="F67" s="78">
        <f t="shared" si="23"/>
        <v>0.83</v>
      </c>
      <c r="G67" s="74">
        <f t="shared" si="24"/>
        <v>0</v>
      </c>
      <c r="H67" s="75">
        <f t="shared" si="25"/>
        <v>0</v>
      </c>
    </row>
    <row r="68" spans="1:8" x14ac:dyDescent="0.25">
      <c r="A68" s="51"/>
      <c r="B68" s="52"/>
      <c r="C68" s="51"/>
      <c r="D68" s="53"/>
      <c r="E68" s="54"/>
      <c r="F68" s="54"/>
      <c r="G68" s="46"/>
      <c r="H68" s="53"/>
    </row>
    <row r="69" spans="1:8" x14ac:dyDescent="0.25">
      <c r="A69" s="41" t="s">
        <v>129</v>
      </c>
      <c r="B69" s="55" t="s">
        <v>114</v>
      </c>
      <c r="C69" s="55"/>
      <c r="D69" s="56"/>
      <c r="E69" s="56"/>
      <c r="F69" s="43"/>
      <c r="G69" s="73">
        <f>SUM(G70:G71)</f>
        <v>0</v>
      </c>
      <c r="H69" s="73">
        <f>SUM(H70:H71)</f>
        <v>0</v>
      </c>
    </row>
    <row r="70" spans="1:8" ht="25.5" x14ac:dyDescent="0.25">
      <c r="A70" s="44" t="s">
        <v>130</v>
      </c>
      <c r="B70" s="45" t="s">
        <v>275</v>
      </c>
      <c r="C70" s="47" t="s">
        <v>98</v>
      </c>
      <c r="D70" s="46">
        <v>0</v>
      </c>
      <c r="E70" s="78">
        <v>46.9</v>
      </c>
      <c r="F70" s="78">
        <f>ROUND(E70*(1+$B$13),2)</f>
        <v>59.78</v>
      </c>
      <c r="G70" s="74">
        <f>ROUND(E70*D70,2)</f>
        <v>0</v>
      </c>
      <c r="H70" s="75">
        <f>ROUND(F70*D70,2)</f>
        <v>0</v>
      </c>
    </row>
    <row r="71" spans="1:8" ht="51" x14ac:dyDescent="0.25">
      <c r="A71" s="44" t="s">
        <v>288</v>
      </c>
      <c r="B71" s="48" t="s">
        <v>276</v>
      </c>
      <c r="C71" s="47" t="s">
        <v>98</v>
      </c>
      <c r="D71" s="49">
        <v>0</v>
      </c>
      <c r="E71" s="77">
        <v>575.53</v>
      </c>
      <c r="F71" s="78">
        <f t="shared" ref="F71" si="26">ROUND(E71*(1+$B$13),2)</f>
        <v>733.57</v>
      </c>
      <c r="G71" s="74">
        <f t="shared" ref="G71" si="27">ROUND(E71*D71,2)</f>
        <v>0</v>
      </c>
      <c r="H71" s="75">
        <f t="shared" ref="H71" si="28">ROUND(F71*D71,2)</f>
        <v>0</v>
      </c>
    </row>
    <row r="72" spans="1:8" x14ac:dyDescent="0.25">
      <c r="A72" s="51"/>
      <c r="B72" s="52"/>
      <c r="C72" s="51"/>
      <c r="D72" s="53"/>
      <c r="E72" s="54"/>
      <c r="F72" s="54"/>
      <c r="G72" s="46"/>
      <c r="H72" s="53"/>
    </row>
    <row r="73" spans="1:8" x14ac:dyDescent="0.25">
      <c r="A73" s="41" t="s">
        <v>289</v>
      </c>
      <c r="B73" s="42" t="s">
        <v>120</v>
      </c>
      <c r="C73" s="42"/>
      <c r="D73" s="43"/>
      <c r="E73" s="43"/>
      <c r="F73" s="43"/>
      <c r="G73" s="73">
        <f>SUM(G74:G75)</f>
        <v>0</v>
      </c>
      <c r="H73" s="73">
        <f>SUM(H74:H75)</f>
        <v>0</v>
      </c>
    </row>
    <row r="74" spans="1:8" x14ac:dyDescent="0.25">
      <c r="A74" s="47" t="s">
        <v>290</v>
      </c>
      <c r="B74" s="48" t="s">
        <v>277</v>
      </c>
      <c r="C74" s="47" t="s">
        <v>80</v>
      </c>
      <c r="D74" s="49">
        <v>0</v>
      </c>
      <c r="E74" s="77">
        <v>146.74</v>
      </c>
      <c r="F74" s="78">
        <f>ROUND(E74*(1+$B$13),2)</f>
        <v>187.03</v>
      </c>
      <c r="G74" s="74">
        <f t="shared" ref="G74:G75" si="29">ROUND(E74*D74,2)</f>
        <v>0</v>
      </c>
      <c r="H74" s="75">
        <f t="shared" ref="H74:H75" si="30">ROUND(F74*D74,2)</f>
        <v>0</v>
      </c>
    </row>
    <row r="75" spans="1:8" x14ac:dyDescent="0.25">
      <c r="A75" s="47" t="s">
        <v>291</v>
      </c>
      <c r="B75" s="48" t="s">
        <v>278</v>
      </c>
      <c r="C75" s="47" t="s">
        <v>97</v>
      </c>
      <c r="D75" s="49">
        <v>0</v>
      </c>
      <c r="E75" s="77">
        <v>0.99</v>
      </c>
      <c r="F75" s="78">
        <f t="shared" ref="F75" si="31">ROUND(E75*(1+$B$13),2)</f>
        <v>1.26</v>
      </c>
      <c r="G75" s="74">
        <f t="shared" si="29"/>
        <v>0</v>
      </c>
      <c r="H75" s="75">
        <f t="shared" si="30"/>
        <v>0</v>
      </c>
    </row>
    <row r="76" spans="1:8" x14ac:dyDescent="0.25">
      <c r="A76" s="51"/>
      <c r="B76" s="52"/>
      <c r="C76" s="51"/>
      <c r="D76" s="53"/>
      <c r="E76" s="119"/>
      <c r="F76" s="120"/>
      <c r="G76" s="74"/>
      <c r="H76" s="121"/>
    </row>
    <row r="77" spans="1:8" x14ac:dyDescent="0.25">
      <c r="A77" s="41" t="s">
        <v>292</v>
      </c>
      <c r="B77" s="42" t="s">
        <v>252</v>
      </c>
      <c r="C77" s="42"/>
      <c r="D77" s="43"/>
      <c r="E77" s="43"/>
      <c r="F77" s="43"/>
      <c r="G77" s="73">
        <f>SUM(G78)</f>
        <v>0</v>
      </c>
      <c r="H77" s="73">
        <f>SUM(H78)</f>
        <v>0</v>
      </c>
    </row>
    <row r="78" spans="1:8" x14ac:dyDescent="0.25">
      <c r="A78" s="47" t="s">
        <v>293</v>
      </c>
      <c r="B78" s="48" t="s">
        <v>281</v>
      </c>
      <c r="C78" s="47" t="s">
        <v>80</v>
      </c>
      <c r="D78" s="49">
        <v>0</v>
      </c>
      <c r="E78" s="77">
        <v>80.709999999999994</v>
      </c>
      <c r="F78" s="78">
        <f t="shared" ref="F78" si="32">ROUND(E78*(1+$B$13),2)</f>
        <v>102.87</v>
      </c>
      <c r="G78" s="74">
        <f t="shared" ref="G78" si="33">ROUND(E78*D78,2)</f>
        <v>0</v>
      </c>
      <c r="H78" s="75">
        <f t="shared" ref="H78" si="34">ROUND(F78*D78,2)</f>
        <v>0</v>
      </c>
    </row>
    <row r="79" spans="1:8" x14ac:dyDescent="0.25">
      <c r="A79" s="51"/>
      <c r="B79" s="52"/>
      <c r="C79" s="51"/>
      <c r="D79" s="53"/>
      <c r="E79" s="119"/>
      <c r="F79" s="120"/>
      <c r="G79" s="74"/>
      <c r="H79" s="121"/>
    </row>
    <row r="80" spans="1:8" x14ac:dyDescent="0.25">
      <c r="A80" s="41" t="s">
        <v>294</v>
      </c>
      <c r="B80" s="42" t="s">
        <v>253</v>
      </c>
      <c r="C80" s="42"/>
      <c r="D80" s="43"/>
      <c r="E80" s="43"/>
      <c r="F80" s="43"/>
      <c r="G80" s="73">
        <f>SUM(G81:G81)</f>
        <v>0</v>
      </c>
      <c r="H80" s="73">
        <f>SUM(H81:H81)</f>
        <v>0</v>
      </c>
    </row>
    <row r="81" spans="1:8" ht="38.25" x14ac:dyDescent="0.25">
      <c r="A81" s="47" t="s">
        <v>295</v>
      </c>
      <c r="B81" s="48" t="s">
        <v>282</v>
      </c>
      <c r="C81" s="47" t="s">
        <v>80</v>
      </c>
      <c r="D81" s="49">
        <v>0</v>
      </c>
      <c r="E81" s="77">
        <v>596.82000000000005</v>
      </c>
      <c r="F81" s="78">
        <f>ROUND(E81*(1+$B$13),2)</f>
        <v>760.71</v>
      </c>
      <c r="G81" s="74">
        <f t="shared" ref="G81" si="35">ROUND(E81*D81,2)</f>
        <v>0</v>
      </c>
      <c r="H81" s="75">
        <f t="shared" ref="H81" si="36">ROUND(F81*D81,2)</f>
        <v>0</v>
      </c>
    </row>
    <row r="82" spans="1:8" x14ac:dyDescent="0.25">
      <c r="A82" s="51"/>
      <c r="B82" s="52"/>
      <c r="C82" s="51"/>
      <c r="D82" s="53"/>
      <c r="E82" s="54"/>
      <c r="F82" s="54"/>
      <c r="G82" s="46"/>
      <c r="H82" s="53"/>
    </row>
    <row r="83" spans="1:8" x14ac:dyDescent="0.25">
      <c r="A83" s="41" t="s">
        <v>296</v>
      </c>
      <c r="B83" s="42" t="s">
        <v>123</v>
      </c>
      <c r="C83" s="42"/>
      <c r="D83" s="43"/>
      <c r="E83" s="43"/>
      <c r="F83" s="43"/>
      <c r="G83" s="73">
        <f>SUM(G84)</f>
        <v>0</v>
      </c>
      <c r="H83" s="73">
        <f>SUM(H84)</f>
        <v>0</v>
      </c>
    </row>
    <row r="84" spans="1:8" ht="25.5" x14ac:dyDescent="0.25">
      <c r="A84" s="44" t="s">
        <v>297</v>
      </c>
      <c r="B84" s="45" t="s">
        <v>283</v>
      </c>
      <c r="C84" s="44" t="s">
        <v>97</v>
      </c>
      <c r="D84" s="46">
        <v>0</v>
      </c>
      <c r="E84" s="74">
        <v>0.42</v>
      </c>
      <c r="F84" s="78">
        <f t="shared" ref="F84" si="37">ROUND(E84*(1+$B$13),2)</f>
        <v>0.54</v>
      </c>
      <c r="G84" s="74">
        <f t="shared" ref="G84" si="38">ROUND(E84*D84,2)</f>
        <v>0</v>
      </c>
      <c r="H84" s="75">
        <f t="shared" ref="H84" si="39">ROUND(F84*D84,2)</f>
        <v>0</v>
      </c>
    </row>
    <row r="85" spans="1:8" ht="13.5" thickBot="1" x14ac:dyDescent="0.3">
      <c r="A85" s="44"/>
      <c r="B85" s="48"/>
      <c r="C85" s="44"/>
      <c r="D85" s="49"/>
      <c r="E85" s="75"/>
      <c r="F85" s="78"/>
      <c r="G85" s="74"/>
      <c r="H85" s="75"/>
    </row>
    <row r="86" spans="1:8" ht="13.5" thickBot="1" x14ac:dyDescent="0.3">
      <c r="A86" s="183" t="s">
        <v>124</v>
      </c>
      <c r="B86" s="184"/>
      <c r="C86" s="184"/>
      <c r="D86" s="184"/>
      <c r="E86" s="184"/>
      <c r="F86" s="184"/>
      <c r="G86" s="76">
        <f>SUM(G83,G73,G69,G63,G59,G56)</f>
        <v>0</v>
      </c>
      <c r="H86" s="76">
        <f>SUM(H83,H80,H77,H73,H69,H63,H59,H56)</f>
        <v>0</v>
      </c>
    </row>
    <row r="87" spans="1:8" ht="13.5" thickBot="1" x14ac:dyDescent="0.3">
      <c r="A87" s="142"/>
      <c r="B87" s="142"/>
      <c r="C87" s="142"/>
      <c r="D87" s="142"/>
      <c r="E87" s="142"/>
      <c r="F87" s="142"/>
      <c r="G87" s="142"/>
      <c r="H87" s="142"/>
    </row>
    <row r="88" spans="1:8" ht="13.5" thickBot="1" x14ac:dyDescent="0.3">
      <c r="A88" s="178" t="s">
        <v>299</v>
      </c>
      <c r="B88" s="179"/>
      <c r="C88" s="179"/>
      <c r="D88" s="179"/>
      <c r="E88" s="179"/>
      <c r="F88" s="179"/>
      <c r="G88" s="179"/>
      <c r="H88" s="70"/>
    </row>
    <row r="89" spans="1:8" x14ac:dyDescent="0.2">
      <c r="A89" s="8"/>
      <c r="B89" s="8"/>
      <c r="C89" s="8"/>
      <c r="D89" s="8"/>
      <c r="E89" s="8"/>
      <c r="F89" s="9"/>
      <c r="G89" s="9"/>
      <c r="H89" s="9"/>
    </row>
    <row r="90" spans="1:8" x14ac:dyDescent="0.25">
      <c r="A90" s="41" t="s">
        <v>300</v>
      </c>
      <c r="B90" s="42" t="s">
        <v>250</v>
      </c>
      <c r="C90" s="42"/>
      <c r="D90" s="43"/>
      <c r="E90" s="43"/>
      <c r="F90" s="43"/>
      <c r="G90" s="73">
        <f>SUM(G91:G91)</f>
        <v>327.27</v>
      </c>
      <c r="H90" s="73">
        <f>SUM(H91:H91)</f>
        <v>419.32</v>
      </c>
    </row>
    <row r="91" spans="1:8" ht="38.25" x14ac:dyDescent="0.25">
      <c r="A91" s="44" t="s">
        <v>301</v>
      </c>
      <c r="B91" s="45" t="s">
        <v>251</v>
      </c>
      <c r="C91" s="47" t="s">
        <v>97</v>
      </c>
      <c r="D91" s="46">
        <v>1022.73</v>
      </c>
      <c r="E91" s="78">
        <v>0.32</v>
      </c>
      <c r="F91" s="78">
        <f>ROUND(E91*(1+$B$13),2)</f>
        <v>0.41</v>
      </c>
      <c r="G91" s="74">
        <f>ROUND(E91*D91,2)</f>
        <v>327.27</v>
      </c>
      <c r="H91" s="75">
        <f>ROUND(F91*D91,2)</f>
        <v>419.32</v>
      </c>
    </row>
    <row r="92" spans="1:8" x14ac:dyDescent="0.25">
      <c r="A92" s="51"/>
      <c r="B92" s="52"/>
      <c r="C92" s="51"/>
      <c r="D92" s="53"/>
      <c r="E92" s="53"/>
      <c r="F92" s="54"/>
      <c r="G92" s="46"/>
      <c r="H92" s="53"/>
    </row>
    <row r="93" spans="1:8" x14ac:dyDescent="0.25">
      <c r="A93" s="41" t="s">
        <v>302</v>
      </c>
      <c r="B93" s="42" t="s">
        <v>108</v>
      </c>
      <c r="C93" s="42"/>
      <c r="D93" s="43"/>
      <c r="E93" s="43"/>
      <c r="F93" s="43"/>
      <c r="G93" s="73">
        <f>SUM(G94:G95)</f>
        <v>638.16</v>
      </c>
      <c r="H93" s="73">
        <f>SUM(H94:H95)</f>
        <v>814.06</v>
      </c>
    </row>
    <row r="94" spans="1:8" ht="38.25" x14ac:dyDescent="0.25">
      <c r="A94" s="47" t="s">
        <v>303</v>
      </c>
      <c r="B94" s="48" t="s">
        <v>266</v>
      </c>
      <c r="C94" s="47" t="s">
        <v>98</v>
      </c>
      <c r="D94" s="49">
        <v>204.54</v>
      </c>
      <c r="E94" s="75">
        <v>1.56</v>
      </c>
      <c r="F94" s="78">
        <f>ROUND(E94*(1+$B$13),2)</f>
        <v>1.99</v>
      </c>
      <c r="G94" s="74">
        <f>ROUND(E94*D94,2)</f>
        <v>319.08</v>
      </c>
      <c r="H94" s="75">
        <f>ROUND(F94*D94,2)</f>
        <v>407.03</v>
      </c>
    </row>
    <row r="95" spans="1:8" ht="38.25" x14ac:dyDescent="0.25">
      <c r="A95" s="47" t="s">
        <v>304</v>
      </c>
      <c r="B95" s="48" t="s">
        <v>267</v>
      </c>
      <c r="C95" s="47" t="s">
        <v>98</v>
      </c>
      <c r="D95" s="49">
        <v>204.54</v>
      </c>
      <c r="E95" s="75">
        <v>1.56</v>
      </c>
      <c r="F95" s="78">
        <f>ROUND(E95*(1+$B$13),2)</f>
        <v>1.99</v>
      </c>
      <c r="G95" s="74">
        <f>ROUND(E95*D95,2)</f>
        <v>319.08</v>
      </c>
      <c r="H95" s="75">
        <f>ROUND(F95*D95,2)</f>
        <v>407.03</v>
      </c>
    </row>
    <row r="96" spans="1:8" x14ac:dyDescent="0.25">
      <c r="A96" s="47"/>
      <c r="B96" s="48"/>
      <c r="C96" s="47"/>
      <c r="D96" s="49"/>
      <c r="E96" s="50"/>
      <c r="F96" s="50"/>
      <c r="G96" s="46"/>
      <c r="H96" s="49"/>
    </row>
    <row r="97" spans="1:13" x14ac:dyDescent="0.25">
      <c r="A97" s="41" t="s">
        <v>305</v>
      </c>
      <c r="B97" s="42" t="s">
        <v>99</v>
      </c>
      <c r="C97" s="42"/>
      <c r="D97" s="43"/>
      <c r="E97" s="43"/>
      <c r="F97" s="43"/>
      <c r="G97" s="73">
        <f>SUM(G98:G101)</f>
        <v>61847.71</v>
      </c>
      <c r="H97" s="73">
        <f>SUM(H98:H101)</f>
        <v>78829.95</v>
      </c>
    </row>
    <row r="98" spans="1:13" ht="38.25" x14ac:dyDescent="0.25">
      <c r="A98" s="47" t="s">
        <v>306</v>
      </c>
      <c r="B98" s="48" t="s">
        <v>270</v>
      </c>
      <c r="C98" s="47" t="s">
        <v>25</v>
      </c>
      <c r="D98" s="49">
        <v>0</v>
      </c>
      <c r="E98" s="77">
        <v>47.1</v>
      </c>
      <c r="F98" s="78">
        <f>ROUND(E98*(1+$B$13),2)</f>
        <v>60.03</v>
      </c>
      <c r="G98" s="74">
        <f>ROUND(E98*D98,2)</f>
        <v>0</v>
      </c>
      <c r="H98" s="75">
        <f>ROUND(F98*D98,2)</f>
        <v>0</v>
      </c>
      <c r="M98" s="58">
        <f>D31+D100</f>
        <v>6661.7999999999993</v>
      </c>
    </row>
    <row r="99" spans="1:13" ht="25.5" x14ac:dyDescent="0.25">
      <c r="A99" s="47" t="s">
        <v>307</v>
      </c>
      <c r="B99" s="48" t="s">
        <v>271</v>
      </c>
      <c r="C99" s="47" t="s">
        <v>25</v>
      </c>
      <c r="D99" s="49">
        <v>244.6</v>
      </c>
      <c r="E99" s="77">
        <f>J99*0.9</f>
        <v>23.678999999999998</v>
      </c>
      <c r="F99" s="78">
        <f t="shared" ref="F99:F100" si="40">ROUND(E99*(1+$B$13),2)</f>
        <v>30.18</v>
      </c>
      <c r="G99" s="74">
        <f t="shared" ref="G99:G100" si="41">ROUND(E99*D99,2)</f>
        <v>5791.88</v>
      </c>
      <c r="H99" s="75">
        <f t="shared" ref="H99:H100" si="42">ROUND(F99*D99,2)</f>
        <v>7382.03</v>
      </c>
      <c r="J99" s="77">
        <v>26.31</v>
      </c>
    </row>
    <row r="100" spans="1:13" ht="51" x14ac:dyDescent="0.25">
      <c r="A100" s="47" t="s">
        <v>308</v>
      </c>
      <c r="B100" s="48" t="s">
        <v>272</v>
      </c>
      <c r="C100" s="47" t="s">
        <v>97</v>
      </c>
      <c r="D100" s="49">
        <v>1022.73</v>
      </c>
      <c r="E100" s="77">
        <f>J100*0.9</f>
        <v>54.81</v>
      </c>
      <c r="F100" s="78">
        <f t="shared" si="40"/>
        <v>69.86</v>
      </c>
      <c r="G100" s="74">
        <f t="shared" si="41"/>
        <v>56055.83</v>
      </c>
      <c r="H100" s="75">
        <f t="shared" si="42"/>
        <v>71447.92</v>
      </c>
      <c r="J100" s="77">
        <v>60.9</v>
      </c>
      <c r="M100" s="58">
        <f>D99+D30</f>
        <v>1343.8</v>
      </c>
    </row>
    <row r="101" spans="1:13" ht="25.5" x14ac:dyDescent="0.25">
      <c r="A101" s="47" t="s">
        <v>309</v>
      </c>
      <c r="B101" s="48" t="s">
        <v>273</v>
      </c>
      <c r="C101" s="47" t="s">
        <v>274</v>
      </c>
      <c r="D101" s="49">
        <v>0</v>
      </c>
      <c r="E101" s="77">
        <v>0.65</v>
      </c>
      <c r="F101" s="78">
        <f>ROUND(E101*(1+$B$13),2)</f>
        <v>0.83</v>
      </c>
      <c r="G101" s="74">
        <f t="shared" ref="G101" si="43">ROUND(E101*D101,2)</f>
        <v>0</v>
      </c>
      <c r="H101" s="75">
        <f t="shared" ref="H101" si="44">ROUND(F101*D101,2)</f>
        <v>0</v>
      </c>
    </row>
    <row r="102" spans="1:13" x14ac:dyDescent="0.25">
      <c r="A102" s="51"/>
      <c r="B102" s="52"/>
      <c r="C102" s="51"/>
      <c r="D102" s="53"/>
      <c r="E102" s="54"/>
      <c r="F102" s="54"/>
      <c r="G102" s="46"/>
      <c r="H102" s="53"/>
    </row>
    <row r="103" spans="1:13" x14ac:dyDescent="0.25">
      <c r="A103" s="41" t="s">
        <v>310</v>
      </c>
      <c r="B103" s="55" t="s">
        <v>114</v>
      </c>
      <c r="C103" s="55"/>
      <c r="D103" s="56"/>
      <c r="E103" s="56"/>
      <c r="F103" s="43"/>
      <c r="G103" s="73">
        <f>SUM(G104:G105)</f>
        <v>3475.7599999999998</v>
      </c>
      <c r="H103" s="73">
        <f>SUM(H104:H105)</f>
        <v>4430.21</v>
      </c>
    </row>
    <row r="104" spans="1:13" ht="25.5" x14ac:dyDescent="0.25">
      <c r="A104" s="44" t="s">
        <v>311</v>
      </c>
      <c r="B104" s="45" t="s">
        <v>275</v>
      </c>
      <c r="C104" s="47" t="s">
        <v>98</v>
      </c>
      <c r="D104" s="46">
        <v>13.98</v>
      </c>
      <c r="E104" s="78">
        <v>46.9</v>
      </c>
      <c r="F104" s="78">
        <f>ROUND(E104*(1+$B$13),2)</f>
        <v>59.78</v>
      </c>
      <c r="G104" s="74">
        <f>ROUND(E104*D104,2)</f>
        <v>655.66</v>
      </c>
      <c r="H104" s="75">
        <f>ROUND(F104*D104,2)</f>
        <v>835.72</v>
      </c>
    </row>
    <row r="105" spans="1:13" ht="51" x14ac:dyDescent="0.25">
      <c r="A105" s="44" t="s">
        <v>312</v>
      </c>
      <c r="B105" s="48" t="s">
        <v>276</v>
      </c>
      <c r="C105" s="47" t="s">
        <v>98</v>
      </c>
      <c r="D105" s="49">
        <v>4.9000000000000004</v>
      </c>
      <c r="E105" s="77">
        <v>575.53</v>
      </c>
      <c r="F105" s="78">
        <f t="shared" ref="F105" si="45">ROUND(E105*(1+$B$13),2)</f>
        <v>733.57</v>
      </c>
      <c r="G105" s="74">
        <f t="shared" ref="G105" si="46">ROUND(E105*D105,2)</f>
        <v>2820.1</v>
      </c>
      <c r="H105" s="75">
        <f t="shared" ref="H105" si="47">ROUND(F105*D105,2)</f>
        <v>3594.49</v>
      </c>
    </row>
    <row r="106" spans="1:13" x14ac:dyDescent="0.25">
      <c r="A106" s="51"/>
      <c r="B106" s="52"/>
      <c r="C106" s="51"/>
      <c r="D106" s="53"/>
      <c r="E106" s="54"/>
      <c r="F106" s="54"/>
      <c r="G106" s="46"/>
      <c r="H106" s="53"/>
    </row>
    <row r="107" spans="1:13" x14ac:dyDescent="0.25">
      <c r="A107" s="41" t="s">
        <v>313</v>
      </c>
      <c r="B107" s="42" t="s">
        <v>120</v>
      </c>
      <c r="C107" s="42"/>
      <c r="D107" s="43"/>
      <c r="E107" s="43"/>
      <c r="F107" s="43"/>
      <c r="G107" s="73">
        <f>SUM(G108:G109)</f>
        <v>203.33</v>
      </c>
      <c r="H107" s="73">
        <f>SUM(H108:H109)</f>
        <v>259.05</v>
      </c>
    </row>
    <row r="108" spans="1:13" x14ac:dyDescent="0.25">
      <c r="A108" s="47" t="s">
        <v>314</v>
      </c>
      <c r="B108" s="48" t="s">
        <v>277</v>
      </c>
      <c r="C108" s="47" t="s">
        <v>80</v>
      </c>
      <c r="D108" s="49">
        <v>1</v>
      </c>
      <c r="E108" s="77">
        <v>146.74</v>
      </c>
      <c r="F108" s="78">
        <f>ROUND(E108*(1+$B$13),2)</f>
        <v>187.03</v>
      </c>
      <c r="G108" s="74">
        <f t="shared" ref="G108:G109" si="48">ROUND(E108*D108,2)</f>
        <v>146.74</v>
      </c>
      <c r="H108" s="75">
        <f t="shared" ref="H108:H109" si="49">ROUND(F108*D108,2)</f>
        <v>187.03</v>
      </c>
    </row>
    <row r="109" spans="1:13" x14ac:dyDescent="0.25">
      <c r="A109" s="47" t="s">
        <v>315</v>
      </c>
      <c r="B109" s="48" t="s">
        <v>278</v>
      </c>
      <c r="C109" s="47" t="s">
        <v>97</v>
      </c>
      <c r="D109" s="49">
        <v>57.16</v>
      </c>
      <c r="E109" s="77">
        <v>0.99</v>
      </c>
      <c r="F109" s="78">
        <f t="shared" ref="F109" si="50">ROUND(E109*(1+$B$13),2)</f>
        <v>1.26</v>
      </c>
      <c r="G109" s="74">
        <f t="shared" si="48"/>
        <v>56.59</v>
      </c>
      <c r="H109" s="75">
        <f t="shared" si="49"/>
        <v>72.02</v>
      </c>
    </row>
    <row r="110" spans="1:13" x14ac:dyDescent="0.25">
      <c r="A110" s="51"/>
      <c r="B110" s="52"/>
      <c r="C110" s="51"/>
      <c r="D110" s="53"/>
      <c r="E110" s="119"/>
      <c r="F110" s="120"/>
      <c r="G110" s="74"/>
      <c r="H110" s="121"/>
    </row>
    <row r="111" spans="1:13" x14ac:dyDescent="0.25">
      <c r="A111" s="41" t="s">
        <v>316</v>
      </c>
      <c r="B111" s="42" t="s">
        <v>252</v>
      </c>
      <c r="C111" s="42"/>
      <c r="D111" s="43"/>
      <c r="E111" s="43"/>
      <c r="F111" s="43"/>
      <c r="G111" s="73">
        <f>SUM(G112)</f>
        <v>80.709999999999994</v>
      </c>
      <c r="H111" s="73">
        <f>SUM(H112)</f>
        <v>102.87</v>
      </c>
    </row>
    <row r="112" spans="1:13" x14ac:dyDescent="0.25">
      <c r="A112" s="47" t="s">
        <v>317</v>
      </c>
      <c r="B112" s="48" t="s">
        <v>281</v>
      </c>
      <c r="C112" s="47" t="s">
        <v>80</v>
      </c>
      <c r="D112" s="49">
        <v>1</v>
      </c>
      <c r="E112" s="77">
        <v>80.709999999999994</v>
      </c>
      <c r="F112" s="78">
        <f t="shared" ref="F112" si="51">ROUND(E112*(1+$B$13),2)</f>
        <v>102.87</v>
      </c>
      <c r="G112" s="74">
        <f t="shared" ref="G112" si="52">ROUND(E112*D112,2)</f>
        <v>80.709999999999994</v>
      </c>
      <c r="H112" s="75">
        <f t="shared" ref="H112" si="53">ROUND(F112*D112,2)</f>
        <v>102.87</v>
      </c>
    </row>
    <row r="113" spans="1:10" x14ac:dyDescent="0.25">
      <c r="A113" s="51"/>
      <c r="B113" s="52"/>
      <c r="C113" s="51"/>
      <c r="D113" s="53"/>
      <c r="E113" s="119"/>
      <c r="F113" s="120"/>
      <c r="G113" s="74"/>
      <c r="H113" s="121"/>
    </row>
    <row r="114" spans="1:10" x14ac:dyDescent="0.25">
      <c r="A114" s="41" t="s">
        <v>318</v>
      </c>
      <c r="B114" s="42" t="s">
        <v>253</v>
      </c>
      <c r="C114" s="42"/>
      <c r="D114" s="43"/>
      <c r="E114" s="43"/>
      <c r="F114" s="43"/>
      <c r="G114" s="73">
        <f>SUM(G115:G115)</f>
        <v>1193.6400000000001</v>
      </c>
      <c r="H114" s="73">
        <f>SUM(H115:H115)</f>
        <v>1521.42</v>
      </c>
    </row>
    <row r="115" spans="1:10" ht="38.25" x14ac:dyDescent="0.25">
      <c r="A115" s="47" t="s">
        <v>319</v>
      </c>
      <c r="B115" s="48" t="s">
        <v>282</v>
      </c>
      <c r="C115" s="47" t="s">
        <v>80</v>
      </c>
      <c r="D115" s="49">
        <v>2</v>
      </c>
      <c r="E115" s="77">
        <v>596.82000000000005</v>
      </c>
      <c r="F115" s="78">
        <f t="shared" ref="F115" si="54">ROUND(E115*(1+$B$13),2)</f>
        <v>760.71</v>
      </c>
      <c r="G115" s="74">
        <f t="shared" ref="G115" si="55">ROUND(E115*D115,2)</f>
        <v>1193.6400000000001</v>
      </c>
      <c r="H115" s="75">
        <f t="shared" ref="H115" si="56">ROUND(F115*D115,2)</f>
        <v>1521.42</v>
      </c>
    </row>
    <row r="116" spans="1:10" x14ac:dyDescent="0.25">
      <c r="A116" s="51"/>
      <c r="B116" s="52"/>
      <c r="C116" s="51"/>
      <c r="D116" s="53"/>
      <c r="E116" s="54"/>
      <c r="F116" s="54"/>
      <c r="G116" s="46"/>
      <c r="H116" s="53"/>
    </row>
    <row r="117" spans="1:10" x14ac:dyDescent="0.25">
      <c r="A117" s="41" t="s">
        <v>320</v>
      </c>
      <c r="B117" s="42" t="s">
        <v>123</v>
      </c>
      <c r="C117" s="42"/>
      <c r="D117" s="43"/>
      <c r="E117" s="43"/>
      <c r="F117" s="43"/>
      <c r="G117" s="73">
        <f>SUM(G118)</f>
        <v>429.55</v>
      </c>
      <c r="H117" s="73">
        <f>SUM(H118)</f>
        <v>552.27</v>
      </c>
    </row>
    <row r="118" spans="1:10" ht="25.5" x14ac:dyDescent="0.25">
      <c r="A118" s="44" t="s">
        <v>321</v>
      </c>
      <c r="B118" s="45" t="s">
        <v>283</v>
      </c>
      <c r="C118" s="44" t="s">
        <v>97</v>
      </c>
      <c r="D118" s="49">
        <v>1022.73</v>
      </c>
      <c r="E118" s="74">
        <v>0.42</v>
      </c>
      <c r="F118" s="78">
        <f t="shared" ref="F118" si="57">ROUND(E118*(1+$B$13),2)</f>
        <v>0.54</v>
      </c>
      <c r="G118" s="74">
        <f t="shared" ref="G118" si="58">ROUND(E118*D118,2)</f>
        <v>429.55</v>
      </c>
      <c r="H118" s="75">
        <f t="shared" ref="H118" si="59">ROUND(F118*D118,2)</f>
        <v>552.27</v>
      </c>
    </row>
    <row r="119" spans="1:10" ht="13.5" thickBot="1" x14ac:dyDescent="0.3">
      <c r="A119" s="44"/>
      <c r="B119" s="48"/>
      <c r="C119" s="44"/>
      <c r="D119" s="49"/>
      <c r="E119" s="75"/>
      <c r="F119" s="78"/>
      <c r="G119" s="74"/>
      <c r="H119" s="75"/>
    </row>
    <row r="120" spans="1:10" ht="13.5" thickBot="1" x14ac:dyDescent="0.3">
      <c r="A120" s="183" t="s">
        <v>124</v>
      </c>
      <c r="B120" s="184"/>
      <c r="C120" s="184"/>
      <c r="D120" s="184"/>
      <c r="E120" s="184"/>
      <c r="F120" s="184"/>
      <c r="G120" s="76">
        <f>SUM(G117,G107,G103,G97,G93,G90)</f>
        <v>66921.780000000013</v>
      </c>
      <c r="H120" s="76">
        <f>SUM(H117,H114,H111,H107,H103,H97,H93,H90)</f>
        <v>86929.15</v>
      </c>
    </row>
    <row r="121" spans="1:10" ht="13.5" thickBot="1" x14ac:dyDescent="0.3">
      <c r="A121" s="59"/>
      <c r="B121" s="60"/>
      <c r="C121" s="60"/>
      <c r="D121" s="35"/>
      <c r="E121" s="35"/>
      <c r="F121" s="35"/>
      <c r="G121" s="35"/>
      <c r="H121" s="35"/>
    </row>
    <row r="122" spans="1:10" x14ac:dyDescent="0.25">
      <c r="A122" s="186" t="s">
        <v>100</v>
      </c>
      <c r="B122" s="187"/>
      <c r="C122" s="187"/>
      <c r="D122" s="187"/>
      <c r="E122" s="187"/>
      <c r="F122" s="187"/>
      <c r="G122" s="187"/>
      <c r="H122" s="61">
        <f>G120+G86+G52</f>
        <v>445275.64000000007</v>
      </c>
    </row>
    <row r="123" spans="1:10" ht="13.5" thickBot="1" x14ac:dyDescent="0.3">
      <c r="A123" s="188" t="s">
        <v>101</v>
      </c>
      <c r="B123" s="189"/>
      <c r="C123" s="189"/>
      <c r="D123" s="189"/>
      <c r="E123" s="189"/>
      <c r="F123" s="189"/>
      <c r="G123" s="189"/>
      <c r="H123" s="62">
        <f>H124-H122</f>
        <v>130744.49999999994</v>
      </c>
    </row>
    <row r="124" spans="1:10" ht="13.5" thickBot="1" x14ac:dyDescent="0.3">
      <c r="A124" s="190" t="s">
        <v>102</v>
      </c>
      <c r="B124" s="191"/>
      <c r="C124" s="191"/>
      <c r="D124" s="191"/>
      <c r="E124" s="191"/>
      <c r="F124" s="191"/>
      <c r="G124" s="191"/>
      <c r="H124" s="61">
        <f>H120+H86+H52</f>
        <v>576020.14</v>
      </c>
      <c r="I124" s="57"/>
      <c r="J124" s="58"/>
    </row>
    <row r="125" spans="1:10" x14ac:dyDescent="0.25">
      <c r="A125" s="63"/>
      <c r="B125" s="63"/>
      <c r="C125" s="63"/>
      <c r="D125" s="64"/>
      <c r="E125" s="64"/>
      <c r="F125" s="64"/>
      <c r="G125" s="64"/>
      <c r="H125" s="64"/>
    </row>
    <row r="126" spans="1:10" x14ac:dyDescent="0.25">
      <c r="A126" s="192"/>
      <c r="B126" s="192"/>
      <c r="C126" s="192"/>
      <c r="D126" s="193"/>
      <c r="E126" s="193"/>
      <c r="F126" s="193"/>
      <c r="G126" s="193"/>
      <c r="H126" s="193"/>
    </row>
    <row r="127" spans="1:10" x14ac:dyDescent="0.25">
      <c r="A127" s="185" t="s">
        <v>325</v>
      </c>
      <c r="B127" s="185"/>
      <c r="C127" s="185"/>
      <c r="D127" s="185"/>
      <c r="E127" s="185"/>
      <c r="F127" s="185"/>
      <c r="G127" s="185"/>
      <c r="H127" s="185"/>
    </row>
    <row r="130" spans="10:10" x14ac:dyDescent="0.25">
      <c r="J130" s="38">
        <v>632217.42999999993</v>
      </c>
    </row>
    <row r="134" spans="10:10" x14ac:dyDescent="0.25">
      <c r="J134" s="58">
        <f>H124/J130</f>
        <v>0.91111081831451579</v>
      </c>
    </row>
    <row r="135" spans="10:10" x14ac:dyDescent="0.25">
      <c r="J135" s="58">
        <f>1-J134</f>
        <v>8.8889181685484209E-2</v>
      </c>
    </row>
    <row r="136" spans="10:10" x14ac:dyDescent="0.25">
      <c r="J136" s="58">
        <f>J135*100</f>
        <v>8.8889181685484218</v>
      </c>
    </row>
  </sheetData>
  <mergeCells count="17">
    <mergeCell ref="A52:F52"/>
    <mergeCell ref="A127:H127"/>
    <mergeCell ref="A122:G122"/>
    <mergeCell ref="A123:G123"/>
    <mergeCell ref="A124:G124"/>
    <mergeCell ref="A126:H126"/>
    <mergeCell ref="A54:H54"/>
    <mergeCell ref="A86:F86"/>
    <mergeCell ref="A88:G88"/>
    <mergeCell ref="A120:F120"/>
    <mergeCell ref="A9:H9"/>
    <mergeCell ref="A11:H11"/>
    <mergeCell ref="A12:H12"/>
    <mergeCell ref="A15:H15"/>
    <mergeCell ref="X22:Y22"/>
    <mergeCell ref="A19:G19"/>
    <mergeCell ref="A10:H10"/>
  </mergeCells>
  <printOptions horizontalCentered="1"/>
  <pageMargins left="0.31496062992125984" right="0.31496062992125984" top="0.98425196850393704" bottom="0.78740157480314965" header="0.31496062992125984" footer="0.31496062992125984"/>
  <pageSetup paperSize="9" scale="34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27"/>
  <sheetViews>
    <sheetView workbookViewId="0">
      <selection activeCell="B31" sqref="B31"/>
    </sheetView>
  </sheetViews>
  <sheetFormatPr defaultColWidth="7.7109375" defaultRowHeight="12.75" x14ac:dyDescent="0.25"/>
  <cols>
    <col min="1" max="1" width="10.7109375" style="79" customWidth="1"/>
    <col min="2" max="2" width="64" style="92" customWidth="1"/>
    <col min="3" max="3" width="20.85546875" style="79" customWidth="1"/>
    <col min="4" max="4" width="10.7109375" style="79" customWidth="1"/>
    <col min="5" max="5" width="12.28515625" style="79" bestFit="1" customWidth="1"/>
    <col min="6" max="11" width="10.7109375" style="79" customWidth="1"/>
    <col min="12" max="12" width="7.7109375" style="79" customWidth="1"/>
    <col min="13" max="16384" width="7.7109375" style="79"/>
  </cols>
  <sheetData>
    <row r="7" spans="1:3" ht="13.5" thickBot="1" x14ac:dyDescent="0.3"/>
    <row r="8" spans="1:3" ht="45.75" customHeight="1" x14ac:dyDescent="0.25">
      <c r="A8" s="162" t="str">
        <f>'P O '!A9:H9</f>
        <v>OBRA: IMPLANTAÇÃO DE PAVIMENTAÇÃO EM VIAS PÚBLICAS URBANAS NO MUNICÍPIO DE SOUSA - PB, CONFORME CONTRATO DE REPASSE Nº 1030113-16/2016</v>
      </c>
      <c r="B8" s="163"/>
      <c r="C8" s="164"/>
    </row>
    <row r="9" spans="1:3" ht="25.5" customHeight="1" x14ac:dyDescent="0.25">
      <c r="A9" s="180" t="s">
        <v>326</v>
      </c>
      <c r="B9" s="181"/>
      <c r="C9" s="182"/>
    </row>
    <row r="10" spans="1:3" ht="27" customHeight="1" x14ac:dyDescent="0.25">
      <c r="A10" s="165" t="str">
        <f>'P O '!A11:H11</f>
        <v>PROPONENTE: PREFEITURA MUNICIPAL DE SOUSA-PB</v>
      </c>
      <c r="B10" s="166"/>
      <c r="C10" s="167"/>
    </row>
    <row r="11" spans="1:3" ht="20.25" customHeight="1" x14ac:dyDescent="0.25">
      <c r="A11" s="165" t="str">
        <f>'P O '!A12:H12</f>
        <v>Encargos Sociais COM desonerados: Horista: 85,69% / Mensalista: 48,16%</v>
      </c>
      <c r="B11" s="166"/>
      <c r="C11" s="167"/>
    </row>
    <row r="12" spans="1:3" ht="13.5" thickBot="1" x14ac:dyDescent="0.3">
      <c r="A12" s="168" t="s">
        <v>324</v>
      </c>
      <c r="B12" s="169"/>
      <c r="C12" s="170"/>
    </row>
    <row r="13" spans="1:3" ht="13.5" thickBot="1" x14ac:dyDescent="0.3">
      <c r="A13" s="95"/>
      <c r="B13" s="96"/>
      <c r="C13" s="97"/>
    </row>
    <row r="14" spans="1:3" ht="13.5" thickBot="1" x14ac:dyDescent="0.3">
      <c r="A14" s="195" t="s">
        <v>140</v>
      </c>
      <c r="B14" s="196"/>
      <c r="C14" s="197"/>
    </row>
    <row r="15" spans="1:3" s="8" customFormat="1" ht="13.5" thickBot="1" x14ac:dyDescent="0.25">
      <c r="A15" s="98"/>
      <c r="B15" s="80"/>
      <c r="C15" s="99"/>
    </row>
    <row r="16" spans="1:3" ht="15.75" thickBot="1" x14ac:dyDescent="0.3">
      <c r="A16" s="100" t="s">
        <v>142</v>
      </c>
      <c r="B16" s="100" t="s">
        <v>141</v>
      </c>
      <c r="C16" s="101" t="s">
        <v>143</v>
      </c>
    </row>
    <row r="17" spans="1:11" x14ac:dyDescent="0.25">
      <c r="A17" s="198">
        <v>1</v>
      </c>
      <c r="B17" s="200" t="s">
        <v>322</v>
      </c>
      <c r="C17" s="205">
        <f>'P O '!H52</f>
        <v>489090.99</v>
      </c>
      <c r="E17" s="82"/>
    </row>
    <row r="18" spans="1:11" ht="13.5" thickBot="1" x14ac:dyDescent="0.3">
      <c r="A18" s="199"/>
      <c r="B18" s="201"/>
      <c r="C18" s="206"/>
      <c r="E18" s="84"/>
    </row>
    <row r="19" spans="1:11" x14ac:dyDescent="0.25">
      <c r="A19" s="198">
        <v>2</v>
      </c>
      <c r="B19" s="200" t="s">
        <v>323</v>
      </c>
      <c r="C19" s="205">
        <f>'P O '!H86</f>
        <v>0</v>
      </c>
      <c r="E19" s="82"/>
    </row>
    <row r="20" spans="1:11" ht="13.5" thickBot="1" x14ac:dyDescent="0.3">
      <c r="A20" s="199"/>
      <c r="B20" s="201"/>
      <c r="C20" s="206"/>
      <c r="E20" s="84"/>
    </row>
    <row r="21" spans="1:11" x14ac:dyDescent="0.25">
      <c r="A21" s="198">
        <v>3</v>
      </c>
      <c r="B21" s="200" t="s">
        <v>262</v>
      </c>
      <c r="C21" s="202">
        <f>'P O '!H120</f>
        <v>86929.15</v>
      </c>
      <c r="E21" s="82"/>
    </row>
    <row r="22" spans="1:11" ht="13.5" thickBot="1" x14ac:dyDescent="0.3">
      <c r="A22" s="199"/>
      <c r="B22" s="201"/>
      <c r="C22" s="203"/>
      <c r="E22" s="84"/>
    </row>
    <row r="23" spans="1:11" ht="25.5" customHeight="1" thickBot="1" x14ac:dyDescent="0.3">
      <c r="A23" s="102"/>
      <c r="B23" s="103" t="s">
        <v>144</v>
      </c>
      <c r="C23" s="104">
        <f>SUM(C17:C22)</f>
        <v>576020.14</v>
      </c>
      <c r="E23" s="91"/>
      <c r="F23" s="91"/>
      <c r="G23" s="91"/>
      <c r="H23" s="91"/>
      <c r="I23" s="91"/>
      <c r="J23" s="91"/>
      <c r="K23" s="84"/>
    </row>
    <row r="25" spans="1:11" x14ac:dyDescent="0.25">
      <c r="A25" s="204" t="s">
        <v>325</v>
      </c>
      <c r="B25" s="204"/>
      <c r="C25" s="204"/>
    </row>
    <row r="26" spans="1:11" x14ac:dyDescent="0.25">
      <c r="A26" s="204"/>
      <c r="B26" s="204"/>
      <c r="C26" s="204"/>
    </row>
    <row r="27" spans="1:11" x14ac:dyDescent="0.25">
      <c r="A27" s="204"/>
      <c r="B27" s="204"/>
      <c r="C27" s="204"/>
    </row>
  </sheetData>
  <mergeCells count="16">
    <mergeCell ref="A17:A18"/>
    <mergeCell ref="B17:B18"/>
    <mergeCell ref="C21:C22"/>
    <mergeCell ref="A25:C27"/>
    <mergeCell ref="C17:C18"/>
    <mergeCell ref="C19:C20"/>
    <mergeCell ref="A21:A22"/>
    <mergeCell ref="B21:B22"/>
    <mergeCell ref="A19:A20"/>
    <mergeCell ref="B19:B20"/>
    <mergeCell ref="A8:C8"/>
    <mergeCell ref="A10:C10"/>
    <mergeCell ref="A11:C11"/>
    <mergeCell ref="A12:C12"/>
    <mergeCell ref="A14:C14"/>
    <mergeCell ref="A9:C9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8"/>
  <sheetViews>
    <sheetView workbookViewId="0">
      <selection activeCell="B13" sqref="B13"/>
    </sheetView>
  </sheetViews>
  <sheetFormatPr defaultColWidth="7.7109375" defaultRowHeight="12.75" x14ac:dyDescent="0.25"/>
  <cols>
    <col min="1" max="1" width="10.7109375" style="79" customWidth="1"/>
    <col min="2" max="2" width="50.7109375" style="92" customWidth="1"/>
    <col min="3" max="3" width="17.85546875" style="93" customWidth="1"/>
    <col min="4" max="6" width="12.85546875" style="79" customWidth="1"/>
    <col min="7" max="7" width="10.7109375" style="79" customWidth="1"/>
    <col min="8" max="8" width="12.28515625" style="79" bestFit="1" customWidth="1"/>
    <col min="9" max="14" width="10.7109375" style="79" customWidth="1"/>
    <col min="15" max="15" width="7.7109375" style="79" customWidth="1"/>
    <col min="16" max="16384" width="7.7109375" style="79"/>
  </cols>
  <sheetData>
    <row r="4" spans="1:8" ht="13.5" thickBot="1" x14ac:dyDescent="0.3"/>
    <row r="5" spans="1:8" ht="45.75" customHeight="1" x14ac:dyDescent="0.25">
      <c r="A5" s="162" t="str">
        <f>'P O '!A9:H9</f>
        <v>OBRA: IMPLANTAÇÃO DE PAVIMENTAÇÃO EM VIAS PÚBLICAS URBANAS NO MUNICÍPIO DE SOUSA - PB, CONFORME CONTRATO DE REPASSE Nº 1030113-16/2016</v>
      </c>
      <c r="B5" s="163"/>
      <c r="C5" s="163"/>
      <c r="D5" s="163"/>
      <c r="E5" s="163"/>
      <c r="F5" s="164"/>
    </row>
    <row r="6" spans="1:8" x14ac:dyDescent="0.25">
      <c r="A6" s="180" t="s">
        <v>326</v>
      </c>
      <c r="B6" s="181"/>
      <c r="C6" s="181"/>
      <c r="D6" s="181"/>
      <c r="E6" s="181"/>
      <c r="F6" s="182"/>
    </row>
    <row r="7" spans="1:8" x14ac:dyDescent="0.25">
      <c r="A7" s="165" t="str">
        <f>'P O '!A11:H11</f>
        <v>PROPONENTE: PREFEITURA MUNICIPAL DE SOUSA-PB</v>
      </c>
      <c r="B7" s="166"/>
      <c r="C7" s="166"/>
      <c r="D7" s="166"/>
      <c r="E7" s="166"/>
      <c r="F7" s="167"/>
    </row>
    <row r="8" spans="1:8" x14ac:dyDescent="0.25">
      <c r="A8" s="207" t="str">
        <f>'P O '!A12:H12</f>
        <v>Encargos Sociais COM desonerados: Horista: 85,69% / Mensalista: 48,16%</v>
      </c>
      <c r="B8" s="208"/>
      <c r="C8" s="208"/>
      <c r="D8" s="208"/>
      <c r="E8" s="208"/>
      <c r="F8" s="209"/>
    </row>
    <row r="9" spans="1:8" ht="13.5" thickBot="1" x14ac:dyDescent="0.3">
      <c r="A9" s="210" t="s">
        <v>324</v>
      </c>
      <c r="B9" s="211"/>
      <c r="C9" s="211"/>
      <c r="D9" s="211"/>
      <c r="E9" s="211"/>
      <c r="F9" s="212"/>
    </row>
    <row r="10" spans="1:8" ht="13.5" thickBot="1" x14ac:dyDescent="0.3">
      <c r="A10" s="36"/>
      <c r="B10" s="37"/>
      <c r="C10" s="37"/>
      <c r="D10" s="37"/>
      <c r="E10" s="37"/>
      <c r="F10" s="37"/>
    </row>
    <row r="11" spans="1:8" ht="13.5" thickBot="1" x14ac:dyDescent="0.3">
      <c r="A11" s="95"/>
      <c r="B11" s="96"/>
      <c r="C11" s="96"/>
      <c r="D11" s="96"/>
      <c r="E11" s="96"/>
      <c r="F11" s="96"/>
    </row>
    <row r="12" spans="1:8" ht="13.5" thickBot="1" x14ac:dyDescent="0.3">
      <c r="A12" s="195" t="s">
        <v>131</v>
      </c>
      <c r="B12" s="196"/>
      <c r="C12" s="196"/>
      <c r="D12" s="196"/>
      <c r="E12" s="196"/>
      <c r="F12" s="213"/>
    </row>
    <row r="13" spans="1:8" s="8" customFormat="1" x14ac:dyDescent="0.2">
      <c r="A13" s="98"/>
      <c r="B13" s="80"/>
      <c r="C13" s="80"/>
      <c r="D13" s="80"/>
      <c r="E13" s="80"/>
      <c r="F13" s="80"/>
    </row>
    <row r="14" spans="1:8" ht="15" x14ac:dyDescent="0.25">
      <c r="A14" s="123" t="s">
        <v>92</v>
      </c>
      <c r="B14" s="123" t="s">
        <v>5</v>
      </c>
      <c r="C14" s="124" t="s">
        <v>132</v>
      </c>
      <c r="D14" s="123" t="s">
        <v>133</v>
      </c>
      <c r="E14" s="123" t="s">
        <v>134</v>
      </c>
      <c r="F14" s="123" t="s">
        <v>135</v>
      </c>
    </row>
    <row r="15" spans="1:8" x14ac:dyDescent="0.25">
      <c r="A15" s="219">
        <v>1</v>
      </c>
      <c r="B15" s="221" t="s">
        <v>322</v>
      </c>
      <c r="C15" s="125">
        <v>1</v>
      </c>
      <c r="D15" s="126">
        <v>0.6</v>
      </c>
      <c r="E15" s="126">
        <v>0.4</v>
      </c>
      <c r="F15" s="127"/>
      <c r="H15" s="82"/>
    </row>
    <row r="16" spans="1:8" x14ac:dyDescent="0.25">
      <c r="A16" s="220"/>
      <c r="B16" s="221"/>
      <c r="C16" s="128">
        <f>'P O '!H52</f>
        <v>489090.99</v>
      </c>
      <c r="D16" s="129">
        <f>C16*0.6</f>
        <v>293454.59399999998</v>
      </c>
      <c r="E16" s="129">
        <f>C16*0.4</f>
        <v>195636.39600000001</v>
      </c>
      <c r="F16" s="129"/>
      <c r="H16" s="84"/>
    </row>
    <row r="17" spans="1:14" x14ac:dyDescent="0.25">
      <c r="A17" s="219">
        <v>2</v>
      </c>
      <c r="B17" s="221" t="s">
        <v>323</v>
      </c>
      <c r="C17" s="125"/>
      <c r="D17" s="127"/>
      <c r="E17" s="127"/>
      <c r="F17" s="127"/>
      <c r="H17" s="82"/>
    </row>
    <row r="18" spans="1:14" x14ac:dyDescent="0.25">
      <c r="A18" s="220"/>
      <c r="B18" s="221"/>
      <c r="C18" s="128"/>
      <c r="D18" s="129"/>
      <c r="E18" s="129"/>
      <c r="F18" s="129"/>
      <c r="H18" s="84"/>
    </row>
    <row r="19" spans="1:14" x14ac:dyDescent="0.25">
      <c r="A19" s="219">
        <v>3</v>
      </c>
      <c r="B19" s="221" t="s">
        <v>262</v>
      </c>
      <c r="C19" s="125">
        <v>1</v>
      </c>
      <c r="D19" s="127"/>
      <c r="E19" s="126">
        <v>0.2</v>
      </c>
      <c r="F19" s="126">
        <v>0.8</v>
      </c>
      <c r="H19" s="84"/>
    </row>
    <row r="20" spans="1:14" x14ac:dyDescent="0.25">
      <c r="A20" s="220"/>
      <c r="B20" s="221"/>
      <c r="C20" s="128">
        <f>'P O '!H120</f>
        <v>86929.15</v>
      </c>
      <c r="D20" s="129"/>
      <c r="E20" s="129">
        <f>C20*0.2</f>
        <v>17385.829999999998</v>
      </c>
      <c r="F20" s="129">
        <f>C20*0.8</f>
        <v>69543.319999999992</v>
      </c>
      <c r="H20" s="84"/>
    </row>
    <row r="21" spans="1:14" x14ac:dyDescent="0.25">
      <c r="A21" s="222" t="s">
        <v>136</v>
      </c>
      <c r="B21" s="223"/>
      <c r="C21" s="83"/>
      <c r="D21" s="122">
        <f>D22/C24</f>
        <v>0.50945196812042015</v>
      </c>
      <c r="E21" s="122">
        <f>E22/C24</f>
        <v>0.36981732270680673</v>
      </c>
      <c r="F21" s="122">
        <f>F22/C24</f>
        <v>0.12073070917277301</v>
      </c>
      <c r="H21" s="87"/>
      <c r="I21" s="87"/>
      <c r="J21" s="87"/>
      <c r="K21" s="87"/>
      <c r="L21" s="87"/>
      <c r="M21" s="87"/>
      <c r="N21" s="87"/>
    </row>
    <row r="22" spans="1:14" ht="13.5" thickBot="1" x14ac:dyDescent="0.3">
      <c r="A22" s="214" t="s">
        <v>137</v>
      </c>
      <c r="B22" s="215"/>
      <c r="C22" s="94"/>
      <c r="D22" s="88">
        <f>D16</f>
        <v>293454.59399999998</v>
      </c>
      <c r="E22" s="88">
        <f>E16+E20</f>
        <v>213022.226</v>
      </c>
      <c r="F22" s="88">
        <f>F20</f>
        <v>69543.319999999992</v>
      </c>
      <c r="H22" s="89"/>
      <c r="I22" s="89"/>
      <c r="J22" s="89"/>
      <c r="K22" s="89"/>
      <c r="L22" s="89"/>
      <c r="M22" s="89"/>
      <c r="N22" s="89"/>
    </row>
    <row r="23" spans="1:14" x14ac:dyDescent="0.25">
      <c r="A23" s="216" t="s">
        <v>138</v>
      </c>
      <c r="B23" s="217"/>
      <c r="C23" s="81">
        <v>1</v>
      </c>
      <c r="D23" s="86">
        <f>D24/C24</f>
        <v>0.50945196812042015</v>
      </c>
      <c r="E23" s="86">
        <f>E24/C24</f>
        <v>0.87926929082722682</v>
      </c>
      <c r="F23" s="86">
        <f>F24/C24</f>
        <v>0.99999999999999978</v>
      </c>
      <c r="H23" s="87"/>
      <c r="I23" s="87"/>
      <c r="J23" s="87"/>
      <c r="K23" s="87"/>
      <c r="L23" s="87"/>
      <c r="M23" s="87"/>
      <c r="N23" s="87"/>
    </row>
    <row r="24" spans="1:14" ht="13.5" thickBot="1" x14ac:dyDescent="0.3">
      <c r="A24" s="214" t="s">
        <v>139</v>
      </c>
      <c r="B24" s="215"/>
      <c r="C24" s="85">
        <f>C18+C16+C20</f>
        <v>576020.14</v>
      </c>
      <c r="D24" s="90">
        <f>D22</f>
        <v>293454.59399999998</v>
      </c>
      <c r="E24" s="90">
        <f>D24+E22</f>
        <v>506476.81999999995</v>
      </c>
      <c r="F24" s="90">
        <f>E24+F22</f>
        <v>576020.1399999999</v>
      </c>
      <c r="H24" s="91"/>
      <c r="I24" s="91"/>
      <c r="J24" s="91"/>
      <c r="K24" s="91"/>
      <c r="L24" s="91"/>
      <c r="M24" s="91"/>
      <c r="N24" s="84"/>
    </row>
    <row r="26" spans="1:14" x14ac:dyDescent="0.25">
      <c r="A26" s="218"/>
      <c r="B26" s="218"/>
      <c r="C26" s="218"/>
      <c r="D26" s="218"/>
      <c r="E26" s="218"/>
      <c r="F26" s="218"/>
    </row>
    <row r="27" spans="1:14" x14ac:dyDescent="0.25">
      <c r="A27" s="218"/>
      <c r="B27" s="218"/>
      <c r="C27" s="218"/>
      <c r="D27" s="218"/>
      <c r="E27" s="218"/>
      <c r="F27" s="218"/>
    </row>
    <row r="28" spans="1:14" x14ac:dyDescent="0.25">
      <c r="A28" s="218"/>
      <c r="B28" s="218"/>
      <c r="C28" s="218"/>
      <c r="D28" s="218"/>
      <c r="E28" s="218"/>
      <c r="F28" s="218"/>
    </row>
  </sheetData>
  <mergeCells count="17">
    <mergeCell ref="A22:B22"/>
    <mergeCell ref="A23:B23"/>
    <mergeCell ref="A24:B24"/>
    <mergeCell ref="A26:F28"/>
    <mergeCell ref="A15:A16"/>
    <mergeCell ref="B15:B16"/>
    <mergeCell ref="A17:A18"/>
    <mergeCell ref="B17:B18"/>
    <mergeCell ref="A21:B21"/>
    <mergeCell ref="A19:A20"/>
    <mergeCell ref="B19:B20"/>
    <mergeCell ref="A5:F5"/>
    <mergeCell ref="A7:F7"/>
    <mergeCell ref="A8:F8"/>
    <mergeCell ref="A9:F9"/>
    <mergeCell ref="A12:F12"/>
    <mergeCell ref="A6:F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:E42"/>
  <sheetViews>
    <sheetView workbookViewId="0">
      <selection activeCell="A8" sqref="A8:C8"/>
    </sheetView>
  </sheetViews>
  <sheetFormatPr defaultColWidth="11.5703125" defaultRowHeight="12.75" x14ac:dyDescent="0.2"/>
  <cols>
    <col min="1" max="1" width="11" style="110" customWidth="1"/>
    <col min="2" max="2" width="45.5703125" style="110" customWidth="1"/>
    <col min="3" max="3" width="14.42578125" style="110" customWidth="1"/>
    <col min="4" max="256" width="11.5703125" style="110"/>
    <col min="257" max="257" width="11" style="110" customWidth="1"/>
    <col min="258" max="258" width="41.7109375" style="110" customWidth="1"/>
    <col min="259" max="259" width="12.28515625" style="110" customWidth="1"/>
    <col min="260" max="512" width="11.5703125" style="110"/>
    <col min="513" max="513" width="11" style="110" customWidth="1"/>
    <col min="514" max="514" width="41.7109375" style="110" customWidth="1"/>
    <col min="515" max="515" width="12.28515625" style="110" customWidth="1"/>
    <col min="516" max="768" width="11.5703125" style="110"/>
    <col min="769" max="769" width="11" style="110" customWidth="1"/>
    <col min="770" max="770" width="41.7109375" style="110" customWidth="1"/>
    <col min="771" max="771" width="12.28515625" style="110" customWidth="1"/>
    <col min="772" max="1024" width="11.5703125" style="110"/>
    <col min="1025" max="1025" width="11" style="110" customWidth="1"/>
    <col min="1026" max="1026" width="41.7109375" style="110" customWidth="1"/>
    <col min="1027" max="1027" width="12.28515625" style="110" customWidth="1"/>
    <col min="1028" max="1280" width="11.5703125" style="110"/>
    <col min="1281" max="1281" width="11" style="110" customWidth="1"/>
    <col min="1282" max="1282" width="41.7109375" style="110" customWidth="1"/>
    <col min="1283" max="1283" width="12.28515625" style="110" customWidth="1"/>
    <col min="1284" max="1536" width="11.5703125" style="110"/>
    <col min="1537" max="1537" width="11" style="110" customWidth="1"/>
    <col min="1538" max="1538" width="41.7109375" style="110" customWidth="1"/>
    <col min="1539" max="1539" width="12.28515625" style="110" customWidth="1"/>
    <col min="1540" max="1792" width="11.5703125" style="110"/>
    <col min="1793" max="1793" width="11" style="110" customWidth="1"/>
    <col min="1794" max="1794" width="41.7109375" style="110" customWidth="1"/>
    <col min="1795" max="1795" width="12.28515625" style="110" customWidth="1"/>
    <col min="1796" max="2048" width="11.5703125" style="110"/>
    <col min="2049" max="2049" width="11" style="110" customWidth="1"/>
    <col min="2050" max="2050" width="41.7109375" style="110" customWidth="1"/>
    <col min="2051" max="2051" width="12.28515625" style="110" customWidth="1"/>
    <col min="2052" max="2304" width="11.5703125" style="110"/>
    <col min="2305" max="2305" width="11" style="110" customWidth="1"/>
    <col min="2306" max="2306" width="41.7109375" style="110" customWidth="1"/>
    <col min="2307" max="2307" width="12.28515625" style="110" customWidth="1"/>
    <col min="2308" max="2560" width="11.5703125" style="110"/>
    <col min="2561" max="2561" width="11" style="110" customWidth="1"/>
    <col min="2562" max="2562" width="41.7109375" style="110" customWidth="1"/>
    <col min="2563" max="2563" width="12.28515625" style="110" customWidth="1"/>
    <col min="2564" max="2816" width="11.5703125" style="110"/>
    <col min="2817" max="2817" width="11" style="110" customWidth="1"/>
    <col min="2818" max="2818" width="41.7109375" style="110" customWidth="1"/>
    <col min="2819" max="2819" width="12.28515625" style="110" customWidth="1"/>
    <col min="2820" max="3072" width="11.5703125" style="110"/>
    <col min="3073" max="3073" width="11" style="110" customWidth="1"/>
    <col min="3074" max="3074" width="41.7109375" style="110" customWidth="1"/>
    <col min="3075" max="3075" width="12.28515625" style="110" customWidth="1"/>
    <col min="3076" max="3328" width="11.5703125" style="110"/>
    <col min="3329" max="3329" width="11" style="110" customWidth="1"/>
    <col min="3330" max="3330" width="41.7109375" style="110" customWidth="1"/>
    <col min="3331" max="3331" width="12.28515625" style="110" customWidth="1"/>
    <col min="3332" max="3584" width="11.5703125" style="110"/>
    <col min="3585" max="3585" width="11" style="110" customWidth="1"/>
    <col min="3586" max="3586" width="41.7109375" style="110" customWidth="1"/>
    <col min="3587" max="3587" width="12.28515625" style="110" customWidth="1"/>
    <col min="3588" max="3840" width="11.5703125" style="110"/>
    <col min="3841" max="3841" width="11" style="110" customWidth="1"/>
    <col min="3842" max="3842" width="41.7109375" style="110" customWidth="1"/>
    <col min="3843" max="3843" width="12.28515625" style="110" customWidth="1"/>
    <col min="3844" max="4096" width="11.5703125" style="110"/>
    <col min="4097" max="4097" width="11" style="110" customWidth="1"/>
    <col min="4098" max="4098" width="41.7109375" style="110" customWidth="1"/>
    <col min="4099" max="4099" width="12.28515625" style="110" customWidth="1"/>
    <col min="4100" max="4352" width="11.5703125" style="110"/>
    <col min="4353" max="4353" width="11" style="110" customWidth="1"/>
    <col min="4354" max="4354" width="41.7109375" style="110" customWidth="1"/>
    <col min="4355" max="4355" width="12.28515625" style="110" customWidth="1"/>
    <col min="4356" max="4608" width="11.5703125" style="110"/>
    <col min="4609" max="4609" width="11" style="110" customWidth="1"/>
    <col min="4610" max="4610" width="41.7109375" style="110" customWidth="1"/>
    <col min="4611" max="4611" width="12.28515625" style="110" customWidth="1"/>
    <col min="4612" max="4864" width="11.5703125" style="110"/>
    <col min="4865" max="4865" width="11" style="110" customWidth="1"/>
    <col min="4866" max="4866" width="41.7109375" style="110" customWidth="1"/>
    <col min="4867" max="4867" width="12.28515625" style="110" customWidth="1"/>
    <col min="4868" max="5120" width="11.5703125" style="110"/>
    <col min="5121" max="5121" width="11" style="110" customWidth="1"/>
    <col min="5122" max="5122" width="41.7109375" style="110" customWidth="1"/>
    <col min="5123" max="5123" width="12.28515625" style="110" customWidth="1"/>
    <col min="5124" max="5376" width="11.5703125" style="110"/>
    <col min="5377" max="5377" width="11" style="110" customWidth="1"/>
    <col min="5378" max="5378" width="41.7109375" style="110" customWidth="1"/>
    <col min="5379" max="5379" width="12.28515625" style="110" customWidth="1"/>
    <col min="5380" max="5632" width="11.5703125" style="110"/>
    <col min="5633" max="5633" width="11" style="110" customWidth="1"/>
    <col min="5634" max="5634" width="41.7109375" style="110" customWidth="1"/>
    <col min="5635" max="5635" width="12.28515625" style="110" customWidth="1"/>
    <col min="5636" max="5888" width="11.5703125" style="110"/>
    <col min="5889" max="5889" width="11" style="110" customWidth="1"/>
    <col min="5890" max="5890" width="41.7109375" style="110" customWidth="1"/>
    <col min="5891" max="5891" width="12.28515625" style="110" customWidth="1"/>
    <col min="5892" max="6144" width="11.5703125" style="110"/>
    <col min="6145" max="6145" width="11" style="110" customWidth="1"/>
    <col min="6146" max="6146" width="41.7109375" style="110" customWidth="1"/>
    <col min="6147" max="6147" width="12.28515625" style="110" customWidth="1"/>
    <col min="6148" max="6400" width="11.5703125" style="110"/>
    <col min="6401" max="6401" width="11" style="110" customWidth="1"/>
    <col min="6402" max="6402" width="41.7109375" style="110" customWidth="1"/>
    <col min="6403" max="6403" width="12.28515625" style="110" customWidth="1"/>
    <col min="6404" max="6656" width="11.5703125" style="110"/>
    <col min="6657" max="6657" width="11" style="110" customWidth="1"/>
    <col min="6658" max="6658" width="41.7109375" style="110" customWidth="1"/>
    <col min="6659" max="6659" width="12.28515625" style="110" customWidth="1"/>
    <col min="6660" max="6912" width="11.5703125" style="110"/>
    <col min="6913" max="6913" width="11" style="110" customWidth="1"/>
    <col min="6914" max="6914" width="41.7109375" style="110" customWidth="1"/>
    <col min="6915" max="6915" width="12.28515625" style="110" customWidth="1"/>
    <col min="6916" max="7168" width="11.5703125" style="110"/>
    <col min="7169" max="7169" width="11" style="110" customWidth="1"/>
    <col min="7170" max="7170" width="41.7109375" style="110" customWidth="1"/>
    <col min="7171" max="7171" width="12.28515625" style="110" customWidth="1"/>
    <col min="7172" max="7424" width="11.5703125" style="110"/>
    <col min="7425" max="7425" width="11" style="110" customWidth="1"/>
    <col min="7426" max="7426" width="41.7109375" style="110" customWidth="1"/>
    <col min="7427" max="7427" width="12.28515625" style="110" customWidth="1"/>
    <col min="7428" max="7680" width="11.5703125" style="110"/>
    <col min="7681" max="7681" width="11" style="110" customWidth="1"/>
    <col min="7682" max="7682" width="41.7109375" style="110" customWidth="1"/>
    <col min="7683" max="7683" width="12.28515625" style="110" customWidth="1"/>
    <col min="7684" max="7936" width="11.5703125" style="110"/>
    <col min="7937" max="7937" width="11" style="110" customWidth="1"/>
    <col min="7938" max="7938" width="41.7109375" style="110" customWidth="1"/>
    <col min="7939" max="7939" width="12.28515625" style="110" customWidth="1"/>
    <col min="7940" max="8192" width="11.5703125" style="110"/>
    <col min="8193" max="8193" width="11" style="110" customWidth="1"/>
    <col min="8194" max="8194" width="41.7109375" style="110" customWidth="1"/>
    <col min="8195" max="8195" width="12.28515625" style="110" customWidth="1"/>
    <col min="8196" max="8448" width="11.5703125" style="110"/>
    <col min="8449" max="8449" width="11" style="110" customWidth="1"/>
    <col min="8450" max="8450" width="41.7109375" style="110" customWidth="1"/>
    <col min="8451" max="8451" width="12.28515625" style="110" customWidth="1"/>
    <col min="8452" max="8704" width="11.5703125" style="110"/>
    <col min="8705" max="8705" width="11" style="110" customWidth="1"/>
    <col min="8706" max="8706" width="41.7109375" style="110" customWidth="1"/>
    <col min="8707" max="8707" width="12.28515625" style="110" customWidth="1"/>
    <col min="8708" max="8960" width="11.5703125" style="110"/>
    <col min="8961" max="8961" width="11" style="110" customWidth="1"/>
    <col min="8962" max="8962" width="41.7109375" style="110" customWidth="1"/>
    <col min="8963" max="8963" width="12.28515625" style="110" customWidth="1"/>
    <col min="8964" max="9216" width="11.5703125" style="110"/>
    <col min="9217" max="9217" width="11" style="110" customWidth="1"/>
    <col min="9218" max="9218" width="41.7109375" style="110" customWidth="1"/>
    <col min="9219" max="9219" width="12.28515625" style="110" customWidth="1"/>
    <col min="9220" max="9472" width="11.5703125" style="110"/>
    <col min="9473" max="9473" width="11" style="110" customWidth="1"/>
    <col min="9474" max="9474" width="41.7109375" style="110" customWidth="1"/>
    <col min="9475" max="9475" width="12.28515625" style="110" customWidth="1"/>
    <col min="9476" max="9728" width="11.5703125" style="110"/>
    <col min="9729" max="9729" width="11" style="110" customWidth="1"/>
    <col min="9730" max="9730" width="41.7109375" style="110" customWidth="1"/>
    <col min="9731" max="9731" width="12.28515625" style="110" customWidth="1"/>
    <col min="9732" max="9984" width="11.5703125" style="110"/>
    <col min="9985" max="9985" width="11" style="110" customWidth="1"/>
    <col min="9986" max="9986" width="41.7109375" style="110" customWidth="1"/>
    <col min="9987" max="9987" width="12.28515625" style="110" customWidth="1"/>
    <col min="9988" max="10240" width="11.5703125" style="110"/>
    <col min="10241" max="10241" width="11" style="110" customWidth="1"/>
    <col min="10242" max="10242" width="41.7109375" style="110" customWidth="1"/>
    <col min="10243" max="10243" width="12.28515625" style="110" customWidth="1"/>
    <col min="10244" max="10496" width="11.5703125" style="110"/>
    <col min="10497" max="10497" width="11" style="110" customWidth="1"/>
    <col min="10498" max="10498" width="41.7109375" style="110" customWidth="1"/>
    <col min="10499" max="10499" width="12.28515625" style="110" customWidth="1"/>
    <col min="10500" max="10752" width="11.5703125" style="110"/>
    <col min="10753" max="10753" width="11" style="110" customWidth="1"/>
    <col min="10754" max="10754" width="41.7109375" style="110" customWidth="1"/>
    <col min="10755" max="10755" width="12.28515625" style="110" customWidth="1"/>
    <col min="10756" max="11008" width="11.5703125" style="110"/>
    <col min="11009" max="11009" width="11" style="110" customWidth="1"/>
    <col min="11010" max="11010" width="41.7109375" style="110" customWidth="1"/>
    <col min="11011" max="11011" width="12.28515625" style="110" customWidth="1"/>
    <col min="11012" max="11264" width="11.5703125" style="110"/>
    <col min="11265" max="11265" width="11" style="110" customWidth="1"/>
    <col min="11266" max="11266" width="41.7109375" style="110" customWidth="1"/>
    <col min="11267" max="11267" width="12.28515625" style="110" customWidth="1"/>
    <col min="11268" max="11520" width="11.5703125" style="110"/>
    <col min="11521" max="11521" width="11" style="110" customWidth="1"/>
    <col min="11522" max="11522" width="41.7109375" style="110" customWidth="1"/>
    <col min="11523" max="11523" width="12.28515625" style="110" customWidth="1"/>
    <col min="11524" max="11776" width="11.5703125" style="110"/>
    <col min="11777" max="11777" width="11" style="110" customWidth="1"/>
    <col min="11778" max="11778" width="41.7109375" style="110" customWidth="1"/>
    <col min="11779" max="11779" width="12.28515625" style="110" customWidth="1"/>
    <col min="11780" max="12032" width="11.5703125" style="110"/>
    <col min="12033" max="12033" width="11" style="110" customWidth="1"/>
    <col min="12034" max="12034" width="41.7109375" style="110" customWidth="1"/>
    <col min="12035" max="12035" width="12.28515625" style="110" customWidth="1"/>
    <col min="12036" max="12288" width="11.5703125" style="110"/>
    <col min="12289" max="12289" width="11" style="110" customWidth="1"/>
    <col min="12290" max="12290" width="41.7109375" style="110" customWidth="1"/>
    <col min="12291" max="12291" width="12.28515625" style="110" customWidth="1"/>
    <col min="12292" max="12544" width="11.5703125" style="110"/>
    <col min="12545" max="12545" width="11" style="110" customWidth="1"/>
    <col min="12546" max="12546" width="41.7109375" style="110" customWidth="1"/>
    <col min="12547" max="12547" width="12.28515625" style="110" customWidth="1"/>
    <col min="12548" max="12800" width="11.5703125" style="110"/>
    <col min="12801" max="12801" width="11" style="110" customWidth="1"/>
    <col min="12802" max="12802" width="41.7109375" style="110" customWidth="1"/>
    <col min="12803" max="12803" width="12.28515625" style="110" customWidth="1"/>
    <col min="12804" max="13056" width="11.5703125" style="110"/>
    <col min="13057" max="13057" width="11" style="110" customWidth="1"/>
    <col min="13058" max="13058" width="41.7109375" style="110" customWidth="1"/>
    <col min="13059" max="13059" width="12.28515625" style="110" customWidth="1"/>
    <col min="13060" max="13312" width="11.5703125" style="110"/>
    <col min="13313" max="13313" width="11" style="110" customWidth="1"/>
    <col min="13314" max="13314" width="41.7109375" style="110" customWidth="1"/>
    <col min="13315" max="13315" width="12.28515625" style="110" customWidth="1"/>
    <col min="13316" max="13568" width="11.5703125" style="110"/>
    <col min="13569" max="13569" width="11" style="110" customWidth="1"/>
    <col min="13570" max="13570" width="41.7109375" style="110" customWidth="1"/>
    <col min="13571" max="13571" width="12.28515625" style="110" customWidth="1"/>
    <col min="13572" max="13824" width="11.5703125" style="110"/>
    <col min="13825" max="13825" width="11" style="110" customWidth="1"/>
    <col min="13826" max="13826" width="41.7109375" style="110" customWidth="1"/>
    <col min="13827" max="13827" width="12.28515625" style="110" customWidth="1"/>
    <col min="13828" max="14080" width="11.5703125" style="110"/>
    <col min="14081" max="14081" width="11" style="110" customWidth="1"/>
    <col min="14082" max="14082" width="41.7109375" style="110" customWidth="1"/>
    <col min="14083" max="14083" width="12.28515625" style="110" customWidth="1"/>
    <col min="14084" max="14336" width="11.5703125" style="110"/>
    <col min="14337" max="14337" width="11" style="110" customWidth="1"/>
    <col min="14338" max="14338" width="41.7109375" style="110" customWidth="1"/>
    <col min="14339" max="14339" width="12.28515625" style="110" customWidth="1"/>
    <col min="14340" max="14592" width="11.5703125" style="110"/>
    <col min="14593" max="14593" width="11" style="110" customWidth="1"/>
    <col min="14594" max="14594" width="41.7109375" style="110" customWidth="1"/>
    <col min="14595" max="14595" width="12.28515625" style="110" customWidth="1"/>
    <col min="14596" max="14848" width="11.5703125" style="110"/>
    <col min="14849" max="14849" width="11" style="110" customWidth="1"/>
    <col min="14850" max="14850" width="41.7109375" style="110" customWidth="1"/>
    <col min="14851" max="14851" width="12.28515625" style="110" customWidth="1"/>
    <col min="14852" max="15104" width="11.5703125" style="110"/>
    <col min="15105" max="15105" width="11" style="110" customWidth="1"/>
    <col min="15106" max="15106" width="41.7109375" style="110" customWidth="1"/>
    <col min="15107" max="15107" width="12.28515625" style="110" customWidth="1"/>
    <col min="15108" max="15360" width="11.5703125" style="110"/>
    <col min="15361" max="15361" width="11" style="110" customWidth="1"/>
    <col min="15362" max="15362" width="41.7109375" style="110" customWidth="1"/>
    <col min="15363" max="15363" width="12.28515625" style="110" customWidth="1"/>
    <col min="15364" max="15616" width="11.5703125" style="110"/>
    <col min="15617" max="15617" width="11" style="110" customWidth="1"/>
    <col min="15618" max="15618" width="41.7109375" style="110" customWidth="1"/>
    <col min="15619" max="15619" width="12.28515625" style="110" customWidth="1"/>
    <col min="15620" max="15872" width="11.5703125" style="110"/>
    <col min="15873" max="15873" width="11" style="110" customWidth="1"/>
    <col min="15874" max="15874" width="41.7109375" style="110" customWidth="1"/>
    <col min="15875" max="15875" width="12.28515625" style="110" customWidth="1"/>
    <col min="15876" max="16128" width="11.5703125" style="110"/>
    <col min="16129" max="16129" width="11" style="110" customWidth="1"/>
    <col min="16130" max="16130" width="41.7109375" style="110" customWidth="1"/>
    <col min="16131" max="16131" width="12.28515625" style="110" customWidth="1"/>
    <col min="16132" max="16384" width="11.5703125" style="110"/>
  </cols>
  <sheetData>
    <row r="6" spans="1:5" ht="45.75" customHeight="1" x14ac:dyDescent="0.2">
      <c r="A6" s="144" t="str">
        <f>'[1]LEIS SOCIAIS'!B11</f>
        <v>OBRA:</v>
      </c>
      <c r="B6" s="224" t="s">
        <v>327</v>
      </c>
      <c r="C6" s="224"/>
      <c r="D6" s="112"/>
      <c r="E6" s="111"/>
    </row>
    <row r="7" spans="1:5" x14ac:dyDescent="0.2">
      <c r="D7" s="112"/>
      <c r="E7" s="143"/>
    </row>
    <row r="8" spans="1:5" x14ac:dyDescent="0.2">
      <c r="A8" s="226" t="s">
        <v>326</v>
      </c>
      <c r="B8" s="226"/>
      <c r="C8" s="226"/>
      <c r="D8" s="112"/>
      <c r="E8" s="111"/>
    </row>
    <row r="9" spans="1:5" x14ac:dyDescent="0.2">
      <c r="A9" s="230" t="str">
        <f>'P O '!A11:H11</f>
        <v>PROPONENTE: PREFEITURA MUNICIPAL DE SOUSA-PB</v>
      </c>
      <c r="B9" s="230"/>
      <c r="C9" s="230"/>
      <c r="D9" s="112"/>
      <c r="E9" s="111"/>
    </row>
    <row r="10" spans="1:5" x14ac:dyDescent="0.2">
      <c r="A10" s="145"/>
      <c r="B10" s="146"/>
      <c r="C10" s="147"/>
      <c r="D10" s="112"/>
      <c r="E10" s="111"/>
    </row>
    <row r="11" spans="1:5" x14ac:dyDescent="0.2">
      <c r="A11" s="113"/>
      <c r="B11" s="113"/>
      <c r="C11" s="113"/>
      <c r="D11" s="113"/>
    </row>
    <row r="12" spans="1:5" x14ac:dyDescent="0.2">
      <c r="A12" s="225" t="s">
        <v>217</v>
      </c>
      <c r="B12" s="225"/>
      <c r="C12" s="225"/>
      <c r="D12" s="113"/>
    </row>
    <row r="13" spans="1:5" x14ac:dyDescent="0.2">
      <c r="A13" s="227"/>
      <c r="B13" s="228"/>
      <c r="C13" s="229"/>
      <c r="D13" s="113"/>
    </row>
    <row r="14" spans="1:5" x14ac:dyDescent="0.2">
      <c r="A14" s="130"/>
      <c r="B14" s="131" t="s">
        <v>141</v>
      </c>
      <c r="C14" s="131" t="s">
        <v>218</v>
      </c>
      <c r="D14" s="113"/>
    </row>
    <row r="15" spans="1:5" x14ac:dyDescent="0.2">
      <c r="A15" s="132" t="s">
        <v>219</v>
      </c>
      <c r="B15" s="133" t="s">
        <v>220</v>
      </c>
      <c r="C15" s="132">
        <v>4.0099999999999997E-2</v>
      </c>
      <c r="D15" s="113"/>
    </row>
    <row r="16" spans="1:5" x14ac:dyDescent="0.2">
      <c r="A16" s="134" t="s">
        <v>13</v>
      </c>
      <c r="B16" s="135" t="s">
        <v>221</v>
      </c>
      <c r="C16" s="134">
        <v>5.5E-2</v>
      </c>
      <c r="D16" s="113"/>
    </row>
    <row r="17" spans="1:5" x14ac:dyDescent="0.2">
      <c r="A17" s="134" t="s">
        <v>222</v>
      </c>
      <c r="B17" s="135" t="s">
        <v>223</v>
      </c>
      <c r="C17" s="134">
        <v>1.11E-2</v>
      </c>
      <c r="D17" s="113"/>
    </row>
    <row r="18" spans="1:5" x14ac:dyDescent="0.2">
      <c r="A18" s="134"/>
      <c r="B18" s="135" t="s">
        <v>224</v>
      </c>
      <c r="C18" s="134">
        <f>SUM(C19:C21)</f>
        <v>9.6000000000000009E-3</v>
      </c>
      <c r="D18" s="113"/>
    </row>
    <row r="19" spans="1:5" x14ac:dyDescent="0.2">
      <c r="A19" s="134" t="s">
        <v>225</v>
      </c>
      <c r="B19" s="135" t="s">
        <v>226</v>
      </c>
      <c r="C19" s="134">
        <v>1.6000000000000001E-3</v>
      </c>
      <c r="D19" s="113"/>
    </row>
    <row r="20" spans="1:5" x14ac:dyDescent="0.2">
      <c r="A20" s="134" t="s">
        <v>227</v>
      </c>
      <c r="B20" s="135" t="s">
        <v>228</v>
      </c>
      <c r="C20" s="134">
        <v>2.3999999999999998E-3</v>
      </c>
      <c r="D20" s="113"/>
    </row>
    <row r="21" spans="1:5" x14ac:dyDescent="0.2">
      <c r="A21" s="134" t="s">
        <v>229</v>
      </c>
      <c r="B21" s="135" t="s">
        <v>230</v>
      </c>
      <c r="C21" s="134">
        <v>5.5999999999999999E-3</v>
      </c>
      <c r="D21" s="113"/>
    </row>
    <row r="22" spans="1:5" x14ac:dyDescent="0.2">
      <c r="A22" s="134" t="s">
        <v>231</v>
      </c>
      <c r="B22" s="136" t="s">
        <v>232</v>
      </c>
      <c r="C22" s="137">
        <f>SUM(C23:C27)</f>
        <v>0.1215</v>
      </c>
      <c r="D22" s="113"/>
    </row>
    <row r="23" spans="1:5" x14ac:dyDescent="0.2">
      <c r="A23" s="134"/>
      <c r="B23" s="138" t="s">
        <v>233</v>
      </c>
      <c r="C23" s="134">
        <v>2.5000000000000001E-2</v>
      </c>
      <c r="D23" s="113"/>
    </row>
    <row r="24" spans="1:5" ht="12.75" customHeight="1" x14ac:dyDescent="0.2">
      <c r="A24" s="134"/>
      <c r="B24" s="138" t="s">
        <v>234</v>
      </c>
      <c r="C24" s="134">
        <v>6.5000000000000006E-3</v>
      </c>
      <c r="D24" s="113"/>
    </row>
    <row r="25" spans="1:5" x14ac:dyDescent="0.2">
      <c r="A25" s="134"/>
      <c r="B25" s="138" t="s">
        <v>259</v>
      </c>
      <c r="C25" s="134">
        <v>1.4999999999999999E-2</v>
      </c>
      <c r="D25" s="113"/>
    </row>
    <row r="26" spans="1:5" x14ac:dyDescent="0.2">
      <c r="A26" s="134"/>
      <c r="B26" s="138" t="s">
        <v>235</v>
      </c>
      <c r="C26" s="134">
        <v>0.03</v>
      </c>
      <c r="D26" s="113"/>
    </row>
    <row r="27" spans="1:5" ht="12.75" customHeight="1" x14ac:dyDescent="0.2">
      <c r="A27" s="134"/>
      <c r="B27" s="138" t="s">
        <v>236</v>
      </c>
      <c r="C27" s="134">
        <v>4.4999999999999998E-2</v>
      </c>
      <c r="D27" s="113"/>
    </row>
    <row r="28" spans="1:5" x14ac:dyDescent="0.2">
      <c r="A28" s="139"/>
      <c r="B28" s="140" t="s">
        <v>237</v>
      </c>
      <c r="C28" s="139">
        <f>(((1+(C15+C18))*(1+C17)*(1+C16)/(1-C22))-1)</f>
        <v>0.27458851661923767</v>
      </c>
      <c r="D28" s="113"/>
    </row>
    <row r="29" spans="1:5" ht="12.75" customHeight="1" x14ac:dyDescent="0.2">
      <c r="A29" s="113"/>
      <c r="B29" s="113"/>
      <c r="C29" s="113"/>
      <c r="D29" s="113"/>
    </row>
    <row r="30" spans="1:5" x14ac:dyDescent="0.2">
      <c r="A30" s="113"/>
      <c r="B30" s="113"/>
      <c r="C30" s="113"/>
      <c r="D30" s="114"/>
    </row>
    <row r="31" spans="1:5" ht="39" customHeight="1" x14ac:dyDescent="2.8">
      <c r="A31" s="113"/>
      <c r="B31" s="113"/>
      <c r="C31" s="113"/>
      <c r="D31" s="114"/>
      <c r="E31" s="116"/>
    </row>
    <row r="32" spans="1:5" x14ac:dyDescent="0.2">
      <c r="A32" s="113"/>
      <c r="B32" s="113"/>
      <c r="C32" s="113"/>
      <c r="D32" s="114"/>
    </row>
    <row r="33" spans="1:4" x14ac:dyDescent="0.2">
      <c r="A33" s="114"/>
      <c r="B33" s="114" t="s">
        <v>238</v>
      </c>
      <c r="C33" s="114"/>
      <c r="D33" s="114"/>
    </row>
    <row r="34" spans="1:4" ht="12.75" customHeight="1" x14ac:dyDescent="0.2">
      <c r="A34" s="114"/>
      <c r="B34" s="115" t="s">
        <v>239</v>
      </c>
      <c r="C34" s="114"/>
      <c r="D34" s="118"/>
    </row>
    <row r="35" spans="1:4" x14ac:dyDescent="0.2">
      <c r="A35" s="114"/>
      <c r="B35" s="117" t="s">
        <v>240</v>
      </c>
      <c r="C35" s="114"/>
      <c r="D35" s="118"/>
    </row>
    <row r="36" spans="1:4" x14ac:dyDescent="0.2">
      <c r="A36" s="114"/>
      <c r="B36" s="117" t="s">
        <v>241</v>
      </c>
      <c r="C36" s="114"/>
      <c r="D36" s="114"/>
    </row>
    <row r="37" spans="1:4" ht="12.75" customHeight="1" x14ac:dyDescent="0.2">
      <c r="A37" s="114"/>
      <c r="B37" s="118" t="s">
        <v>242</v>
      </c>
      <c r="C37" s="118"/>
      <c r="D37" s="118"/>
    </row>
    <row r="38" spans="1:4" x14ac:dyDescent="0.2">
      <c r="A38" s="114"/>
      <c r="B38" s="118" t="s">
        <v>243</v>
      </c>
      <c r="C38" s="118"/>
      <c r="D38" s="118"/>
    </row>
    <row r="39" spans="1:4" ht="12.75" customHeight="1" x14ac:dyDescent="0.2">
      <c r="A39" s="114"/>
      <c r="B39" s="117" t="s">
        <v>244</v>
      </c>
      <c r="C39" s="114"/>
      <c r="D39" s="118"/>
    </row>
    <row r="40" spans="1:4" ht="22.5" x14ac:dyDescent="0.2">
      <c r="A40" s="114"/>
      <c r="B40" s="118" t="s">
        <v>260</v>
      </c>
      <c r="C40" s="118"/>
    </row>
    <row r="41" spans="1:4" x14ac:dyDescent="0.2">
      <c r="A41" s="114"/>
      <c r="B41" s="118" t="s">
        <v>245</v>
      </c>
      <c r="C41" s="118"/>
    </row>
    <row r="42" spans="1:4" ht="22.5" x14ac:dyDescent="0.2">
      <c r="A42" s="114"/>
      <c r="B42" s="118" t="s">
        <v>246</v>
      </c>
      <c r="C42" s="118"/>
    </row>
  </sheetData>
  <mergeCells count="5">
    <mergeCell ref="B6:C6"/>
    <mergeCell ref="A12:C12"/>
    <mergeCell ref="A8:C8"/>
    <mergeCell ref="A13:C13"/>
    <mergeCell ref="A9:C9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progId="Equation.3" shapeId="6146" r:id="rId3">
          <objectPr defaultSize="0" autoPict="0" r:id="rId4">
            <anchor moveWithCells="1">
              <from>
                <xdr:col>1</xdr:col>
                <xdr:colOff>123825</xdr:colOff>
                <xdr:row>28</xdr:row>
                <xdr:rowOff>66675</xdr:rowOff>
              </from>
              <to>
                <xdr:col>1</xdr:col>
                <xdr:colOff>2771775</xdr:colOff>
                <xdr:row>30</xdr:row>
                <xdr:rowOff>323850</xdr:rowOff>
              </to>
            </anchor>
          </objectPr>
        </oleObject>
      </mc:Choice>
      <mc:Fallback>
        <oleObject progId="Equation.3" shapeId="6146" r:id="rId3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49"/>
  <sheetViews>
    <sheetView workbookViewId="0">
      <selection activeCell="B3" sqref="B3:E3"/>
    </sheetView>
  </sheetViews>
  <sheetFormatPr defaultRowHeight="15" x14ac:dyDescent="0.25"/>
  <cols>
    <col min="2" max="2" width="11.7109375" customWidth="1"/>
    <col min="3" max="3" width="51" customWidth="1"/>
    <col min="4" max="4" width="14.5703125" customWidth="1"/>
    <col min="5" max="5" width="18.42578125" customWidth="1"/>
  </cols>
  <sheetData>
    <row r="3" spans="2:5" x14ac:dyDescent="0.25">
      <c r="B3" s="232"/>
      <c r="C3" s="232"/>
      <c r="D3" s="232"/>
      <c r="E3" s="232"/>
    </row>
    <row r="4" spans="2:5" x14ac:dyDescent="0.25">
      <c r="B4" s="232"/>
      <c r="C4" s="232"/>
      <c r="D4" s="232"/>
      <c r="E4" s="232"/>
    </row>
    <row r="5" spans="2:5" ht="15.75" x14ac:dyDescent="0.25">
      <c r="B5" s="141"/>
      <c r="C5" s="233"/>
      <c r="D5" s="233"/>
      <c r="E5" s="106"/>
    </row>
    <row r="6" spans="2:5" ht="36" customHeight="1" x14ac:dyDescent="0.25">
      <c r="B6" s="107" t="s">
        <v>261</v>
      </c>
      <c r="C6" s="234" t="s">
        <v>263</v>
      </c>
      <c r="D6" s="234"/>
      <c r="E6" s="234"/>
    </row>
    <row r="7" spans="2:5" x14ac:dyDescent="0.25">
      <c r="B7" s="107" t="s">
        <v>326</v>
      </c>
      <c r="C7" s="108"/>
      <c r="D7" s="105"/>
      <c r="E7" s="109"/>
    </row>
    <row r="8" spans="2:5" x14ac:dyDescent="0.25">
      <c r="B8" s="107" t="str">
        <f>BDI!A9</f>
        <v>PROPONENTE: PREFEITURA MUNICIPAL DE SOUSA-PB</v>
      </c>
      <c r="C8" s="108"/>
      <c r="D8" s="105"/>
      <c r="E8" s="106"/>
    </row>
    <row r="9" spans="2:5" x14ac:dyDescent="0.25">
      <c r="B9" s="107"/>
      <c r="C9" s="108"/>
      <c r="D9" s="105"/>
      <c r="E9" s="106"/>
    </row>
    <row r="10" spans="2:5" x14ac:dyDescent="0.25">
      <c r="B10" s="235" t="s">
        <v>145</v>
      </c>
      <c r="C10" s="235"/>
      <c r="D10" s="235"/>
      <c r="E10" s="235"/>
    </row>
    <row r="11" spans="2:5" ht="12.75" customHeight="1" x14ac:dyDescent="0.25">
      <c r="B11" s="148"/>
      <c r="C11" s="148"/>
      <c r="D11" s="231" t="s">
        <v>146</v>
      </c>
      <c r="E11" s="231"/>
    </row>
    <row r="12" spans="2:5" ht="18.75" customHeight="1" x14ac:dyDescent="0.25">
      <c r="B12" s="149" t="s">
        <v>147</v>
      </c>
      <c r="C12" s="150" t="s">
        <v>141</v>
      </c>
      <c r="D12" s="151" t="s">
        <v>148</v>
      </c>
      <c r="E12" s="151" t="s">
        <v>149</v>
      </c>
    </row>
    <row r="13" spans="2:5" x14ac:dyDescent="0.25">
      <c r="B13" s="149"/>
      <c r="C13" s="150"/>
      <c r="D13" s="151" t="s">
        <v>150</v>
      </c>
      <c r="E13" s="151" t="s">
        <v>150</v>
      </c>
    </row>
    <row r="14" spans="2:5" x14ac:dyDescent="0.25">
      <c r="B14" s="152"/>
      <c r="C14" s="153" t="s">
        <v>151</v>
      </c>
      <c r="D14" s="154"/>
      <c r="E14" s="154"/>
    </row>
    <row r="15" spans="2:5" x14ac:dyDescent="0.25">
      <c r="B15" s="155" t="s">
        <v>152</v>
      </c>
      <c r="C15" s="156" t="s">
        <v>153</v>
      </c>
      <c r="D15" s="157">
        <v>0</v>
      </c>
      <c r="E15" s="157">
        <v>0</v>
      </c>
    </row>
    <row r="16" spans="2:5" x14ac:dyDescent="0.25">
      <c r="B16" s="155" t="s">
        <v>154</v>
      </c>
      <c r="C16" s="156" t="s">
        <v>155</v>
      </c>
      <c r="D16" s="157">
        <v>1.5</v>
      </c>
      <c r="E16" s="157">
        <v>1.5</v>
      </c>
    </row>
    <row r="17" spans="2:5" x14ac:dyDescent="0.25">
      <c r="B17" s="155" t="s">
        <v>156</v>
      </c>
      <c r="C17" s="156" t="s">
        <v>157</v>
      </c>
      <c r="D17" s="157">
        <v>1</v>
      </c>
      <c r="E17" s="157">
        <v>1</v>
      </c>
    </row>
    <row r="18" spans="2:5" x14ac:dyDescent="0.25">
      <c r="B18" s="155" t="s">
        <v>158</v>
      </c>
      <c r="C18" s="156" t="s">
        <v>159</v>
      </c>
      <c r="D18" s="157">
        <v>0.2</v>
      </c>
      <c r="E18" s="157">
        <v>0.2</v>
      </c>
    </row>
    <row r="19" spans="2:5" x14ac:dyDescent="0.25">
      <c r="B19" s="155" t="s">
        <v>160</v>
      </c>
      <c r="C19" s="156" t="s">
        <v>161</v>
      </c>
      <c r="D19" s="157">
        <v>0.60000000000000009</v>
      </c>
      <c r="E19" s="157">
        <v>0.60000000000000009</v>
      </c>
    </row>
    <row r="20" spans="2:5" x14ac:dyDescent="0.25">
      <c r="B20" s="155" t="s">
        <v>162</v>
      </c>
      <c r="C20" s="156" t="s">
        <v>163</v>
      </c>
      <c r="D20" s="157">
        <v>2.5</v>
      </c>
      <c r="E20" s="157">
        <v>2.5</v>
      </c>
    </row>
    <row r="21" spans="2:5" x14ac:dyDescent="0.25">
      <c r="B21" s="155" t="s">
        <v>164</v>
      </c>
      <c r="C21" s="156" t="s">
        <v>165</v>
      </c>
      <c r="D21" s="157">
        <v>3</v>
      </c>
      <c r="E21" s="157">
        <v>3</v>
      </c>
    </row>
    <row r="22" spans="2:5" x14ac:dyDescent="0.25">
      <c r="B22" s="155" t="s">
        <v>166</v>
      </c>
      <c r="C22" s="156" t="s">
        <v>167</v>
      </c>
      <c r="D22" s="157">
        <v>8</v>
      </c>
      <c r="E22" s="157">
        <v>8</v>
      </c>
    </row>
    <row r="23" spans="2:5" x14ac:dyDescent="0.25">
      <c r="B23" s="155" t="s">
        <v>168</v>
      </c>
      <c r="C23" s="156" t="s">
        <v>169</v>
      </c>
      <c r="D23" s="157">
        <v>0</v>
      </c>
      <c r="E23" s="157">
        <v>0</v>
      </c>
    </row>
    <row r="24" spans="2:5" x14ac:dyDescent="0.25">
      <c r="B24" s="149" t="s">
        <v>170</v>
      </c>
      <c r="C24" s="158" t="s">
        <v>171</v>
      </c>
      <c r="D24" s="151">
        <f>SUM(D15:D23)</f>
        <v>16.8</v>
      </c>
      <c r="E24" s="151">
        <f>SUM(E15:E23)</f>
        <v>16.8</v>
      </c>
    </row>
    <row r="25" spans="2:5" x14ac:dyDescent="0.25">
      <c r="B25" s="152"/>
      <c r="C25" s="153" t="s">
        <v>172</v>
      </c>
      <c r="D25" s="154"/>
      <c r="E25" s="154"/>
    </row>
    <row r="26" spans="2:5" x14ac:dyDescent="0.25">
      <c r="B26" s="155" t="s">
        <v>173</v>
      </c>
      <c r="C26" s="156" t="s">
        <v>174</v>
      </c>
      <c r="D26" s="157">
        <v>18.010000000000002</v>
      </c>
      <c r="E26" s="157">
        <v>0</v>
      </c>
    </row>
    <row r="27" spans="2:5" x14ac:dyDescent="0.25">
      <c r="B27" s="155" t="s">
        <v>175</v>
      </c>
      <c r="C27" s="156" t="s">
        <v>176</v>
      </c>
      <c r="D27" s="157">
        <v>4.3</v>
      </c>
      <c r="E27" s="157">
        <v>0</v>
      </c>
    </row>
    <row r="28" spans="2:5" x14ac:dyDescent="0.25">
      <c r="B28" s="155" t="s">
        <v>177</v>
      </c>
      <c r="C28" s="156" t="s">
        <v>178</v>
      </c>
      <c r="D28" s="157">
        <v>0.87</v>
      </c>
      <c r="E28" s="157">
        <v>0.67</v>
      </c>
    </row>
    <row r="29" spans="2:5" x14ac:dyDescent="0.25">
      <c r="B29" s="155" t="s">
        <v>179</v>
      </c>
      <c r="C29" s="156" t="s">
        <v>180</v>
      </c>
      <c r="D29" s="157">
        <v>10.78</v>
      </c>
      <c r="E29" s="157">
        <v>8.33</v>
      </c>
    </row>
    <row r="30" spans="2:5" x14ac:dyDescent="0.25">
      <c r="B30" s="155" t="s">
        <v>181</v>
      </c>
      <c r="C30" s="156" t="s">
        <v>182</v>
      </c>
      <c r="D30" s="157">
        <v>7.0000000000000007E-2</v>
      </c>
      <c r="E30" s="157">
        <v>0.06</v>
      </c>
    </row>
    <row r="31" spans="2:5" x14ac:dyDescent="0.25">
      <c r="B31" s="155" t="s">
        <v>183</v>
      </c>
      <c r="C31" s="156" t="s">
        <v>184</v>
      </c>
      <c r="D31" s="157">
        <v>0.72</v>
      </c>
      <c r="E31" s="157">
        <v>0.56000000000000005</v>
      </c>
    </row>
    <row r="32" spans="2:5" x14ac:dyDescent="0.25">
      <c r="B32" s="155" t="s">
        <v>185</v>
      </c>
      <c r="C32" s="156" t="s">
        <v>186</v>
      </c>
      <c r="D32" s="157">
        <v>1.98</v>
      </c>
      <c r="E32" s="157">
        <v>0</v>
      </c>
    </row>
    <row r="33" spans="2:5" x14ac:dyDescent="0.25">
      <c r="B33" s="155" t="s">
        <v>187</v>
      </c>
      <c r="C33" s="156" t="s">
        <v>188</v>
      </c>
      <c r="D33" s="157">
        <v>0.11</v>
      </c>
      <c r="E33" s="157">
        <v>0.08</v>
      </c>
    </row>
    <row r="34" spans="2:5" x14ac:dyDescent="0.25">
      <c r="B34" s="155" t="s">
        <v>189</v>
      </c>
      <c r="C34" s="156" t="s">
        <v>190</v>
      </c>
      <c r="D34" s="157">
        <v>13.64</v>
      </c>
      <c r="E34" s="157">
        <v>10.55</v>
      </c>
    </row>
    <row r="35" spans="2:5" x14ac:dyDescent="0.25">
      <c r="B35" s="155" t="s">
        <v>191</v>
      </c>
      <c r="C35" s="156" t="s">
        <v>192</v>
      </c>
      <c r="D35" s="157">
        <v>0.03</v>
      </c>
      <c r="E35" s="157">
        <v>0.03</v>
      </c>
    </row>
    <row r="36" spans="2:5" ht="24.75" customHeight="1" x14ac:dyDescent="0.25">
      <c r="B36" s="149" t="s">
        <v>193</v>
      </c>
      <c r="C36" s="158" t="s">
        <v>194</v>
      </c>
      <c r="D36" s="151">
        <f>SUM(D26:D35)</f>
        <v>50.51</v>
      </c>
      <c r="E36" s="151">
        <f>SUM(E26:E35)</f>
        <v>20.28</v>
      </c>
    </row>
    <row r="37" spans="2:5" x14ac:dyDescent="0.25">
      <c r="B37" s="152"/>
      <c r="C37" s="153" t="s">
        <v>195</v>
      </c>
      <c r="D37" s="154"/>
      <c r="E37" s="154"/>
    </row>
    <row r="38" spans="2:5" x14ac:dyDescent="0.25">
      <c r="B38" s="155" t="s">
        <v>196</v>
      </c>
      <c r="C38" s="156" t="s">
        <v>197</v>
      </c>
      <c r="D38" s="157">
        <v>4.45</v>
      </c>
      <c r="E38" s="157">
        <v>3.45</v>
      </c>
    </row>
    <row r="39" spans="2:5" x14ac:dyDescent="0.25">
      <c r="B39" s="155" t="s">
        <v>198</v>
      </c>
      <c r="C39" s="156" t="s">
        <v>199</v>
      </c>
      <c r="D39" s="157">
        <v>0.1</v>
      </c>
      <c r="E39" s="157">
        <v>0.08</v>
      </c>
    </row>
    <row r="40" spans="2:5" x14ac:dyDescent="0.25">
      <c r="B40" s="155" t="s">
        <v>200</v>
      </c>
      <c r="C40" s="156" t="s">
        <v>201</v>
      </c>
      <c r="D40" s="157">
        <v>0.5</v>
      </c>
      <c r="E40" s="157">
        <v>0.39</v>
      </c>
    </row>
    <row r="41" spans="2:5" x14ac:dyDescent="0.25">
      <c r="B41" s="155" t="s">
        <v>202</v>
      </c>
      <c r="C41" s="156" t="s">
        <v>203</v>
      </c>
      <c r="D41" s="157">
        <v>4.0999999999999996</v>
      </c>
      <c r="E41" s="157">
        <v>3.17</v>
      </c>
    </row>
    <row r="42" spans="2:5" x14ac:dyDescent="0.25">
      <c r="B42" s="155" t="s">
        <v>204</v>
      </c>
      <c r="C42" s="156" t="s">
        <v>205</v>
      </c>
      <c r="D42" s="157">
        <v>0.37</v>
      </c>
      <c r="E42" s="157">
        <v>0.28999999999999998</v>
      </c>
    </row>
    <row r="43" spans="2:5" ht="24" customHeight="1" x14ac:dyDescent="0.25">
      <c r="B43" s="149" t="s">
        <v>206</v>
      </c>
      <c r="C43" s="158" t="s">
        <v>207</v>
      </c>
      <c r="D43" s="151">
        <f>SUM(D38:D42)</f>
        <v>9.5199999999999978</v>
      </c>
      <c r="E43" s="151">
        <f>SUM(E38:E42)</f>
        <v>7.38</v>
      </c>
    </row>
    <row r="44" spans="2:5" x14ac:dyDescent="0.25">
      <c r="B44" s="152"/>
      <c r="C44" s="153" t="s">
        <v>208</v>
      </c>
      <c r="D44" s="154"/>
      <c r="E44" s="154"/>
    </row>
    <row r="45" spans="2:5" x14ac:dyDescent="0.25">
      <c r="B45" s="155" t="s">
        <v>209</v>
      </c>
      <c r="C45" s="156" t="s">
        <v>210</v>
      </c>
      <c r="D45" s="157">
        <v>8.49</v>
      </c>
      <c r="E45" s="157">
        <v>3.41</v>
      </c>
    </row>
    <row r="46" spans="2:5" ht="24" x14ac:dyDescent="0.25">
      <c r="B46" s="155" t="s">
        <v>211</v>
      </c>
      <c r="C46" s="156" t="s">
        <v>212</v>
      </c>
      <c r="D46" s="157">
        <v>0.37</v>
      </c>
      <c r="E46" s="157">
        <v>0.28999999999999998</v>
      </c>
    </row>
    <row r="47" spans="2:5" x14ac:dyDescent="0.25">
      <c r="B47" s="149" t="s">
        <v>213</v>
      </c>
      <c r="C47" s="158" t="s">
        <v>214</v>
      </c>
      <c r="D47" s="151">
        <f>SUM(D45:D46)</f>
        <v>8.86</v>
      </c>
      <c r="E47" s="151">
        <f>SUM(E45:E46)</f>
        <v>3.7</v>
      </c>
    </row>
    <row r="48" spans="2:5" x14ac:dyDescent="0.25">
      <c r="B48" s="152"/>
      <c r="C48" s="153" t="s">
        <v>215</v>
      </c>
      <c r="D48" s="154"/>
      <c r="E48" s="154"/>
    </row>
    <row r="49" spans="2:5" x14ac:dyDescent="0.25">
      <c r="B49" s="156"/>
      <c r="C49" s="150" t="s">
        <v>216</v>
      </c>
      <c r="D49" s="151">
        <f>SUM(D16:D48)/2</f>
        <v>85.69</v>
      </c>
      <c r="E49" s="151">
        <f>SUM(E16:E48)/2</f>
        <v>48.160000000000011</v>
      </c>
    </row>
  </sheetData>
  <mergeCells count="6">
    <mergeCell ref="D11:E11"/>
    <mergeCell ref="B3:E3"/>
    <mergeCell ref="B4:E4"/>
    <mergeCell ref="C5:D5"/>
    <mergeCell ref="C6:E6"/>
    <mergeCell ref="B10: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Composições</vt:lpstr>
      <vt:lpstr>P O </vt:lpstr>
      <vt:lpstr>PLAN RESUMO</vt:lpstr>
      <vt:lpstr>CRONOGRAMA</vt:lpstr>
      <vt:lpstr>BDI</vt:lpstr>
      <vt:lpstr>ENCARGOS</vt:lpstr>
      <vt:lpstr>Composições!Area_de_impressao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Marinho</dc:creator>
  <cp:lastModifiedBy>Cliente</cp:lastModifiedBy>
  <cp:lastPrinted>2021-12-01T03:04:33Z</cp:lastPrinted>
  <dcterms:created xsi:type="dcterms:W3CDTF">2015-04-24T18:10:48Z</dcterms:created>
  <dcterms:modified xsi:type="dcterms:W3CDTF">2022-07-22T18:35:21Z</dcterms:modified>
</cp:coreProperties>
</file>