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ckup 2024\OBRAS RECURSOS PRÓPRIOS 2017\Projeto Alameda da Esperança\Secretaria de Educação\Reforma Secretaria Educação\Fiscalização\BM_18\"/>
    </mc:Choice>
  </mc:AlternateContent>
  <bookViews>
    <workbookView xWindow="0" yWindow="0" windowWidth="16815" windowHeight="7755" firstSheet="5" activeTab="6"/>
  </bookViews>
  <sheets>
    <sheet name="RESUMO COTAÇÕES" sheetId="41" state="hidden" r:id="rId1"/>
    <sheet name="REPROGRAMAÇÃO" sheetId="51" state="hidden" r:id="rId2"/>
    <sheet name="Preço novos" sheetId="50" state="hidden" r:id="rId3"/>
    <sheet name="Plan1" sheetId="53" state="hidden" r:id="rId4"/>
    <sheet name="Memorial" sheetId="52" state="hidden" r:id="rId5"/>
    <sheet name="BM18" sheetId="54" r:id="rId6"/>
    <sheet name="Memorial 18" sheetId="55" r:id="rId7"/>
    <sheet name="Plan2" sheetId="56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xlnm.Print_Area" localSheetId="5">'BM18'!$A$1:$L$293</definedName>
    <definedName name="_xlnm.Print_Area" localSheetId="0">'RESUMO COTAÇÕES'!$A$1:$BU$32</definedName>
    <definedName name="JR_PAGE_ANCHOR_0_1" localSheetId="5">[1]orcamento!#REF!</definedName>
    <definedName name="JR_PAGE_ANCHOR_0_1" localSheetId="6">[2]orcamento!#REF!</definedName>
    <definedName name="JR_PAGE_ANCHOR_0_1">[2]orcamento!#REF!</definedName>
    <definedName name="_xlnm.Print_Titles" localSheetId="0">'RESUMO COTAÇÕES'!$1:$11</definedName>
  </definedNames>
  <calcPr calcId="152511"/>
</workbook>
</file>

<file path=xl/calcChain.xml><?xml version="1.0" encoding="utf-8"?>
<calcChain xmlns="http://schemas.openxmlformats.org/spreadsheetml/2006/main">
  <c r="L97" i="55" l="1"/>
  <c r="L96" i="55"/>
  <c r="K97" i="55"/>
  <c r="K96" i="55"/>
  <c r="B94" i="55"/>
  <c r="B92" i="55"/>
  <c r="G195" i="54"/>
  <c r="L90" i="55"/>
  <c r="L87" i="55" s="1"/>
  <c r="K90" i="55"/>
  <c r="L89" i="55"/>
  <c r="K89" i="55"/>
  <c r="B87" i="55"/>
  <c r="A87" i="55"/>
  <c r="A82" i="55"/>
  <c r="H197" i="54"/>
  <c r="H198" i="54"/>
  <c r="H199" i="54"/>
  <c r="H200" i="54"/>
  <c r="H196" i="54"/>
  <c r="L85" i="55"/>
  <c r="L84" i="55"/>
  <c r="K85" i="55"/>
  <c r="K84" i="55"/>
  <c r="B82" i="55"/>
  <c r="B80" i="55"/>
  <c r="L51" i="55"/>
  <c r="K76" i="55"/>
  <c r="L76" i="55" s="1"/>
  <c r="K72" i="55"/>
  <c r="L72" i="55" s="1"/>
  <c r="K71" i="55"/>
  <c r="L71" i="55" s="1"/>
  <c r="K70" i="55"/>
  <c r="L70" i="55" s="1"/>
  <c r="K69" i="55"/>
  <c r="L69" i="55" s="1"/>
  <c r="K65" i="55"/>
  <c r="L65" i="55" s="1"/>
  <c r="K63" i="55"/>
  <c r="L63" i="55" s="1"/>
  <c r="K62" i="55"/>
  <c r="L62" i="55" s="1"/>
  <c r="K61" i="55"/>
  <c r="L61" i="55" s="1"/>
  <c r="K60" i="55"/>
  <c r="L60" i="55" s="1"/>
  <c r="K59" i="55"/>
  <c r="L59" i="55" s="1"/>
  <c r="K58" i="55"/>
  <c r="L58" i="55" s="1"/>
  <c r="K57" i="55"/>
  <c r="L57" i="55" s="1"/>
  <c r="L22" i="55"/>
  <c r="E43" i="55"/>
  <c r="K43" i="55" s="1"/>
  <c r="L43" i="55" s="1"/>
  <c r="E44" i="55"/>
  <c r="K44" i="55" s="1"/>
  <c r="L44" i="55" s="1"/>
  <c r="E45" i="55"/>
  <c r="K45" i="55" s="1"/>
  <c r="L45" i="55" s="1"/>
  <c r="K47" i="55"/>
  <c r="L47" i="55" s="1"/>
  <c r="K46" i="55"/>
  <c r="L46" i="55" s="1"/>
  <c r="K39" i="55"/>
  <c r="L39" i="55" s="1"/>
  <c r="K36" i="55"/>
  <c r="L36" i="55" s="1"/>
  <c r="K35" i="55"/>
  <c r="L35" i="55" s="1"/>
  <c r="K31" i="55"/>
  <c r="L31" i="55" s="1"/>
  <c r="K30" i="55"/>
  <c r="L30" i="55" s="1"/>
  <c r="B21" i="55"/>
  <c r="K42" i="55"/>
  <c r="L42" i="55" s="1"/>
  <c r="K41" i="55"/>
  <c r="L41" i="55" s="1"/>
  <c r="K40" i="55"/>
  <c r="L40" i="55" s="1"/>
  <c r="K38" i="55"/>
  <c r="L38" i="55" s="1"/>
  <c r="K37" i="55"/>
  <c r="L37" i="55" s="1"/>
  <c r="K34" i="55"/>
  <c r="L34" i="55" s="1"/>
  <c r="K33" i="55"/>
  <c r="L33" i="55" s="1"/>
  <c r="K32" i="55"/>
  <c r="L32" i="55" s="1"/>
  <c r="K29" i="55"/>
  <c r="L29" i="55" s="1"/>
  <c r="K28" i="55"/>
  <c r="L28" i="55" s="1"/>
  <c r="K27" i="55"/>
  <c r="L27" i="55" s="1"/>
  <c r="K26" i="55"/>
  <c r="L26" i="55" s="1"/>
  <c r="K25" i="55"/>
  <c r="L25" i="55" s="1"/>
  <c r="L94" i="55" l="1"/>
  <c r="L21" i="55"/>
  <c r="L82" i="55"/>
  <c r="L23" i="55"/>
  <c r="G118" i="54" s="1"/>
  <c r="B13" i="55" l="1"/>
  <c r="B11" i="55"/>
  <c r="K78" i="55"/>
  <c r="L78" i="55" s="1"/>
  <c r="K77" i="55"/>
  <c r="L77" i="55" s="1"/>
  <c r="K75" i="55"/>
  <c r="L75" i="55" s="1"/>
  <c r="K74" i="55"/>
  <c r="L74" i="55" s="1"/>
  <c r="K68" i="55"/>
  <c r="L68" i="55" s="1"/>
  <c r="K67" i="55"/>
  <c r="L67" i="55" s="1"/>
  <c r="K66" i="55"/>
  <c r="L66" i="55" s="1"/>
  <c r="K56" i="55"/>
  <c r="L56" i="55" s="1"/>
  <c r="K55" i="55"/>
  <c r="L55" i="55" s="1"/>
  <c r="K54" i="55"/>
  <c r="L54" i="55" s="1"/>
  <c r="G19" i="55"/>
  <c r="K19" i="55" s="1"/>
  <c r="L19" i="55" s="1"/>
  <c r="E18" i="55"/>
  <c r="K18" i="55" s="1"/>
  <c r="L18" i="55" s="1"/>
  <c r="K17" i="55"/>
  <c r="L17" i="55" s="1"/>
  <c r="K16" i="55"/>
  <c r="L16" i="55" s="1"/>
  <c r="K15" i="55"/>
  <c r="L15" i="55" s="1"/>
  <c r="L50" i="55" l="1"/>
  <c r="L13" i="55"/>
  <c r="L52" i="55"/>
  <c r="G120" i="54" s="1"/>
  <c r="H108" i="54" l="1"/>
  <c r="H84" i="54"/>
  <c r="B21" i="56" l="1"/>
  <c r="F10" i="56"/>
  <c r="K113" i="54" l="1"/>
  <c r="K114" i="54"/>
  <c r="K115" i="54"/>
  <c r="K116" i="54"/>
  <c r="K118" i="54"/>
  <c r="K119" i="54"/>
  <c r="J113" i="54"/>
  <c r="J114" i="54"/>
  <c r="J115" i="54"/>
  <c r="J116" i="54"/>
  <c r="J118" i="54"/>
  <c r="J119" i="54"/>
  <c r="J117" i="54" l="1"/>
  <c r="K117" i="54" l="1"/>
  <c r="J254" i="54" l="1"/>
  <c r="K254" i="54"/>
  <c r="J210" i="54"/>
  <c r="K210" i="54"/>
  <c r="J148" i="54"/>
  <c r="J149" i="54"/>
  <c r="J150" i="54"/>
  <c r="J151" i="54"/>
  <c r="J152" i="54"/>
  <c r="J153" i="54"/>
  <c r="J154" i="54"/>
  <c r="J155" i="54"/>
  <c r="J156" i="54"/>
  <c r="I101" i="54"/>
  <c r="I86" i="54" s="1"/>
  <c r="K63" i="54"/>
  <c r="K55" i="54"/>
  <c r="K53" i="54"/>
  <c r="I44" i="54"/>
  <c r="I55" i="54"/>
  <c r="I53" i="54"/>
  <c r="K34" i="54"/>
  <c r="K35" i="54"/>
  <c r="K36" i="54"/>
  <c r="K37" i="54"/>
  <c r="K38" i="54"/>
  <c r="K39" i="54"/>
  <c r="K40" i="54"/>
  <c r="K41" i="54"/>
  <c r="K42" i="54"/>
  <c r="K33" i="54"/>
  <c r="K19" i="54"/>
  <c r="I19" i="54"/>
  <c r="H160" i="54" l="1"/>
  <c r="H161" i="54"/>
  <c r="H162" i="54"/>
  <c r="H163" i="54"/>
  <c r="H164" i="54"/>
  <c r="H165" i="54"/>
  <c r="H166" i="54"/>
  <c r="H167" i="54"/>
  <c r="H159" i="54"/>
  <c r="H149" i="54"/>
  <c r="H150" i="54"/>
  <c r="H151" i="54"/>
  <c r="H152" i="54"/>
  <c r="H153" i="54"/>
  <c r="H154" i="54"/>
  <c r="H155" i="54"/>
  <c r="H156" i="54"/>
  <c r="H148" i="54"/>
  <c r="H139" i="54"/>
  <c r="H140" i="54"/>
  <c r="H141" i="54"/>
  <c r="H142" i="54"/>
  <c r="H143" i="54"/>
  <c r="H144" i="54"/>
  <c r="H145" i="54"/>
  <c r="H138" i="54"/>
  <c r="H212" i="54"/>
  <c r="H213" i="54"/>
  <c r="H214" i="54"/>
  <c r="H215" i="54"/>
  <c r="H216" i="54"/>
  <c r="H217" i="54"/>
  <c r="H218" i="54"/>
  <c r="H219" i="54"/>
  <c r="H220" i="54"/>
  <c r="H221" i="54"/>
  <c r="H222" i="54"/>
  <c r="H223" i="54"/>
  <c r="H224" i="54"/>
  <c r="H225" i="54"/>
  <c r="H226" i="54"/>
  <c r="H227" i="54"/>
  <c r="H228" i="54"/>
  <c r="H229" i="54"/>
  <c r="H230" i="54"/>
  <c r="H231" i="54"/>
  <c r="H232" i="54"/>
  <c r="H233" i="54"/>
  <c r="H234" i="54"/>
  <c r="H235" i="54"/>
  <c r="H236" i="54"/>
  <c r="H237" i="54"/>
  <c r="H238" i="54"/>
  <c r="H239" i="54"/>
  <c r="H240" i="54"/>
  <c r="H211" i="54"/>
  <c r="H244" i="54"/>
  <c r="H247" i="54"/>
  <c r="H248" i="54"/>
  <c r="H249" i="54"/>
  <c r="H250" i="54"/>
  <c r="H251" i="54"/>
  <c r="H252" i="54"/>
  <c r="H243" i="54"/>
  <c r="H261" i="54"/>
  <c r="H263" i="54"/>
  <c r="H264" i="54"/>
  <c r="H268" i="54"/>
  <c r="H269" i="54"/>
  <c r="H271" i="54"/>
  <c r="H272" i="54"/>
  <c r="H255" i="54"/>
  <c r="H204" i="54"/>
  <c r="H203" i="54"/>
  <c r="H94" i="54"/>
  <c r="H92" i="54"/>
  <c r="H90" i="54"/>
  <c r="H64" i="54"/>
  <c r="H125" i="54" l="1"/>
  <c r="F33" i="54" l="1"/>
  <c r="F34" i="54"/>
  <c r="F35" i="54"/>
  <c r="F36" i="54"/>
  <c r="F37" i="54"/>
  <c r="F38" i="54"/>
  <c r="F39" i="54"/>
  <c r="F40" i="54"/>
  <c r="F41" i="54"/>
  <c r="F42" i="54"/>
  <c r="F46" i="54"/>
  <c r="F47" i="54"/>
  <c r="F48" i="54"/>
  <c r="F49" i="54"/>
  <c r="F50" i="54"/>
  <c r="F51" i="54"/>
  <c r="F52" i="54"/>
  <c r="F54" i="54"/>
  <c r="F56" i="54"/>
  <c r="F57" i="54"/>
  <c r="F58" i="54"/>
  <c r="F59" i="54"/>
  <c r="F60" i="54"/>
  <c r="F61" i="54"/>
  <c r="F64" i="54"/>
  <c r="F65" i="54"/>
  <c r="F68" i="54"/>
  <c r="F69" i="54"/>
  <c r="F70" i="54"/>
  <c r="F71" i="54"/>
  <c r="F72" i="54"/>
  <c r="F73" i="54"/>
  <c r="F74" i="54"/>
  <c r="F75" i="54"/>
  <c r="F76" i="54"/>
  <c r="F77" i="54"/>
  <c r="F78" i="54"/>
  <c r="F79" i="54"/>
  <c r="F80" i="54"/>
  <c r="F81" i="54"/>
  <c r="F82" i="54"/>
  <c r="F83" i="54"/>
  <c r="F84" i="54"/>
  <c r="F88" i="54"/>
  <c r="F89" i="54"/>
  <c r="F90" i="54"/>
  <c r="F91" i="54"/>
  <c r="F92" i="54"/>
  <c r="F93" i="54"/>
  <c r="F94" i="54"/>
  <c r="F95" i="54"/>
  <c r="F96" i="54"/>
  <c r="F97" i="54"/>
  <c r="F98" i="54"/>
  <c r="F99" i="54"/>
  <c r="F102" i="54"/>
  <c r="F103" i="54"/>
  <c r="F104" i="54"/>
  <c r="F105" i="54"/>
  <c r="F106" i="54"/>
  <c r="F107" i="54"/>
  <c r="F108" i="54"/>
  <c r="F109" i="54"/>
  <c r="F110" i="54"/>
  <c r="F113" i="54"/>
  <c r="F114" i="54"/>
  <c r="F115" i="54"/>
  <c r="F116" i="54"/>
  <c r="F117" i="54"/>
  <c r="F118" i="54"/>
  <c r="F119" i="54"/>
  <c r="F120" i="54"/>
  <c r="F123" i="54"/>
  <c r="F124" i="54"/>
  <c r="F125" i="54"/>
  <c r="F126" i="54"/>
  <c r="F127" i="54"/>
  <c r="F128" i="54"/>
  <c r="F129" i="54"/>
  <c r="F130" i="54"/>
  <c r="F131" i="54"/>
  <c r="F132" i="54"/>
  <c r="F133" i="54"/>
  <c r="F134" i="54"/>
  <c r="F138" i="54"/>
  <c r="F139" i="54"/>
  <c r="F140" i="54"/>
  <c r="F141" i="54"/>
  <c r="F142" i="54"/>
  <c r="F143" i="54"/>
  <c r="F144" i="54"/>
  <c r="F145" i="54"/>
  <c r="F148" i="54"/>
  <c r="F149" i="54"/>
  <c r="F150" i="54"/>
  <c r="F151" i="54"/>
  <c r="F152" i="54"/>
  <c r="F153" i="54"/>
  <c r="F154" i="54"/>
  <c r="F155" i="54"/>
  <c r="F156" i="54"/>
  <c r="F159" i="54"/>
  <c r="F160" i="54"/>
  <c r="F161" i="54"/>
  <c r="F162" i="54"/>
  <c r="F163" i="54"/>
  <c r="F164" i="54"/>
  <c r="F165" i="54"/>
  <c r="F166" i="54"/>
  <c r="F167" i="54"/>
  <c r="F170" i="54"/>
  <c r="F171" i="54"/>
  <c r="F172" i="54"/>
  <c r="F173" i="54"/>
  <c r="F174" i="54"/>
  <c r="F175" i="54"/>
  <c r="F176" i="54"/>
  <c r="F177" i="54"/>
  <c r="F178" i="54"/>
  <c r="F179" i="54"/>
  <c r="F180" i="54"/>
  <c r="F181" i="54"/>
  <c r="F182" i="54"/>
  <c r="F183" i="54"/>
  <c r="F184" i="54"/>
  <c r="F185" i="54"/>
  <c r="F186" i="54"/>
  <c r="F187" i="54"/>
  <c r="F188" i="54"/>
  <c r="F189" i="54"/>
  <c r="F190" i="54"/>
  <c r="F191" i="54"/>
  <c r="F192" i="54"/>
  <c r="F193" i="54"/>
  <c r="F194" i="54"/>
  <c r="F195" i="54"/>
  <c r="F196" i="54"/>
  <c r="F197" i="54"/>
  <c r="F198" i="54"/>
  <c r="F199" i="54"/>
  <c r="F200" i="54"/>
  <c r="F201" i="54"/>
  <c r="F202" i="54"/>
  <c r="F203" i="54"/>
  <c r="F204" i="54"/>
  <c r="F205" i="54"/>
  <c r="F206" i="54"/>
  <c r="F207" i="54"/>
  <c r="F208" i="54"/>
  <c r="F211" i="54"/>
  <c r="F212" i="54"/>
  <c r="F213" i="54"/>
  <c r="F214" i="54"/>
  <c r="F215" i="54"/>
  <c r="F216" i="54"/>
  <c r="F217" i="54"/>
  <c r="F218" i="54"/>
  <c r="F219" i="54"/>
  <c r="F220" i="54"/>
  <c r="F221" i="54"/>
  <c r="F222" i="54"/>
  <c r="F223" i="54"/>
  <c r="F224" i="54"/>
  <c r="F225" i="54"/>
  <c r="F226" i="54"/>
  <c r="F227" i="54"/>
  <c r="F228" i="54"/>
  <c r="F229" i="54"/>
  <c r="F230" i="54"/>
  <c r="F231" i="54"/>
  <c r="F232" i="54"/>
  <c r="F233" i="54"/>
  <c r="F234" i="54"/>
  <c r="F235" i="54"/>
  <c r="F236" i="54"/>
  <c r="F237" i="54"/>
  <c r="F238" i="54"/>
  <c r="F239" i="54"/>
  <c r="F240" i="54"/>
  <c r="F243" i="54"/>
  <c r="F244" i="54"/>
  <c r="F245" i="54"/>
  <c r="F246" i="54"/>
  <c r="F247" i="54"/>
  <c r="F248" i="54"/>
  <c r="F249" i="54"/>
  <c r="F250" i="54"/>
  <c r="F251" i="54"/>
  <c r="F255" i="54"/>
  <c r="F258" i="54"/>
  <c r="F259" i="54"/>
  <c r="F260" i="54"/>
  <c r="F261" i="54"/>
  <c r="F262" i="54"/>
  <c r="F263" i="54"/>
  <c r="F264" i="54"/>
  <c r="F265" i="54"/>
  <c r="F266" i="54"/>
  <c r="F267" i="54"/>
  <c r="F268" i="54"/>
  <c r="F269" i="54"/>
  <c r="F270" i="54"/>
  <c r="F271" i="54"/>
  <c r="F272" i="54"/>
  <c r="F275" i="54"/>
  <c r="F276" i="54"/>
  <c r="F277" i="54"/>
  <c r="F278" i="54"/>
  <c r="F279" i="54"/>
  <c r="F280" i="54"/>
  <c r="F281" i="54"/>
  <c r="F282" i="54"/>
  <c r="E21" i="54"/>
  <c r="E22" i="54"/>
  <c r="E23" i="54"/>
  <c r="E24" i="54"/>
  <c r="E25" i="54"/>
  <c r="E26" i="54"/>
  <c r="E27" i="54"/>
  <c r="E28" i="54"/>
  <c r="I28" i="54" s="1"/>
  <c r="E29" i="54"/>
  <c r="E30" i="54"/>
  <c r="E33" i="54"/>
  <c r="E34" i="54"/>
  <c r="E35" i="54"/>
  <c r="E36" i="54"/>
  <c r="E37" i="54"/>
  <c r="E38" i="54"/>
  <c r="E39" i="54"/>
  <c r="E40" i="54"/>
  <c r="E41" i="54"/>
  <c r="E42" i="54"/>
  <c r="E46" i="54"/>
  <c r="E47" i="54"/>
  <c r="E48" i="54"/>
  <c r="E49" i="54"/>
  <c r="I49" i="54" s="1"/>
  <c r="E50" i="54"/>
  <c r="E51" i="54"/>
  <c r="E52" i="54"/>
  <c r="E54" i="54"/>
  <c r="E56" i="54"/>
  <c r="E57" i="54"/>
  <c r="E58" i="54"/>
  <c r="E59" i="54"/>
  <c r="E60" i="54"/>
  <c r="E61" i="54"/>
  <c r="E64" i="54"/>
  <c r="E65" i="54"/>
  <c r="E68" i="54"/>
  <c r="E69" i="54"/>
  <c r="E70" i="54"/>
  <c r="E71" i="54"/>
  <c r="I71" i="54" s="1"/>
  <c r="E72" i="54"/>
  <c r="E73" i="54"/>
  <c r="E74" i="54"/>
  <c r="E75" i="54"/>
  <c r="E76" i="54"/>
  <c r="E77" i="54"/>
  <c r="E78" i="54"/>
  <c r="E79" i="54"/>
  <c r="E80" i="54"/>
  <c r="E81" i="54"/>
  <c r="E82" i="54"/>
  <c r="E83" i="54"/>
  <c r="E84" i="54"/>
  <c r="E88" i="54"/>
  <c r="E89" i="54"/>
  <c r="E90" i="54"/>
  <c r="E91" i="54"/>
  <c r="E92" i="54"/>
  <c r="E93" i="54"/>
  <c r="E94" i="54"/>
  <c r="E95" i="54"/>
  <c r="E96" i="54"/>
  <c r="E97" i="54"/>
  <c r="E98" i="54"/>
  <c r="E99" i="54"/>
  <c r="E102" i="54"/>
  <c r="E103" i="54"/>
  <c r="E104" i="54"/>
  <c r="E105" i="54"/>
  <c r="E106" i="54"/>
  <c r="E107" i="54"/>
  <c r="E108" i="54"/>
  <c r="I108" i="54" s="1"/>
  <c r="E109" i="54"/>
  <c r="E110" i="54"/>
  <c r="E113" i="54"/>
  <c r="E114" i="54"/>
  <c r="E115" i="54"/>
  <c r="E116" i="54"/>
  <c r="E117" i="54"/>
  <c r="E118" i="54"/>
  <c r="E119" i="54"/>
  <c r="E120" i="54"/>
  <c r="E123" i="54"/>
  <c r="E124" i="54"/>
  <c r="E125" i="54"/>
  <c r="E126" i="54"/>
  <c r="E127" i="54"/>
  <c r="E128" i="54"/>
  <c r="E129" i="54"/>
  <c r="E130" i="54"/>
  <c r="E131" i="54"/>
  <c r="E132" i="54"/>
  <c r="E133" i="54"/>
  <c r="E134" i="54"/>
  <c r="E138" i="54"/>
  <c r="E139" i="54"/>
  <c r="I139" i="54" s="1"/>
  <c r="E140" i="54"/>
  <c r="E141" i="54"/>
  <c r="E142" i="54"/>
  <c r="E143" i="54"/>
  <c r="E144" i="54"/>
  <c r="E145" i="54"/>
  <c r="E148" i="54"/>
  <c r="E149" i="54"/>
  <c r="I149" i="54" s="1"/>
  <c r="E150" i="54"/>
  <c r="E151" i="54"/>
  <c r="E152" i="54"/>
  <c r="E153" i="54"/>
  <c r="E154" i="54"/>
  <c r="E155" i="54"/>
  <c r="E156" i="54"/>
  <c r="E159" i="54"/>
  <c r="E160" i="54"/>
  <c r="E161" i="54"/>
  <c r="E162" i="54"/>
  <c r="E163" i="54"/>
  <c r="E164" i="54"/>
  <c r="E165" i="54"/>
  <c r="E166" i="54"/>
  <c r="E167" i="54"/>
  <c r="E170" i="54"/>
  <c r="E171" i="54"/>
  <c r="E172" i="54"/>
  <c r="E173" i="54"/>
  <c r="E174" i="54"/>
  <c r="E175" i="54"/>
  <c r="E176" i="54"/>
  <c r="E177" i="54"/>
  <c r="I177" i="54" s="1"/>
  <c r="E178" i="54"/>
  <c r="E179" i="54"/>
  <c r="E180" i="54"/>
  <c r="E181" i="54"/>
  <c r="E182" i="54"/>
  <c r="E183" i="54"/>
  <c r="E184" i="54"/>
  <c r="E185" i="54"/>
  <c r="E186" i="54"/>
  <c r="E187" i="54"/>
  <c r="E188" i="54"/>
  <c r="E189" i="54"/>
  <c r="E190" i="54"/>
  <c r="E191" i="54"/>
  <c r="E192" i="54"/>
  <c r="E193" i="54"/>
  <c r="I193" i="54" s="1"/>
  <c r="E194" i="54"/>
  <c r="E195" i="54"/>
  <c r="E196" i="54"/>
  <c r="E197" i="54"/>
  <c r="E198" i="54"/>
  <c r="E199" i="54"/>
  <c r="E200" i="54"/>
  <c r="E201" i="54"/>
  <c r="E202" i="54"/>
  <c r="E203" i="54"/>
  <c r="E204" i="54"/>
  <c r="E205" i="54"/>
  <c r="E206" i="54"/>
  <c r="E207" i="54"/>
  <c r="E208" i="54"/>
  <c r="E211" i="54"/>
  <c r="I211" i="54" s="1"/>
  <c r="E212" i="54"/>
  <c r="E213" i="54"/>
  <c r="E214" i="54"/>
  <c r="E215" i="54"/>
  <c r="E216" i="54"/>
  <c r="E217" i="54"/>
  <c r="E218" i="54"/>
  <c r="E219" i="54"/>
  <c r="E220" i="54"/>
  <c r="E221" i="54"/>
  <c r="E222" i="54"/>
  <c r="E223" i="54"/>
  <c r="E224" i="54"/>
  <c r="E225" i="54"/>
  <c r="E226" i="54"/>
  <c r="E227" i="54"/>
  <c r="E228" i="54"/>
  <c r="E229" i="54"/>
  <c r="E230" i="54"/>
  <c r="E231" i="54"/>
  <c r="E232" i="54"/>
  <c r="E233" i="54"/>
  <c r="E234" i="54"/>
  <c r="E235" i="54"/>
  <c r="I235" i="54" s="1"/>
  <c r="E236" i="54"/>
  <c r="E237" i="54"/>
  <c r="E238" i="54"/>
  <c r="E239" i="54"/>
  <c r="E240" i="54"/>
  <c r="E243" i="54"/>
  <c r="E244" i="54"/>
  <c r="E245" i="54"/>
  <c r="E246" i="54"/>
  <c r="E247" i="54"/>
  <c r="E248" i="54"/>
  <c r="E249" i="54"/>
  <c r="E250" i="54"/>
  <c r="E251" i="54"/>
  <c r="E252" i="54"/>
  <c r="E255" i="54"/>
  <c r="I255" i="54" s="1"/>
  <c r="I254" i="54" s="1"/>
  <c r="E258" i="54"/>
  <c r="E259" i="54"/>
  <c r="E260" i="54"/>
  <c r="E261" i="54"/>
  <c r="E262" i="54"/>
  <c r="E263" i="54"/>
  <c r="E264" i="54"/>
  <c r="E265" i="54"/>
  <c r="E266" i="54"/>
  <c r="E267" i="54"/>
  <c r="E268" i="54"/>
  <c r="E269" i="54"/>
  <c r="E270" i="54"/>
  <c r="E271" i="54"/>
  <c r="E272" i="54"/>
  <c r="E275" i="54"/>
  <c r="E276" i="54"/>
  <c r="E277" i="54"/>
  <c r="E278" i="54"/>
  <c r="E279" i="54"/>
  <c r="E280" i="54"/>
  <c r="E281" i="54"/>
  <c r="E282" i="54"/>
  <c r="E20" i="54"/>
  <c r="I20" i="54" s="1"/>
  <c r="C20" i="54"/>
  <c r="C21" i="54"/>
  <c r="C22" i="54"/>
  <c r="C23" i="54"/>
  <c r="C24" i="54"/>
  <c r="C25" i="54"/>
  <c r="C26" i="54"/>
  <c r="C27" i="54"/>
  <c r="C28" i="54"/>
  <c r="C29" i="54"/>
  <c r="C30" i="54"/>
  <c r="C33" i="54"/>
  <c r="C34" i="54"/>
  <c r="C35" i="54"/>
  <c r="C36" i="54"/>
  <c r="C37" i="54"/>
  <c r="C38" i="54"/>
  <c r="C39" i="54"/>
  <c r="C40" i="54"/>
  <c r="C41" i="54"/>
  <c r="C42" i="54"/>
  <c r="C46" i="54"/>
  <c r="C47" i="54"/>
  <c r="C48" i="54"/>
  <c r="C49" i="54"/>
  <c r="C50" i="54"/>
  <c r="C51" i="54"/>
  <c r="C52" i="54"/>
  <c r="C54" i="54"/>
  <c r="C56" i="54"/>
  <c r="C57" i="54"/>
  <c r="C58" i="54"/>
  <c r="C59" i="54"/>
  <c r="C60" i="54"/>
  <c r="C61" i="54"/>
  <c r="C64" i="54"/>
  <c r="C65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2" i="54"/>
  <c r="C103" i="54"/>
  <c r="C104" i="54"/>
  <c r="C105" i="54"/>
  <c r="C106" i="54"/>
  <c r="C107" i="54"/>
  <c r="C108" i="54"/>
  <c r="C109" i="54"/>
  <c r="C110" i="54"/>
  <c r="C113" i="54"/>
  <c r="C114" i="54"/>
  <c r="C115" i="54"/>
  <c r="C116" i="54"/>
  <c r="C117" i="54"/>
  <c r="C118" i="54"/>
  <c r="C119" i="54"/>
  <c r="C120" i="54"/>
  <c r="C123" i="54"/>
  <c r="C124" i="54"/>
  <c r="C125" i="54"/>
  <c r="C126" i="54"/>
  <c r="C127" i="54"/>
  <c r="C128" i="54"/>
  <c r="C129" i="54"/>
  <c r="C130" i="54"/>
  <c r="C131" i="54"/>
  <c r="C132" i="54"/>
  <c r="C133" i="54"/>
  <c r="C134" i="54"/>
  <c r="C138" i="54"/>
  <c r="C139" i="54"/>
  <c r="C140" i="54"/>
  <c r="C141" i="54"/>
  <c r="C142" i="54"/>
  <c r="C143" i="54"/>
  <c r="C144" i="54"/>
  <c r="C145" i="54"/>
  <c r="C148" i="54"/>
  <c r="C149" i="54"/>
  <c r="C150" i="54"/>
  <c r="C151" i="54"/>
  <c r="C152" i="54"/>
  <c r="C153" i="54"/>
  <c r="C154" i="54"/>
  <c r="C155" i="54"/>
  <c r="C156" i="54"/>
  <c r="C159" i="54"/>
  <c r="C160" i="54"/>
  <c r="C161" i="54"/>
  <c r="C162" i="54"/>
  <c r="C163" i="54"/>
  <c r="C164" i="54"/>
  <c r="C165" i="54"/>
  <c r="C166" i="54"/>
  <c r="C167" i="54"/>
  <c r="C170" i="54"/>
  <c r="C171" i="54"/>
  <c r="C172" i="54"/>
  <c r="C173" i="54"/>
  <c r="C174" i="54"/>
  <c r="C175" i="54"/>
  <c r="C176" i="54"/>
  <c r="C177" i="54"/>
  <c r="C178" i="54"/>
  <c r="C179" i="54"/>
  <c r="C180" i="54"/>
  <c r="C181" i="54"/>
  <c r="C182" i="54"/>
  <c r="C183" i="54"/>
  <c r="C184" i="54"/>
  <c r="C185" i="54"/>
  <c r="C186" i="54"/>
  <c r="C187" i="54"/>
  <c r="C188" i="54"/>
  <c r="C189" i="54"/>
  <c r="C190" i="54"/>
  <c r="C191" i="54"/>
  <c r="C192" i="54"/>
  <c r="C193" i="54"/>
  <c r="C194" i="54"/>
  <c r="C195" i="54"/>
  <c r="C196" i="54"/>
  <c r="C197" i="54"/>
  <c r="C198" i="54"/>
  <c r="C199" i="54"/>
  <c r="C200" i="54"/>
  <c r="C201" i="54"/>
  <c r="C202" i="54"/>
  <c r="C203" i="54"/>
  <c r="C204" i="54"/>
  <c r="C205" i="54"/>
  <c r="C206" i="54"/>
  <c r="C207" i="54"/>
  <c r="C208" i="54"/>
  <c r="C211" i="54"/>
  <c r="C212" i="54"/>
  <c r="C213" i="54"/>
  <c r="C214" i="54"/>
  <c r="C215" i="54"/>
  <c r="C216" i="54"/>
  <c r="C217" i="54"/>
  <c r="C218" i="54"/>
  <c r="C219" i="54"/>
  <c r="C220" i="54"/>
  <c r="C221" i="54"/>
  <c r="C222" i="54"/>
  <c r="C223" i="54"/>
  <c r="C224" i="54"/>
  <c r="C225" i="54"/>
  <c r="C226" i="54"/>
  <c r="C227" i="54"/>
  <c r="C228" i="54"/>
  <c r="C229" i="54"/>
  <c r="C230" i="54"/>
  <c r="C231" i="54"/>
  <c r="C232" i="54"/>
  <c r="C233" i="54"/>
  <c r="C234" i="54"/>
  <c r="C235" i="54"/>
  <c r="C236" i="54"/>
  <c r="C237" i="54"/>
  <c r="C238" i="54"/>
  <c r="C239" i="54"/>
  <c r="C240" i="54"/>
  <c r="C243" i="54"/>
  <c r="C244" i="54"/>
  <c r="C245" i="54"/>
  <c r="C246" i="54"/>
  <c r="C247" i="54"/>
  <c r="C248" i="54"/>
  <c r="C249" i="54"/>
  <c r="C250" i="54"/>
  <c r="C251" i="54"/>
  <c r="C252" i="54"/>
  <c r="C255" i="54"/>
  <c r="C258" i="54"/>
  <c r="C259" i="54"/>
  <c r="C260" i="54"/>
  <c r="C261" i="54"/>
  <c r="C262" i="54"/>
  <c r="C263" i="54"/>
  <c r="C264" i="54"/>
  <c r="C265" i="54"/>
  <c r="C266" i="54"/>
  <c r="C267" i="54"/>
  <c r="C268" i="54"/>
  <c r="C269" i="54"/>
  <c r="C270" i="54"/>
  <c r="C271" i="54"/>
  <c r="C272" i="54"/>
  <c r="C275" i="54"/>
  <c r="C276" i="54"/>
  <c r="C277" i="54"/>
  <c r="C278" i="54"/>
  <c r="C279" i="54"/>
  <c r="C280" i="54"/>
  <c r="C281" i="54"/>
  <c r="C282" i="54"/>
  <c r="B20" i="54"/>
  <c r="B21" i="54"/>
  <c r="B22" i="54"/>
  <c r="B23" i="54"/>
  <c r="B24" i="54"/>
  <c r="B25" i="54"/>
  <c r="B26" i="54"/>
  <c r="B27" i="54"/>
  <c r="B28" i="54"/>
  <c r="B29" i="54"/>
  <c r="B30" i="54"/>
  <c r="B32" i="54"/>
  <c r="B33" i="54"/>
  <c r="B34" i="54"/>
  <c r="B35" i="54"/>
  <c r="B36" i="54"/>
  <c r="B37" i="54"/>
  <c r="B38" i="54"/>
  <c r="B39" i="54"/>
  <c r="B40" i="54"/>
  <c r="B41" i="54"/>
  <c r="B42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3" i="54"/>
  <c r="B64" i="54"/>
  <c r="B65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1" i="54"/>
  <c r="B102" i="54"/>
  <c r="B103" i="54"/>
  <c r="B104" i="54"/>
  <c r="B105" i="54"/>
  <c r="B106" i="54"/>
  <c r="B107" i="54"/>
  <c r="B108" i="54"/>
  <c r="B109" i="54"/>
  <c r="B110" i="54"/>
  <c r="B112" i="54"/>
  <c r="B113" i="54"/>
  <c r="B114" i="54"/>
  <c r="B115" i="54"/>
  <c r="B116" i="54"/>
  <c r="B117" i="54"/>
  <c r="B118" i="54"/>
  <c r="B119" i="54"/>
  <c r="B120" i="54"/>
  <c r="B122" i="54"/>
  <c r="B123" i="54"/>
  <c r="B124" i="54"/>
  <c r="B125" i="54"/>
  <c r="B126" i="54"/>
  <c r="B127" i="54"/>
  <c r="B128" i="54"/>
  <c r="B129" i="54"/>
  <c r="B130" i="54"/>
  <c r="B131" i="54"/>
  <c r="B132" i="54"/>
  <c r="B133" i="54"/>
  <c r="B134" i="54"/>
  <c r="B136" i="54"/>
  <c r="B137" i="54"/>
  <c r="B138" i="54"/>
  <c r="B139" i="54"/>
  <c r="B140" i="54"/>
  <c r="B141" i="54"/>
  <c r="B142" i="54"/>
  <c r="B143" i="54"/>
  <c r="B144" i="54"/>
  <c r="B145" i="54"/>
  <c r="B147" i="54"/>
  <c r="B148" i="54"/>
  <c r="B149" i="54"/>
  <c r="B150" i="54"/>
  <c r="B151" i="54"/>
  <c r="B152" i="54"/>
  <c r="B153" i="54"/>
  <c r="B154" i="54"/>
  <c r="B155" i="54"/>
  <c r="B156" i="54"/>
  <c r="B158" i="54"/>
  <c r="B159" i="54"/>
  <c r="B160" i="54"/>
  <c r="B161" i="54"/>
  <c r="B162" i="54"/>
  <c r="B163" i="54"/>
  <c r="B164" i="54"/>
  <c r="B165" i="54"/>
  <c r="B166" i="54"/>
  <c r="B167" i="54"/>
  <c r="B169" i="54"/>
  <c r="B170" i="54"/>
  <c r="B171" i="54"/>
  <c r="B172" i="54"/>
  <c r="B173" i="54"/>
  <c r="B174" i="54"/>
  <c r="B175" i="54"/>
  <c r="B176" i="54"/>
  <c r="B177" i="54"/>
  <c r="B178" i="54"/>
  <c r="B179" i="54"/>
  <c r="B180" i="54"/>
  <c r="B181" i="54"/>
  <c r="B182" i="54"/>
  <c r="B183" i="54"/>
  <c r="B184" i="54"/>
  <c r="B185" i="54"/>
  <c r="B186" i="54"/>
  <c r="B187" i="54"/>
  <c r="B188" i="54"/>
  <c r="B189" i="54"/>
  <c r="B190" i="54"/>
  <c r="B191" i="54"/>
  <c r="B192" i="54"/>
  <c r="B193" i="54"/>
  <c r="B194" i="54"/>
  <c r="B195" i="54"/>
  <c r="B196" i="54"/>
  <c r="B197" i="54"/>
  <c r="B198" i="54"/>
  <c r="B199" i="54"/>
  <c r="B200" i="54"/>
  <c r="B201" i="54"/>
  <c r="B202" i="54"/>
  <c r="B203" i="54"/>
  <c r="B204" i="54"/>
  <c r="B205" i="54"/>
  <c r="B206" i="54"/>
  <c r="B207" i="54"/>
  <c r="B208" i="54"/>
  <c r="B210" i="54"/>
  <c r="B211" i="54"/>
  <c r="B212" i="54"/>
  <c r="B213" i="54"/>
  <c r="B214" i="54"/>
  <c r="B215" i="54"/>
  <c r="B216" i="54"/>
  <c r="B217" i="54"/>
  <c r="B218" i="54"/>
  <c r="B219" i="54"/>
  <c r="B220" i="54"/>
  <c r="B221" i="54"/>
  <c r="B222" i="54"/>
  <c r="B223" i="54"/>
  <c r="B224" i="54"/>
  <c r="B225" i="54"/>
  <c r="B226" i="54"/>
  <c r="B227" i="54"/>
  <c r="B228" i="54"/>
  <c r="B229" i="54"/>
  <c r="B230" i="54"/>
  <c r="B231" i="54"/>
  <c r="B232" i="54"/>
  <c r="B233" i="54"/>
  <c r="B234" i="54"/>
  <c r="B235" i="54"/>
  <c r="B236" i="54"/>
  <c r="B237" i="54"/>
  <c r="B238" i="54"/>
  <c r="B239" i="54"/>
  <c r="B240" i="54"/>
  <c r="B242" i="54"/>
  <c r="B243" i="54"/>
  <c r="B244" i="54"/>
  <c r="B245" i="54"/>
  <c r="B246" i="54"/>
  <c r="B247" i="54"/>
  <c r="B248" i="54"/>
  <c r="B249" i="54"/>
  <c r="B250" i="54"/>
  <c r="B251" i="54"/>
  <c r="B252" i="54"/>
  <c r="B254" i="54"/>
  <c r="B255" i="54"/>
  <c r="B257" i="54"/>
  <c r="B258" i="54"/>
  <c r="B259" i="54"/>
  <c r="B260" i="54"/>
  <c r="B261" i="54"/>
  <c r="B262" i="54"/>
  <c r="B263" i="54"/>
  <c r="B264" i="54"/>
  <c r="B265" i="54"/>
  <c r="B266" i="54"/>
  <c r="B267" i="54"/>
  <c r="B268" i="54"/>
  <c r="B269" i="54"/>
  <c r="B270" i="54"/>
  <c r="B271" i="54"/>
  <c r="B272" i="54"/>
  <c r="B274" i="54"/>
  <c r="B275" i="54"/>
  <c r="B276" i="54"/>
  <c r="B277" i="54"/>
  <c r="B278" i="54"/>
  <c r="B279" i="54"/>
  <c r="B280" i="54"/>
  <c r="B281" i="54"/>
  <c r="B282" i="54"/>
  <c r="B19" i="54"/>
  <c r="A280" i="54"/>
  <c r="A281" i="54"/>
  <c r="A282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4" i="54"/>
  <c r="A275" i="54"/>
  <c r="A276" i="54"/>
  <c r="A277" i="54"/>
  <c r="A278" i="54"/>
  <c r="A279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2" i="54"/>
  <c r="A243" i="54"/>
  <c r="A244" i="54"/>
  <c r="A245" i="54"/>
  <c r="A246" i="54"/>
  <c r="A247" i="54"/>
  <c r="A248" i="54"/>
  <c r="A249" i="54"/>
  <c r="A250" i="54"/>
  <c r="A251" i="54"/>
  <c r="A252" i="54"/>
  <c r="A254" i="54"/>
  <c r="A255" i="54"/>
  <c r="A257" i="54"/>
  <c r="A258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0" i="54"/>
  <c r="A21" i="54"/>
  <c r="A22" i="54"/>
  <c r="A23" i="54"/>
  <c r="A24" i="54"/>
  <c r="A25" i="54"/>
  <c r="A26" i="54"/>
  <c r="A27" i="54"/>
  <c r="A28" i="54"/>
  <c r="A29" i="54"/>
  <c r="A30" i="54"/>
  <c r="A32" i="54"/>
  <c r="A33" i="54"/>
  <c r="A34" i="54"/>
  <c r="A35" i="54"/>
  <c r="A36" i="54"/>
  <c r="A37" i="54"/>
  <c r="A38" i="54"/>
  <c r="A39" i="54"/>
  <c r="A40" i="54"/>
  <c r="A41" i="54"/>
  <c r="A42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3" i="54"/>
  <c r="A64" i="54"/>
  <c r="A65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81" i="54"/>
  <c r="A82" i="54"/>
  <c r="A83" i="54"/>
  <c r="A84" i="54"/>
  <c r="A86" i="54"/>
  <c r="A87" i="54"/>
  <c r="A88" i="54"/>
  <c r="A89" i="54"/>
  <c r="A90" i="54"/>
  <c r="A91" i="54"/>
  <c r="A92" i="54"/>
  <c r="A93" i="54"/>
  <c r="A94" i="54"/>
  <c r="A95" i="54"/>
  <c r="A96" i="54"/>
  <c r="A97" i="54"/>
  <c r="A98" i="54"/>
  <c r="A99" i="54"/>
  <c r="A101" i="54"/>
  <c r="A102" i="54"/>
  <c r="A103" i="54"/>
  <c r="A104" i="54"/>
  <c r="A105" i="54"/>
  <c r="A106" i="54"/>
  <c r="A107" i="54"/>
  <c r="A108" i="54"/>
  <c r="A109" i="54"/>
  <c r="A110" i="54"/>
  <c r="A112" i="54"/>
  <c r="A113" i="54"/>
  <c r="A114" i="54"/>
  <c r="A115" i="54"/>
  <c r="A116" i="54"/>
  <c r="A117" i="54"/>
  <c r="A118" i="54"/>
  <c r="A119" i="54"/>
  <c r="A120" i="54"/>
  <c r="A122" i="54"/>
  <c r="A123" i="54"/>
  <c r="A124" i="54"/>
  <c r="A125" i="54"/>
  <c r="A126" i="54"/>
  <c r="A127" i="54"/>
  <c r="A128" i="54"/>
  <c r="A129" i="54"/>
  <c r="A130" i="54"/>
  <c r="A131" i="54"/>
  <c r="A132" i="54"/>
  <c r="A133" i="54"/>
  <c r="A134" i="54"/>
  <c r="A136" i="54"/>
  <c r="A137" i="54"/>
  <c r="A138" i="54"/>
  <c r="A139" i="54"/>
  <c r="A140" i="54"/>
  <c r="A141" i="54"/>
  <c r="A142" i="54"/>
  <c r="A143" i="54"/>
  <c r="A144" i="54"/>
  <c r="A145" i="54"/>
  <c r="A147" i="54"/>
  <c r="A148" i="54"/>
  <c r="A149" i="54"/>
  <c r="A150" i="54"/>
  <c r="A151" i="54"/>
  <c r="A152" i="54"/>
  <c r="A153" i="54"/>
  <c r="A154" i="54"/>
  <c r="A155" i="54"/>
  <c r="A156" i="54"/>
  <c r="A158" i="54"/>
  <c r="A159" i="54"/>
  <c r="A160" i="54"/>
  <c r="A161" i="54"/>
  <c r="A162" i="54"/>
  <c r="A163" i="54"/>
  <c r="A164" i="54"/>
  <c r="A165" i="54"/>
  <c r="A166" i="54"/>
  <c r="A167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" i="54"/>
  <c r="K275" i="54" l="1"/>
  <c r="K274" i="54" s="1"/>
  <c r="J275" i="54"/>
  <c r="J201" i="54"/>
  <c r="K201" i="54"/>
  <c r="K59" i="54"/>
  <c r="J276" i="54"/>
  <c r="K276" i="54"/>
  <c r="J266" i="54"/>
  <c r="K266" i="54"/>
  <c r="J258" i="54"/>
  <c r="K258" i="54"/>
  <c r="J246" i="54"/>
  <c r="K246" i="54"/>
  <c r="J236" i="54"/>
  <c r="K236" i="54"/>
  <c r="J228" i="54"/>
  <c r="K228" i="54"/>
  <c r="J220" i="54"/>
  <c r="K220" i="54"/>
  <c r="K212" i="54"/>
  <c r="J212" i="54"/>
  <c r="J202" i="54"/>
  <c r="K202" i="54"/>
  <c r="K194" i="54"/>
  <c r="J194" i="54"/>
  <c r="K186" i="54"/>
  <c r="J186" i="54"/>
  <c r="J178" i="54"/>
  <c r="K178" i="54"/>
  <c r="K170" i="54"/>
  <c r="J170" i="54"/>
  <c r="K160" i="54"/>
  <c r="J160" i="54"/>
  <c r="K150" i="54"/>
  <c r="K140" i="54"/>
  <c r="J140" i="54"/>
  <c r="J129" i="54"/>
  <c r="K129" i="54"/>
  <c r="J109" i="54"/>
  <c r="K109" i="54"/>
  <c r="J99" i="54"/>
  <c r="K99" i="54"/>
  <c r="J91" i="54"/>
  <c r="K91" i="54"/>
  <c r="K80" i="54"/>
  <c r="K72" i="54"/>
  <c r="K60" i="54"/>
  <c r="K50" i="54"/>
  <c r="K29" i="54"/>
  <c r="K21" i="54"/>
  <c r="I276" i="54"/>
  <c r="I266" i="54"/>
  <c r="I258" i="54"/>
  <c r="I246" i="54"/>
  <c r="I236" i="54"/>
  <c r="I228" i="54"/>
  <c r="I220" i="54"/>
  <c r="I212" i="54"/>
  <c r="I202" i="54"/>
  <c r="I194" i="54"/>
  <c r="I186" i="54"/>
  <c r="I178" i="54"/>
  <c r="I170" i="54"/>
  <c r="I160" i="54"/>
  <c r="I150" i="54"/>
  <c r="I140" i="54"/>
  <c r="I129" i="54"/>
  <c r="I119" i="54"/>
  <c r="I109" i="54"/>
  <c r="I99" i="54"/>
  <c r="I91" i="54"/>
  <c r="I80" i="54"/>
  <c r="I72" i="54"/>
  <c r="I60" i="54"/>
  <c r="I50" i="54"/>
  <c r="I39" i="54"/>
  <c r="I29" i="54"/>
  <c r="I21" i="54"/>
  <c r="J227" i="54"/>
  <c r="K227" i="54"/>
  <c r="J167" i="54"/>
  <c r="K167" i="54"/>
  <c r="J90" i="54"/>
  <c r="K90" i="54"/>
  <c r="I201" i="54"/>
  <c r="I90" i="54"/>
  <c r="J282" i="54"/>
  <c r="K282" i="54"/>
  <c r="J272" i="54"/>
  <c r="K272" i="54"/>
  <c r="J264" i="54"/>
  <c r="K264" i="54"/>
  <c r="J252" i="54"/>
  <c r="K252" i="54"/>
  <c r="K244" i="54"/>
  <c r="J244" i="54"/>
  <c r="J234" i="54"/>
  <c r="K234" i="54"/>
  <c r="J226" i="54"/>
  <c r="K226" i="54"/>
  <c r="J218" i="54"/>
  <c r="K218" i="54"/>
  <c r="K208" i="54"/>
  <c r="J208" i="54"/>
  <c r="J200" i="54"/>
  <c r="K200" i="54"/>
  <c r="J192" i="54"/>
  <c r="K192" i="54"/>
  <c r="J184" i="54"/>
  <c r="K184" i="54"/>
  <c r="J176" i="54"/>
  <c r="K176" i="54"/>
  <c r="J166" i="54"/>
  <c r="K166" i="54"/>
  <c r="K156" i="54"/>
  <c r="K148" i="54"/>
  <c r="J138" i="54"/>
  <c r="K138" i="54"/>
  <c r="J127" i="54"/>
  <c r="K127" i="54"/>
  <c r="J107" i="54"/>
  <c r="K107" i="54"/>
  <c r="K97" i="54"/>
  <c r="J97" i="54"/>
  <c r="J89" i="54"/>
  <c r="K89" i="54"/>
  <c r="K78" i="54"/>
  <c r="K70" i="54"/>
  <c r="K58" i="54"/>
  <c r="K48" i="54"/>
  <c r="K27" i="54"/>
  <c r="I282" i="54"/>
  <c r="I272" i="54"/>
  <c r="I264" i="54"/>
  <c r="I244" i="54"/>
  <c r="I234" i="54"/>
  <c r="I226" i="54"/>
  <c r="I218" i="54"/>
  <c r="I208" i="54"/>
  <c r="I200" i="54"/>
  <c r="I192" i="54"/>
  <c r="I184" i="54"/>
  <c r="I176" i="54"/>
  <c r="I166" i="54"/>
  <c r="I156" i="54"/>
  <c r="I148" i="54"/>
  <c r="I138" i="54"/>
  <c r="I127" i="54"/>
  <c r="I117" i="54"/>
  <c r="I107" i="54"/>
  <c r="I97" i="54"/>
  <c r="I89" i="54"/>
  <c r="I78" i="54"/>
  <c r="I70" i="54"/>
  <c r="I58" i="54"/>
  <c r="I48" i="54"/>
  <c r="I37" i="54"/>
  <c r="I27" i="54"/>
  <c r="J245" i="54"/>
  <c r="K245" i="54"/>
  <c r="J159" i="54"/>
  <c r="K159" i="54"/>
  <c r="K28" i="54"/>
  <c r="L28" i="54" s="1"/>
  <c r="I167" i="54"/>
  <c r="J281" i="54"/>
  <c r="K281" i="54"/>
  <c r="J271" i="54"/>
  <c r="K271" i="54"/>
  <c r="J263" i="54"/>
  <c r="K263" i="54"/>
  <c r="J251" i="54"/>
  <c r="K251" i="54"/>
  <c r="K243" i="54"/>
  <c r="J243" i="54"/>
  <c r="J233" i="54"/>
  <c r="K233" i="54"/>
  <c r="J225" i="54"/>
  <c r="K225" i="54"/>
  <c r="J217" i="54"/>
  <c r="K217" i="54"/>
  <c r="K207" i="54"/>
  <c r="J207" i="54"/>
  <c r="J199" i="54"/>
  <c r="K199" i="54"/>
  <c r="J191" i="54"/>
  <c r="K191" i="54"/>
  <c r="J183" i="54"/>
  <c r="K183" i="54"/>
  <c r="J175" i="54"/>
  <c r="K175" i="54"/>
  <c r="K165" i="54"/>
  <c r="J165" i="54"/>
  <c r="K155" i="54"/>
  <c r="J145" i="54"/>
  <c r="K145" i="54"/>
  <c r="K134" i="54"/>
  <c r="J134" i="54"/>
  <c r="J126" i="54"/>
  <c r="K126" i="54"/>
  <c r="J106" i="54"/>
  <c r="K106" i="54"/>
  <c r="J96" i="54"/>
  <c r="K96" i="54"/>
  <c r="J88" i="54"/>
  <c r="K88" i="54"/>
  <c r="K77" i="54"/>
  <c r="K69" i="54"/>
  <c r="K57" i="54"/>
  <c r="K47" i="54"/>
  <c r="K26" i="54"/>
  <c r="I281" i="54"/>
  <c r="I271" i="54"/>
  <c r="I263" i="54"/>
  <c r="I251" i="54"/>
  <c r="I243" i="54"/>
  <c r="I233" i="54"/>
  <c r="I225" i="54"/>
  <c r="I217" i="54"/>
  <c r="I207" i="54"/>
  <c r="I199" i="54"/>
  <c r="I191" i="54"/>
  <c r="I183" i="54"/>
  <c r="I175" i="54"/>
  <c r="I165" i="54"/>
  <c r="I155" i="54"/>
  <c r="I145" i="54"/>
  <c r="I134" i="54"/>
  <c r="I126" i="54"/>
  <c r="I116" i="54"/>
  <c r="I106" i="54"/>
  <c r="I96" i="54"/>
  <c r="I88" i="54"/>
  <c r="I77" i="54"/>
  <c r="I69" i="54"/>
  <c r="I57" i="54"/>
  <c r="I47" i="54"/>
  <c r="I36" i="54"/>
  <c r="I26" i="54"/>
  <c r="J235" i="54"/>
  <c r="K235" i="54"/>
  <c r="L235" i="54" s="1"/>
  <c r="J185" i="54"/>
  <c r="K185" i="54"/>
  <c r="J128" i="54"/>
  <c r="K128" i="54"/>
  <c r="J98" i="54"/>
  <c r="K98" i="54"/>
  <c r="K49" i="54"/>
  <c r="L49" i="54" s="1"/>
  <c r="I245" i="54"/>
  <c r="I118" i="54"/>
  <c r="J280" i="54"/>
  <c r="K280" i="54"/>
  <c r="K270" i="54"/>
  <c r="J270" i="54"/>
  <c r="J262" i="54"/>
  <c r="K262" i="54"/>
  <c r="J250" i="54"/>
  <c r="K250" i="54"/>
  <c r="J240" i="54"/>
  <c r="K240" i="54"/>
  <c r="K232" i="54"/>
  <c r="J232" i="54"/>
  <c r="J224" i="54"/>
  <c r="K224" i="54"/>
  <c r="J216" i="54"/>
  <c r="K216" i="54"/>
  <c r="J206" i="54"/>
  <c r="K206" i="54"/>
  <c r="K198" i="54"/>
  <c r="J198" i="54"/>
  <c r="K190" i="54"/>
  <c r="J190" i="54"/>
  <c r="K182" i="54"/>
  <c r="J182" i="54"/>
  <c r="K174" i="54"/>
  <c r="J174" i="54"/>
  <c r="K164" i="54"/>
  <c r="J164" i="54"/>
  <c r="K154" i="54"/>
  <c r="K144" i="54"/>
  <c r="J144" i="54"/>
  <c r="J133" i="54"/>
  <c r="K133" i="54"/>
  <c r="J125" i="54"/>
  <c r="K125" i="54"/>
  <c r="L115" i="54"/>
  <c r="J105" i="54"/>
  <c r="K105" i="54"/>
  <c r="J84" i="54"/>
  <c r="K84" i="54"/>
  <c r="K76" i="54"/>
  <c r="K56" i="54"/>
  <c r="K46" i="54"/>
  <c r="L35" i="54"/>
  <c r="K25" i="54"/>
  <c r="I280" i="54"/>
  <c r="I270" i="54"/>
  <c r="I262" i="54"/>
  <c r="I250" i="54"/>
  <c r="I240" i="54"/>
  <c r="I232" i="54"/>
  <c r="I224" i="54"/>
  <c r="I216" i="54"/>
  <c r="I206" i="54"/>
  <c r="I198" i="54"/>
  <c r="I190" i="54"/>
  <c r="I182" i="54"/>
  <c r="I174" i="54"/>
  <c r="I164" i="54"/>
  <c r="I154" i="54"/>
  <c r="I144" i="54"/>
  <c r="I133" i="54"/>
  <c r="I125" i="54"/>
  <c r="I115" i="54"/>
  <c r="I105" i="54"/>
  <c r="I95" i="54"/>
  <c r="I84" i="54"/>
  <c r="I76" i="54"/>
  <c r="I56" i="54"/>
  <c r="I46" i="54"/>
  <c r="I35" i="54"/>
  <c r="I25" i="54"/>
  <c r="J265" i="54"/>
  <c r="K265" i="54"/>
  <c r="J219" i="54"/>
  <c r="K219" i="54"/>
  <c r="J177" i="54"/>
  <c r="K177" i="54"/>
  <c r="L177" i="54" s="1"/>
  <c r="K108" i="54"/>
  <c r="J108" i="54"/>
  <c r="J101" i="54" s="1"/>
  <c r="I219" i="54"/>
  <c r="J279" i="54"/>
  <c r="K279" i="54"/>
  <c r="J269" i="54"/>
  <c r="K269" i="54"/>
  <c r="K261" i="54"/>
  <c r="J261" i="54"/>
  <c r="J249" i="54"/>
  <c r="K249" i="54"/>
  <c r="J239" i="54"/>
  <c r="K239" i="54"/>
  <c r="J231" i="54"/>
  <c r="K231" i="54"/>
  <c r="J223" i="54"/>
  <c r="K223" i="54"/>
  <c r="J215" i="54"/>
  <c r="K215" i="54"/>
  <c r="J205" i="54"/>
  <c r="K205" i="54"/>
  <c r="L205" i="54" s="1"/>
  <c r="J197" i="54"/>
  <c r="K197" i="54"/>
  <c r="J189" i="54"/>
  <c r="K189" i="54"/>
  <c r="J181" i="54"/>
  <c r="K181" i="54"/>
  <c r="J173" i="54"/>
  <c r="K173" i="54"/>
  <c r="J163" i="54"/>
  <c r="K163" i="54"/>
  <c r="K153" i="54"/>
  <c r="J143" i="54"/>
  <c r="K143" i="54"/>
  <c r="J132" i="54"/>
  <c r="K132" i="54"/>
  <c r="L132" i="54" s="1"/>
  <c r="J124" i="54"/>
  <c r="K124" i="54"/>
  <c r="K104" i="54"/>
  <c r="L104" i="54" s="1"/>
  <c r="J104" i="54"/>
  <c r="J94" i="54"/>
  <c r="K94" i="54"/>
  <c r="K83" i="54"/>
  <c r="K75" i="54"/>
  <c r="K65" i="54"/>
  <c r="K54" i="54"/>
  <c r="L54" i="54" s="1"/>
  <c r="K24" i="54"/>
  <c r="I279" i="54"/>
  <c r="I269" i="54"/>
  <c r="I261" i="54"/>
  <c r="I249" i="54"/>
  <c r="I239" i="54"/>
  <c r="I231" i="54"/>
  <c r="I223" i="54"/>
  <c r="I215" i="54"/>
  <c r="I205" i="54"/>
  <c r="I197" i="54"/>
  <c r="I189" i="54"/>
  <c r="I181" i="54"/>
  <c r="I173" i="54"/>
  <c r="I163" i="54"/>
  <c r="I153" i="54"/>
  <c r="I143" i="54"/>
  <c r="I132" i="54"/>
  <c r="I124" i="54"/>
  <c r="I114" i="54"/>
  <c r="I104" i="54"/>
  <c r="I94" i="54"/>
  <c r="I83" i="54"/>
  <c r="I75" i="54"/>
  <c r="I65" i="54"/>
  <c r="I54" i="54"/>
  <c r="L53" i="54" s="1"/>
  <c r="I42" i="54"/>
  <c r="I34" i="54"/>
  <c r="I24" i="54"/>
  <c r="J255" i="54"/>
  <c r="K255" i="54"/>
  <c r="L255" i="54" s="1"/>
  <c r="J193" i="54"/>
  <c r="K193" i="54"/>
  <c r="L193" i="54" s="1"/>
  <c r="J139" i="54"/>
  <c r="K139" i="54"/>
  <c r="L139" i="54" s="1"/>
  <c r="K79" i="54"/>
  <c r="I275" i="54"/>
  <c r="I159" i="54"/>
  <c r="I98" i="54"/>
  <c r="I38" i="54"/>
  <c r="K278" i="54"/>
  <c r="J278" i="54"/>
  <c r="J268" i="54"/>
  <c r="K268" i="54"/>
  <c r="J260" i="54"/>
  <c r="K260" i="54"/>
  <c r="J248" i="54"/>
  <c r="K248" i="54"/>
  <c r="J238" i="54"/>
  <c r="K238" i="54"/>
  <c r="J230" i="54"/>
  <c r="K230" i="54"/>
  <c r="K222" i="54"/>
  <c r="J222" i="54"/>
  <c r="J214" i="54"/>
  <c r="K214" i="54"/>
  <c r="J204" i="54"/>
  <c r="K204" i="54"/>
  <c r="L204" i="54" s="1"/>
  <c r="J196" i="54"/>
  <c r="K196" i="54"/>
  <c r="J188" i="54"/>
  <c r="K188" i="54"/>
  <c r="J180" i="54"/>
  <c r="K180" i="54"/>
  <c r="J172" i="54"/>
  <c r="K172" i="54"/>
  <c r="J162" i="54"/>
  <c r="K162" i="54"/>
  <c r="K152" i="54"/>
  <c r="K142" i="54"/>
  <c r="L142" i="54" s="1"/>
  <c r="J142" i="54"/>
  <c r="J131" i="54"/>
  <c r="K131" i="54"/>
  <c r="L131" i="54" s="1"/>
  <c r="K123" i="54"/>
  <c r="J123" i="54"/>
  <c r="J103" i="54"/>
  <c r="K103" i="54"/>
  <c r="K93" i="54"/>
  <c r="J93" i="54"/>
  <c r="K82" i="54"/>
  <c r="K74" i="54"/>
  <c r="K64" i="54"/>
  <c r="L64" i="54" s="1"/>
  <c r="K52" i="54"/>
  <c r="L52" i="54" s="1"/>
  <c r="K23" i="54"/>
  <c r="I278" i="54"/>
  <c r="I268" i="54"/>
  <c r="I260" i="54"/>
  <c r="I248" i="54"/>
  <c r="I238" i="54"/>
  <c r="I230" i="54"/>
  <c r="I222" i="54"/>
  <c r="I214" i="54"/>
  <c r="I204" i="54"/>
  <c r="I196" i="54"/>
  <c r="I188" i="54"/>
  <c r="I180" i="54"/>
  <c r="I172" i="54"/>
  <c r="I162" i="54"/>
  <c r="I152" i="54"/>
  <c r="I142" i="54"/>
  <c r="I131" i="54"/>
  <c r="I123" i="54"/>
  <c r="I113" i="54"/>
  <c r="I103" i="54"/>
  <c r="I93" i="54"/>
  <c r="I82" i="54"/>
  <c r="I74" i="54"/>
  <c r="I64" i="54"/>
  <c r="I63" i="54" s="1"/>
  <c r="I52" i="54"/>
  <c r="I41" i="54"/>
  <c r="I33" i="54"/>
  <c r="I23" i="54"/>
  <c r="K20" i="54"/>
  <c r="K211" i="54"/>
  <c r="L211" i="54" s="1"/>
  <c r="J211" i="54"/>
  <c r="K149" i="54"/>
  <c r="L149" i="54" s="1"/>
  <c r="K71" i="54"/>
  <c r="L71" i="54" s="1"/>
  <c r="I265" i="54"/>
  <c r="I227" i="54"/>
  <c r="I185" i="54"/>
  <c r="I128" i="54"/>
  <c r="I79" i="54"/>
  <c r="I59" i="54"/>
  <c r="J277" i="54"/>
  <c r="K277" i="54"/>
  <c r="J267" i="54"/>
  <c r="K267" i="54"/>
  <c r="J259" i="54"/>
  <c r="K259" i="54"/>
  <c r="J247" i="54"/>
  <c r="K247" i="54"/>
  <c r="J237" i="54"/>
  <c r="K237" i="54"/>
  <c r="J229" i="54"/>
  <c r="K229" i="54"/>
  <c r="J221" i="54"/>
  <c r="K221" i="54"/>
  <c r="J213" i="54"/>
  <c r="K213" i="54"/>
  <c r="J203" i="54"/>
  <c r="K203" i="54"/>
  <c r="J195" i="54"/>
  <c r="K195" i="54"/>
  <c r="J187" i="54"/>
  <c r="K187" i="54"/>
  <c r="J179" i="54"/>
  <c r="K179" i="54"/>
  <c r="J171" i="54"/>
  <c r="K171" i="54"/>
  <c r="K161" i="54"/>
  <c r="J161" i="54"/>
  <c r="K151" i="54"/>
  <c r="J141" i="54"/>
  <c r="K141" i="54"/>
  <c r="K130" i="54"/>
  <c r="J130" i="54"/>
  <c r="K120" i="54"/>
  <c r="K112" i="54" s="1"/>
  <c r="J120" i="54"/>
  <c r="J112" i="54" s="1"/>
  <c r="J110" i="54"/>
  <c r="K110" i="54"/>
  <c r="J102" i="54"/>
  <c r="K102" i="54"/>
  <c r="K92" i="54"/>
  <c r="J92" i="54"/>
  <c r="K81" i="54"/>
  <c r="K73" i="54"/>
  <c r="L73" i="54" s="1"/>
  <c r="K61" i="54"/>
  <c r="K51" i="54"/>
  <c r="L51" i="54" s="1"/>
  <c r="K30" i="54"/>
  <c r="K22" i="54"/>
  <c r="I277" i="54"/>
  <c r="I267" i="54"/>
  <c r="I259" i="54"/>
  <c r="I247" i="54"/>
  <c r="I237" i="54"/>
  <c r="I229" i="54"/>
  <c r="I221" i="54"/>
  <c r="I213" i="54"/>
  <c r="I203" i="54"/>
  <c r="I195" i="54"/>
  <c r="I187" i="54"/>
  <c r="I179" i="54"/>
  <c r="I171" i="54"/>
  <c r="I161" i="54"/>
  <c r="I151" i="54"/>
  <c r="I141" i="54"/>
  <c r="I130" i="54"/>
  <c r="I120" i="54"/>
  <c r="I110" i="54"/>
  <c r="I102" i="54"/>
  <c r="I92" i="54"/>
  <c r="I81" i="54"/>
  <c r="I73" i="54"/>
  <c r="I61" i="54"/>
  <c r="I51" i="54"/>
  <c r="I40" i="54"/>
  <c r="I30" i="54"/>
  <c r="I22" i="54"/>
  <c r="H8" i="53"/>
  <c r="G8" i="53"/>
  <c r="E9" i="53"/>
  <c r="G9" i="53" s="1"/>
  <c r="F8" i="53"/>
  <c r="G13" i="53" s="1"/>
  <c r="E8" i="53"/>
  <c r="E13" i="53" s="1"/>
  <c r="J274" i="54" l="1"/>
  <c r="K137" i="54"/>
  <c r="K136" i="54" s="1"/>
  <c r="J137" i="54"/>
  <c r="J136" i="54" s="1"/>
  <c r="K242" i="54"/>
  <c r="J257" i="54"/>
  <c r="K257" i="54"/>
  <c r="J242" i="54"/>
  <c r="K169" i="54"/>
  <c r="J169" i="54"/>
  <c r="J122" i="54"/>
  <c r="K122" i="54"/>
  <c r="L108" i="54"/>
  <c r="K101" i="54"/>
  <c r="L101" i="54" s="1"/>
  <c r="K67" i="54"/>
  <c r="L46" i="54"/>
  <c r="K45" i="54"/>
  <c r="K44" i="54" s="1"/>
  <c r="L33" i="54"/>
  <c r="K32" i="54"/>
  <c r="L23" i="54"/>
  <c r="L29" i="54"/>
  <c r="L279" i="54"/>
  <c r="I210" i="54"/>
  <c r="L151" i="54"/>
  <c r="L221" i="54"/>
  <c r="L144" i="54"/>
  <c r="L176" i="54"/>
  <c r="L72" i="54"/>
  <c r="L109" i="54"/>
  <c r="L220" i="54"/>
  <c r="L258" i="54"/>
  <c r="L38" i="54"/>
  <c r="L265" i="54"/>
  <c r="L76" i="54"/>
  <c r="L224" i="54"/>
  <c r="L262" i="54"/>
  <c r="L36" i="54"/>
  <c r="L155" i="54"/>
  <c r="L191" i="54"/>
  <c r="L225" i="54"/>
  <c r="L263" i="54"/>
  <c r="I137" i="54"/>
  <c r="L97" i="54"/>
  <c r="L244" i="54"/>
  <c r="L150" i="54"/>
  <c r="L186" i="54"/>
  <c r="L27" i="54"/>
  <c r="L79" i="54"/>
  <c r="L198" i="54"/>
  <c r="L47" i="54"/>
  <c r="L37" i="54"/>
  <c r="L117" i="54"/>
  <c r="L192" i="54"/>
  <c r="L264" i="54"/>
  <c r="L90" i="54"/>
  <c r="L50" i="54"/>
  <c r="L30" i="54"/>
  <c r="L110" i="54"/>
  <c r="L187" i="54"/>
  <c r="L259" i="54"/>
  <c r="L103" i="54"/>
  <c r="L180" i="54"/>
  <c r="L214" i="54"/>
  <c r="L248" i="54"/>
  <c r="L24" i="54"/>
  <c r="L65" i="54"/>
  <c r="L143" i="54"/>
  <c r="L181" i="54"/>
  <c r="L215" i="54"/>
  <c r="L249" i="54"/>
  <c r="L182" i="54"/>
  <c r="L58" i="54"/>
  <c r="L138" i="54"/>
  <c r="L282" i="54"/>
  <c r="L227" i="54"/>
  <c r="L118" i="54"/>
  <c r="I87" i="54"/>
  <c r="L40" i="54"/>
  <c r="L195" i="54"/>
  <c r="L229" i="54"/>
  <c r="L267" i="54"/>
  <c r="L20" i="54"/>
  <c r="L74" i="54"/>
  <c r="L152" i="54"/>
  <c r="L188" i="54"/>
  <c r="L260" i="54"/>
  <c r="I158" i="54"/>
  <c r="L75" i="54"/>
  <c r="L114" i="54"/>
  <c r="L153" i="54"/>
  <c r="L189" i="54"/>
  <c r="L223" i="54"/>
  <c r="L154" i="54"/>
  <c r="L190" i="54"/>
  <c r="L77" i="54"/>
  <c r="L116" i="54"/>
  <c r="L159" i="54"/>
  <c r="I147" i="54"/>
  <c r="L70" i="54"/>
  <c r="L107" i="54"/>
  <c r="L184" i="54"/>
  <c r="L218" i="54"/>
  <c r="L39" i="54"/>
  <c r="L80" i="54"/>
  <c r="L119" i="54"/>
  <c r="L228" i="54"/>
  <c r="L266" i="54"/>
  <c r="L201" i="54"/>
  <c r="L81" i="54"/>
  <c r="L120" i="54"/>
  <c r="L161" i="54"/>
  <c r="L113" i="54"/>
  <c r="L222" i="54"/>
  <c r="I274" i="54"/>
  <c r="L34" i="54"/>
  <c r="L261" i="54"/>
  <c r="L84" i="54"/>
  <c r="L125" i="54"/>
  <c r="L98" i="54"/>
  <c r="L88" i="54"/>
  <c r="L126" i="54"/>
  <c r="L199" i="54"/>
  <c r="L233" i="54"/>
  <c r="L271" i="54"/>
  <c r="L148" i="54"/>
  <c r="I257" i="54"/>
  <c r="L160" i="54"/>
  <c r="L194" i="54"/>
  <c r="I169" i="54"/>
  <c r="L171" i="54"/>
  <c r="L203" i="54"/>
  <c r="L237" i="54"/>
  <c r="L277" i="54"/>
  <c r="L41" i="54"/>
  <c r="L82" i="54"/>
  <c r="L162" i="54"/>
  <c r="L196" i="54"/>
  <c r="L230" i="54"/>
  <c r="L268" i="54"/>
  <c r="L83" i="54"/>
  <c r="L124" i="54"/>
  <c r="L163" i="54"/>
  <c r="L197" i="54"/>
  <c r="L231" i="54"/>
  <c r="L269" i="54"/>
  <c r="L164" i="54"/>
  <c r="L232" i="54"/>
  <c r="L270" i="54"/>
  <c r="L165" i="54"/>
  <c r="L245" i="54"/>
  <c r="L78" i="54"/>
  <c r="L156" i="54"/>
  <c r="L226" i="54"/>
  <c r="L91" i="54"/>
  <c r="L129" i="54"/>
  <c r="L202" i="54"/>
  <c r="L236" i="54"/>
  <c r="L276" i="54"/>
  <c r="L137" i="54"/>
  <c r="I136" i="54"/>
  <c r="L208" i="54"/>
  <c r="L92" i="54"/>
  <c r="L130" i="54"/>
  <c r="I32" i="54"/>
  <c r="I112" i="54"/>
  <c r="L123" i="54"/>
  <c r="L42" i="54"/>
  <c r="I45" i="54"/>
  <c r="L56" i="54"/>
  <c r="L133" i="54"/>
  <c r="L206" i="54"/>
  <c r="L240" i="54"/>
  <c r="L280" i="54"/>
  <c r="L128" i="54"/>
  <c r="L57" i="54"/>
  <c r="L96" i="54"/>
  <c r="L175" i="54"/>
  <c r="L281" i="54"/>
  <c r="L170" i="54"/>
  <c r="L275" i="54"/>
  <c r="L61" i="54"/>
  <c r="L141" i="54"/>
  <c r="L247" i="54"/>
  <c r="I122" i="54"/>
  <c r="L172" i="54"/>
  <c r="L238" i="54"/>
  <c r="L94" i="54"/>
  <c r="L173" i="54"/>
  <c r="L239" i="54"/>
  <c r="L55" i="54"/>
  <c r="L174" i="54"/>
  <c r="L134" i="54"/>
  <c r="L207" i="54"/>
  <c r="L243" i="54"/>
  <c r="L48" i="54"/>
  <c r="L89" i="54"/>
  <c r="L127" i="54"/>
  <c r="L166" i="54"/>
  <c r="L200" i="54"/>
  <c r="L234" i="54"/>
  <c r="L272" i="54"/>
  <c r="L167" i="54"/>
  <c r="L21" i="54"/>
  <c r="L60" i="54"/>
  <c r="L99" i="54"/>
  <c r="L178" i="54"/>
  <c r="L246" i="54"/>
  <c r="L22" i="54"/>
  <c r="L102" i="54"/>
  <c r="L179" i="54"/>
  <c r="L213" i="54"/>
  <c r="L93" i="54"/>
  <c r="L278" i="54"/>
  <c r="L219" i="54"/>
  <c r="I67" i="54"/>
  <c r="L25" i="54"/>
  <c r="L105" i="54"/>
  <c r="L216" i="54"/>
  <c r="L250" i="54"/>
  <c r="L185" i="54"/>
  <c r="L26" i="54"/>
  <c r="L69" i="54"/>
  <c r="L106" i="54"/>
  <c r="L145" i="54"/>
  <c r="L183" i="54"/>
  <c r="L217" i="54"/>
  <c r="L251" i="54"/>
  <c r="L140" i="54"/>
  <c r="L212" i="54"/>
  <c r="L59" i="54"/>
  <c r="N272" i="51"/>
  <c r="N273" i="51"/>
  <c r="N266" i="51"/>
  <c r="N256" i="51"/>
  <c r="N257" i="51"/>
  <c r="N249" i="51"/>
  <c r="M267" i="51"/>
  <c r="M268" i="51"/>
  <c r="M269" i="51"/>
  <c r="M270" i="51"/>
  <c r="M271" i="51"/>
  <c r="M272" i="51"/>
  <c r="M273" i="51"/>
  <c r="M266" i="51"/>
  <c r="M265" i="51" s="1"/>
  <c r="L267" i="51"/>
  <c r="L268" i="51"/>
  <c r="L269" i="51"/>
  <c r="L270" i="51"/>
  <c r="L271" i="51"/>
  <c r="L272" i="51"/>
  <c r="L273" i="51"/>
  <c r="L266" i="51"/>
  <c r="L265" i="51" s="1"/>
  <c r="K267" i="51"/>
  <c r="N267" i="51" s="1"/>
  <c r="K268" i="51"/>
  <c r="N268" i="51" s="1"/>
  <c r="K269" i="51"/>
  <c r="N269" i="51" s="1"/>
  <c r="K270" i="51"/>
  <c r="N270" i="51" s="1"/>
  <c r="K271" i="51"/>
  <c r="N271" i="51" s="1"/>
  <c r="K272" i="51"/>
  <c r="K273" i="51"/>
  <c r="K266" i="51"/>
  <c r="K265" i="51" s="1"/>
  <c r="M250" i="51"/>
  <c r="M251" i="51"/>
  <c r="M252" i="51"/>
  <c r="M253" i="51"/>
  <c r="M254" i="51"/>
  <c r="M255" i="51"/>
  <c r="N255" i="51" s="1"/>
  <c r="M256" i="51"/>
  <c r="M257" i="51"/>
  <c r="M258" i="51"/>
  <c r="M259" i="51"/>
  <c r="M260" i="51"/>
  <c r="M261" i="51"/>
  <c r="M262" i="51"/>
  <c r="M263" i="51"/>
  <c r="N263" i="51" s="1"/>
  <c r="M249" i="51"/>
  <c r="M248" i="51" s="1"/>
  <c r="L250" i="51"/>
  <c r="L251" i="51"/>
  <c r="L252" i="51"/>
  <c r="L253" i="51"/>
  <c r="L254" i="51"/>
  <c r="L255" i="51"/>
  <c r="L256" i="51"/>
  <c r="L257" i="51"/>
  <c r="L258" i="51"/>
  <c r="L259" i="51"/>
  <c r="L260" i="51"/>
  <c r="L261" i="51"/>
  <c r="L262" i="51"/>
  <c r="L263" i="51"/>
  <c r="L249" i="51"/>
  <c r="L248" i="51" s="1"/>
  <c r="K250" i="51"/>
  <c r="N250" i="51" s="1"/>
  <c r="K251" i="51"/>
  <c r="N251" i="51" s="1"/>
  <c r="K252" i="51"/>
  <c r="N252" i="51" s="1"/>
  <c r="K253" i="51"/>
  <c r="N253" i="51" s="1"/>
  <c r="K254" i="51"/>
  <c r="N254" i="51" s="1"/>
  <c r="K255" i="51"/>
  <c r="K256" i="51"/>
  <c r="K257" i="51"/>
  <c r="K258" i="51"/>
  <c r="N258" i="51" s="1"/>
  <c r="K259" i="51"/>
  <c r="N259" i="51" s="1"/>
  <c r="K260" i="51"/>
  <c r="N260" i="51" s="1"/>
  <c r="K261" i="51"/>
  <c r="N261" i="51" s="1"/>
  <c r="K262" i="51"/>
  <c r="N262" i="51" s="1"/>
  <c r="K263" i="51"/>
  <c r="K249" i="51"/>
  <c r="M235" i="51"/>
  <c r="M236" i="51"/>
  <c r="M237" i="51"/>
  <c r="M238" i="51"/>
  <c r="M239" i="51"/>
  <c r="M240" i="51"/>
  <c r="M241" i="51"/>
  <c r="M242" i="51"/>
  <c r="M234" i="51"/>
  <c r="L235" i="51"/>
  <c r="L236" i="51"/>
  <c r="L237" i="51"/>
  <c r="L238" i="51"/>
  <c r="L239" i="51"/>
  <c r="L240" i="51"/>
  <c r="L241" i="51"/>
  <c r="L242" i="51"/>
  <c r="L234" i="51"/>
  <c r="K235" i="51"/>
  <c r="N235" i="51" s="1"/>
  <c r="K236" i="51"/>
  <c r="N236" i="51" s="1"/>
  <c r="K237" i="51"/>
  <c r="N237" i="51" s="1"/>
  <c r="K238" i="51"/>
  <c r="K239" i="51"/>
  <c r="N239" i="51" s="1"/>
  <c r="K240" i="51"/>
  <c r="N240" i="51" s="1"/>
  <c r="K241" i="51"/>
  <c r="N241" i="51" s="1"/>
  <c r="K242" i="51"/>
  <c r="N242" i="51" s="1"/>
  <c r="K234" i="51"/>
  <c r="N234" i="51" s="1"/>
  <c r="K203" i="51"/>
  <c r="K204" i="51"/>
  <c r="K205" i="51"/>
  <c r="K206" i="51"/>
  <c r="K207" i="51"/>
  <c r="K208" i="51"/>
  <c r="K209" i="51"/>
  <c r="K210" i="51"/>
  <c r="K211" i="51"/>
  <c r="K212" i="51"/>
  <c r="K213" i="51"/>
  <c r="K214" i="51"/>
  <c r="K215" i="51"/>
  <c r="K216" i="51"/>
  <c r="K217" i="51"/>
  <c r="K218" i="51"/>
  <c r="K219" i="51"/>
  <c r="K220" i="51"/>
  <c r="K221" i="51"/>
  <c r="K222" i="51"/>
  <c r="K223" i="51"/>
  <c r="K224" i="51"/>
  <c r="K225" i="51"/>
  <c r="K226" i="51"/>
  <c r="K227" i="51"/>
  <c r="K228" i="51"/>
  <c r="K229" i="51"/>
  <c r="K230" i="51"/>
  <c r="K231" i="51"/>
  <c r="K202" i="51"/>
  <c r="K199" i="51"/>
  <c r="N151" i="51"/>
  <c r="N152" i="51"/>
  <c r="N153" i="51"/>
  <c r="N108" i="51"/>
  <c r="N109" i="51"/>
  <c r="M151" i="51"/>
  <c r="M152" i="51"/>
  <c r="M153" i="51"/>
  <c r="M154" i="51"/>
  <c r="M155" i="51"/>
  <c r="M156" i="51"/>
  <c r="M150" i="51"/>
  <c r="L151" i="51"/>
  <c r="L152" i="51"/>
  <c r="L153" i="51"/>
  <c r="L154" i="51"/>
  <c r="L155" i="51"/>
  <c r="L156" i="51"/>
  <c r="L150" i="51"/>
  <c r="K151" i="51"/>
  <c r="K152" i="51"/>
  <c r="K153" i="51"/>
  <c r="K154" i="51"/>
  <c r="N154" i="51" s="1"/>
  <c r="K155" i="51"/>
  <c r="N155" i="51" s="1"/>
  <c r="K156" i="51"/>
  <c r="N156" i="51" s="1"/>
  <c r="K130" i="51"/>
  <c r="K131" i="51"/>
  <c r="K132" i="51"/>
  <c r="K133" i="51"/>
  <c r="K134" i="51"/>
  <c r="K135" i="51"/>
  <c r="K136" i="51"/>
  <c r="K129" i="51"/>
  <c r="M115" i="51"/>
  <c r="M116" i="51"/>
  <c r="M117" i="51"/>
  <c r="M118" i="51"/>
  <c r="M119" i="51"/>
  <c r="M120" i="51"/>
  <c r="M121" i="51"/>
  <c r="M122" i="51"/>
  <c r="M123" i="51"/>
  <c r="M124" i="51"/>
  <c r="M114" i="51"/>
  <c r="L115" i="51"/>
  <c r="L116" i="51"/>
  <c r="L117" i="51"/>
  <c r="L118" i="51"/>
  <c r="L119" i="51"/>
  <c r="L120" i="51"/>
  <c r="L121" i="51"/>
  <c r="L122" i="51"/>
  <c r="L123" i="51"/>
  <c r="L124" i="51"/>
  <c r="L114" i="51"/>
  <c r="K115" i="51"/>
  <c r="K116" i="51"/>
  <c r="N116" i="51" s="1"/>
  <c r="K117" i="51"/>
  <c r="N117" i="51" s="1"/>
  <c r="K118" i="51"/>
  <c r="N118" i="51" s="1"/>
  <c r="K119" i="51"/>
  <c r="N119" i="51" s="1"/>
  <c r="K120" i="51"/>
  <c r="N120" i="51" s="1"/>
  <c r="K121" i="51"/>
  <c r="N121" i="51" s="1"/>
  <c r="K122" i="51"/>
  <c r="N122" i="51" s="1"/>
  <c r="K123" i="51"/>
  <c r="N123" i="51" s="1"/>
  <c r="K124" i="51"/>
  <c r="N124" i="51" s="1"/>
  <c r="K114" i="51"/>
  <c r="N114" i="51" s="1"/>
  <c r="M104" i="51"/>
  <c r="M105" i="51"/>
  <c r="M106" i="51"/>
  <c r="M107" i="51"/>
  <c r="M108" i="51"/>
  <c r="M109" i="51"/>
  <c r="M110" i="51"/>
  <c r="L105" i="51"/>
  <c r="L104" i="51"/>
  <c r="L106" i="51"/>
  <c r="L107" i="51"/>
  <c r="L108" i="51"/>
  <c r="L109" i="51"/>
  <c r="L110" i="51"/>
  <c r="K105" i="51"/>
  <c r="N105" i="51" s="1"/>
  <c r="K106" i="51"/>
  <c r="N106" i="51" s="1"/>
  <c r="K107" i="51"/>
  <c r="N107" i="51" s="1"/>
  <c r="K108" i="51"/>
  <c r="K109" i="51"/>
  <c r="K110" i="51"/>
  <c r="N110" i="51" s="1"/>
  <c r="K104" i="51"/>
  <c r="N104" i="51" s="1"/>
  <c r="N96" i="51"/>
  <c r="M94" i="51"/>
  <c r="M95" i="51"/>
  <c r="M96" i="51"/>
  <c r="M97" i="51"/>
  <c r="M98" i="51"/>
  <c r="M99" i="51"/>
  <c r="M100" i="51"/>
  <c r="M101" i="51"/>
  <c r="M93" i="51"/>
  <c r="L94" i="51"/>
  <c r="N94" i="51" s="1"/>
  <c r="L95" i="51"/>
  <c r="L96" i="51"/>
  <c r="L97" i="51"/>
  <c r="L98" i="51"/>
  <c r="L99" i="51"/>
  <c r="L100" i="51"/>
  <c r="L101" i="51"/>
  <c r="L93" i="51"/>
  <c r="N93" i="51" s="1"/>
  <c r="K94" i="51"/>
  <c r="K95" i="51"/>
  <c r="K96" i="51"/>
  <c r="K97" i="51"/>
  <c r="N97" i="51" s="1"/>
  <c r="K98" i="51"/>
  <c r="N98" i="51" s="1"/>
  <c r="K99" i="51"/>
  <c r="N99" i="51" s="1"/>
  <c r="K100" i="51"/>
  <c r="N100" i="51" s="1"/>
  <c r="K101" i="51"/>
  <c r="N101" i="51" s="1"/>
  <c r="K93" i="51"/>
  <c r="M80" i="51"/>
  <c r="M81" i="51"/>
  <c r="M82" i="51"/>
  <c r="M83" i="51"/>
  <c r="M84" i="51"/>
  <c r="M85" i="51"/>
  <c r="M86" i="51"/>
  <c r="M87" i="51"/>
  <c r="M88" i="51"/>
  <c r="M89" i="51"/>
  <c r="M90" i="51"/>
  <c r="M79" i="51"/>
  <c r="L80" i="51"/>
  <c r="L81" i="51"/>
  <c r="L82" i="51"/>
  <c r="L83" i="51"/>
  <c r="L84" i="51"/>
  <c r="L85" i="51"/>
  <c r="L86" i="51"/>
  <c r="L87" i="51"/>
  <c r="L88" i="51"/>
  <c r="L89" i="51"/>
  <c r="L90" i="51"/>
  <c r="L79" i="51"/>
  <c r="K80" i="51"/>
  <c r="K81" i="51"/>
  <c r="K82" i="51"/>
  <c r="K83" i="51"/>
  <c r="K84" i="51"/>
  <c r="K85" i="51"/>
  <c r="K86" i="51"/>
  <c r="K87" i="51"/>
  <c r="K88" i="51"/>
  <c r="K89" i="51"/>
  <c r="K90" i="51"/>
  <c r="K79" i="51"/>
  <c r="N67" i="51"/>
  <c r="N75" i="51"/>
  <c r="M60" i="51"/>
  <c r="M61" i="51"/>
  <c r="M62" i="51"/>
  <c r="M63" i="51"/>
  <c r="M64" i="51"/>
  <c r="M65" i="51"/>
  <c r="M58" i="51" s="1"/>
  <c r="M66" i="51"/>
  <c r="N66" i="51" s="1"/>
  <c r="M67" i="51"/>
  <c r="M68" i="51"/>
  <c r="M69" i="51"/>
  <c r="M70" i="51"/>
  <c r="M71" i="51"/>
  <c r="M72" i="51"/>
  <c r="M73" i="51"/>
  <c r="M74" i="51"/>
  <c r="N74" i="51" s="1"/>
  <c r="M75" i="51"/>
  <c r="M59" i="51"/>
  <c r="L60" i="51"/>
  <c r="L62" i="51"/>
  <c r="L63" i="51"/>
  <c r="L64" i="51"/>
  <c r="L65" i="51"/>
  <c r="N65" i="51" s="1"/>
  <c r="L66" i="51"/>
  <c r="L67" i="51"/>
  <c r="L68" i="51"/>
  <c r="L69" i="51"/>
  <c r="L70" i="51"/>
  <c r="L71" i="51"/>
  <c r="L72" i="51"/>
  <c r="L73" i="51"/>
  <c r="N73" i="51" s="1"/>
  <c r="L74" i="51"/>
  <c r="L75" i="51"/>
  <c r="L59" i="51"/>
  <c r="K60" i="51"/>
  <c r="N60" i="51" s="1"/>
  <c r="K61" i="51"/>
  <c r="K62" i="51"/>
  <c r="N62" i="51" s="1"/>
  <c r="K63" i="51"/>
  <c r="N63" i="51" s="1"/>
  <c r="K64" i="51"/>
  <c r="N64" i="51" s="1"/>
  <c r="K65" i="51"/>
  <c r="K66" i="51"/>
  <c r="K67" i="51"/>
  <c r="K68" i="51"/>
  <c r="N68" i="51" s="1"/>
  <c r="K69" i="51"/>
  <c r="N69" i="51" s="1"/>
  <c r="K70" i="51"/>
  <c r="N70" i="51" s="1"/>
  <c r="K71" i="51"/>
  <c r="N71" i="51" s="1"/>
  <c r="K72" i="51"/>
  <c r="N72" i="51" s="1"/>
  <c r="K73" i="51"/>
  <c r="K74" i="51"/>
  <c r="K75" i="51"/>
  <c r="K59" i="51"/>
  <c r="K58" i="51" s="1"/>
  <c r="K56" i="51"/>
  <c r="K55" i="51"/>
  <c r="N38" i="51"/>
  <c r="N39" i="51"/>
  <c r="N40" i="51"/>
  <c r="M38" i="51"/>
  <c r="M39" i="51"/>
  <c r="M40" i="51"/>
  <c r="M41" i="51"/>
  <c r="M42" i="51"/>
  <c r="M43" i="51"/>
  <c r="M37" i="51"/>
  <c r="L38" i="51"/>
  <c r="L39" i="51"/>
  <c r="L40" i="51"/>
  <c r="L41" i="51"/>
  <c r="L42" i="51"/>
  <c r="L43" i="51"/>
  <c r="L37" i="51"/>
  <c r="K38" i="51"/>
  <c r="K39" i="51"/>
  <c r="K40" i="51"/>
  <c r="K41" i="51"/>
  <c r="N41" i="51" s="1"/>
  <c r="K42" i="51"/>
  <c r="N42" i="51" s="1"/>
  <c r="K43" i="51"/>
  <c r="N43" i="51" s="1"/>
  <c r="K37" i="51"/>
  <c r="N37" i="51" s="1"/>
  <c r="M25" i="51"/>
  <c r="M26" i="51"/>
  <c r="M27" i="51"/>
  <c r="M28" i="51"/>
  <c r="M29" i="51"/>
  <c r="M30" i="51"/>
  <c r="M31" i="51"/>
  <c r="M32" i="51"/>
  <c r="M33" i="51"/>
  <c r="M24" i="51"/>
  <c r="M23" i="51" s="1"/>
  <c r="L26" i="51"/>
  <c r="L28" i="51"/>
  <c r="L29" i="51"/>
  <c r="L30" i="51"/>
  <c r="L31" i="51"/>
  <c r="L32" i="51"/>
  <c r="L33" i="51"/>
  <c r="L24" i="51"/>
  <c r="K25" i="51"/>
  <c r="K26" i="51"/>
  <c r="K27" i="51"/>
  <c r="K28" i="51"/>
  <c r="K29" i="51"/>
  <c r="K30" i="51"/>
  <c r="K31" i="51"/>
  <c r="K32" i="51"/>
  <c r="K33" i="51"/>
  <c r="K24" i="51"/>
  <c r="K23" i="51" s="1"/>
  <c r="L11" i="51"/>
  <c r="K12" i="51"/>
  <c r="K13" i="51"/>
  <c r="K14" i="51"/>
  <c r="K15" i="51"/>
  <c r="K16" i="51"/>
  <c r="K17" i="51"/>
  <c r="K18" i="51"/>
  <c r="K19" i="51"/>
  <c r="K20" i="51"/>
  <c r="K21" i="51"/>
  <c r="K11" i="51"/>
  <c r="K162" i="51"/>
  <c r="K163" i="51"/>
  <c r="K164" i="51"/>
  <c r="K165" i="51"/>
  <c r="K166" i="51"/>
  <c r="K167" i="51"/>
  <c r="K168" i="51"/>
  <c r="K169" i="51"/>
  <c r="K170" i="51"/>
  <c r="K171" i="51"/>
  <c r="K172" i="51"/>
  <c r="K173" i="51"/>
  <c r="K174" i="51"/>
  <c r="K175" i="51"/>
  <c r="K176" i="51"/>
  <c r="K177" i="51"/>
  <c r="K178" i="51"/>
  <c r="K179" i="51"/>
  <c r="K180" i="51"/>
  <c r="K181" i="51"/>
  <c r="K182" i="51"/>
  <c r="K183" i="51"/>
  <c r="K184" i="51"/>
  <c r="K185" i="51"/>
  <c r="K186" i="51"/>
  <c r="K187" i="51"/>
  <c r="K188" i="51"/>
  <c r="K189" i="51"/>
  <c r="K190" i="51"/>
  <c r="K191" i="51"/>
  <c r="K192" i="51"/>
  <c r="K193" i="51"/>
  <c r="K194" i="51"/>
  <c r="K195" i="51"/>
  <c r="K196" i="51"/>
  <c r="K197" i="51"/>
  <c r="K198" i="51"/>
  <c r="K161" i="51"/>
  <c r="K140" i="51"/>
  <c r="K141" i="51"/>
  <c r="K142" i="51"/>
  <c r="K143" i="51"/>
  <c r="K144" i="51"/>
  <c r="K145" i="51"/>
  <c r="K146" i="51"/>
  <c r="K147" i="51"/>
  <c r="K139" i="51"/>
  <c r="L752" i="52"/>
  <c r="L753" i="52"/>
  <c r="L754" i="52"/>
  <c r="K751" i="52"/>
  <c r="L751" i="52" s="1"/>
  <c r="K752" i="52"/>
  <c r="K753" i="52"/>
  <c r="K754" i="52"/>
  <c r="K755" i="52"/>
  <c r="L755" i="52" s="1"/>
  <c r="K756" i="52"/>
  <c r="L756" i="52" s="1"/>
  <c r="K750" i="52"/>
  <c r="L750" i="52" s="1"/>
  <c r="B745" i="52"/>
  <c r="G14" i="50"/>
  <c r="H14" i="50" s="1"/>
  <c r="I14" i="50" s="1"/>
  <c r="J125" i="51" s="1"/>
  <c r="I125" i="51"/>
  <c r="I267" i="51"/>
  <c r="I268" i="51"/>
  <c r="I269" i="51"/>
  <c r="I270" i="51"/>
  <c r="I271" i="51"/>
  <c r="I272" i="51"/>
  <c r="I273" i="51"/>
  <c r="I266" i="51"/>
  <c r="I263" i="51"/>
  <c r="K631" i="52"/>
  <c r="L631" i="52" s="1"/>
  <c r="K633" i="52"/>
  <c r="L633" i="52" s="1"/>
  <c r="K632" i="52"/>
  <c r="L632" i="52" s="1"/>
  <c r="L122" i="54" l="1"/>
  <c r="N248" i="51"/>
  <c r="L113" i="51"/>
  <c r="M125" i="51"/>
  <c r="M113" i="51" s="1"/>
  <c r="K125" i="51"/>
  <c r="L125" i="51"/>
  <c r="L747" i="52"/>
  <c r="N265" i="51"/>
  <c r="K201" i="51"/>
  <c r="K248" i="51"/>
  <c r="L77" i="51"/>
  <c r="K10" i="51"/>
  <c r="K160" i="51"/>
  <c r="N238" i="51"/>
  <c r="M77" i="51"/>
  <c r="N115" i="51"/>
  <c r="N95" i="51"/>
  <c r="K77" i="51"/>
  <c r="C243" i="51"/>
  <c r="B243" i="51"/>
  <c r="H243" i="51"/>
  <c r="L738" i="52"/>
  <c r="K742" i="52"/>
  <c r="L742" i="52" s="1"/>
  <c r="L739" i="52" s="1"/>
  <c r="K731" i="52"/>
  <c r="L731" i="52" s="1"/>
  <c r="K730" i="52"/>
  <c r="L730" i="52" s="1"/>
  <c r="K729" i="52"/>
  <c r="L729" i="52" s="1"/>
  <c r="K728" i="52"/>
  <c r="L728" i="52" s="1"/>
  <c r="K734" i="52"/>
  <c r="L734" i="52" s="1"/>
  <c r="K733" i="52"/>
  <c r="L733" i="52" s="1"/>
  <c r="K732" i="52"/>
  <c r="L732" i="52" s="1"/>
  <c r="B737" i="52"/>
  <c r="I243" i="51" l="1"/>
  <c r="F252" i="54" s="1"/>
  <c r="I252" i="54" s="1"/>
  <c r="N125" i="51"/>
  <c r="N113" i="51" s="1"/>
  <c r="K113" i="51"/>
  <c r="L725" i="52"/>
  <c r="L740" i="52"/>
  <c r="I242" i="54" l="1"/>
  <c r="I284" i="54" s="1"/>
  <c r="L252" i="54"/>
  <c r="K768" i="52"/>
  <c r="L768" i="52"/>
  <c r="K767" i="52"/>
  <c r="L767" i="52" s="1"/>
  <c r="B762" i="52"/>
  <c r="B760" i="52"/>
  <c r="K769" i="52"/>
  <c r="L769" i="52" s="1"/>
  <c r="J158" i="51"/>
  <c r="I158" i="51"/>
  <c r="G13" i="50"/>
  <c r="H13" i="50"/>
  <c r="I13" i="50" s="1"/>
  <c r="I157" i="51"/>
  <c r="G8" i="50"/>
  <c r="H8" i="50" s="1"/>
  <c r="I8" i="50" s="1"/>
  <c r="G9" i="50"/>
  <c r="H9" i="50" s="1"/>
  <c r="I9" i="50" s="1"/>
  <c r="J111" i="51" s="1"/>
  <c r="G10" i="50"/>
  <c r="H10" i="50" s="1"/>
  <c r="I10" i="50" s="1"/>
  <c r="J243" i="51" s="1"/>
  <c r="G11" i="50"/>
  <c r="H11" i="50" s="1"/>
  <c r="I11" i="50" s="1"/>
  <c r="G12" i="50"/>
  <c r="H12" i="50" s="1"/>
  <c r="I12" i="50" s="1"/>
  <c r="J157" i="51" s="1"/>
  <c r="G7" i="50"/>
  <c r="H7" i="50" s="1"/>
  <c r="I7" i="50" s="1"/>
  <c r="I156" i="51"/>
  <c r="K243" i="51" l="1"/>
  <c r="L243" i="51"/>
  <c r="L233" i="51" s="1"/>
  <c r="M243" i="51"/>
  <c r="M233" i="51" s="1"/>
  <c r="M157" i="51"/>
  <c r="L157" i="51"/>
  <c r="K157" i="51"/>
  <c r="K111" i="51"/>
  <c r="M111" i="51"/>
  <c r="M103" i="51" s="1"/>
  <c r="M158" i="51"/>
  <c r="L158" i="51"/>
  <c r="K158" i="51"/>
  <c r="N158" i="51" s="1"/>
  <c r="L764" i="52"/>
  <c r="L765" i="52" s="1"/>
  <c r="L724" i="52"/>
  <c r="B723" i="52"/>
  <c r="L679" i="52"/>
  <c r="L704" i="52"/>
  <c r="K684" i="52"/>
  <c r="L684" i="52" s="1"/>
  <c r="K685" i="52"/>
  <c r="L685" i="52" s="1"/>
  <c r="K686" i="52"/>
  <c r="L686" i="52" s="1"/>
  <c r="K687" i="52"/>
  <c r="L687" i="52" s="1"/>
  <c r="K688" i="52"/>
  <c r="L688" i="52" s="1"/>
  <c r="K689" i="52"/>
  <c r="L689" i="52" s="1"/>
  <c r="K690" i="52"/>
  <c r="L690" i="52" s="1"/>
  <c r="K691" i="52"/>
  <c r="L691" i="52" s="1"/>
  <c r="K692" i="52"/>
  <c r="L692" i="52" s="1"/>
  <c r="K693" i="52"/>
  <c r="L693" i="52" s="1"/>
  <c r="K694" i="52"/>
  <c r="L694" i="52" s="1"/>
  <c r="K695" i="52"/>
  <c r="L695" i="52" s="1"/>
  <c r="K696" i="52"/>
  <c r="L696" i="52" s="1"/>
  <c r="K697" i="52"/>
  <c r="L697" i="52" s="1"/>
  <c r="K698" i="52"/>
  <c r="L698" i="52" s="1"/>
  <c r="K699" i="52"/>
  <c r="L699" i="52" s="1"/>
  <c r="K700" i="52"/>
  <c r="L700" i="52" s="1"/>
  <c r="K701" i="52"/>
  <c r="L701" i="52" s="1"/>
  <c r="K702" i="52"/>
  <c r="L702" i="52" s="1"/>
  <c r="K703" i="52"/>
  <c r="L703" i="52" s="1"/>
  <c r="K704" i="52"/>
  <c r="K705" i="52"/>
  <c r="L705" i="52" s="1"/>
  <c r="K706" i="52"/>
  <c r="L706" i="52" s="1"/>
  <c r="K707" i="52"/>
  <c r="L707" i="52" s="1"/>
  <c r="K708" i="52"/>
  <c r="L708" i="52" s="1"/>
  <c r="K709" i="52"/>
  <c r="L709" i="52" s="1"/>
  <c r="K710" i="52"/>
  <c r="L710" i="52" s="1"/>
  <c r="K711" i="52"/>
  <c r="L711" i="52" s="1"/>
  <c r="K712" i="52"/>
  <c r="L712" i="52" s="1"/>
  <c r="K713" i="52"/>
  <c r="L713" i="52" s="1"/>
  <c r="K714" i="52"/>
  <c r="L714" i="52" s="1"/>
  <c r="K715" i="52"/>
  <c r="L715" i="52" s="1"/>
  <c r="K716" i="52"/>
  <c r="L716" i="52" s="1"/>
  <c r="K717" i="52"/>
  <c r="L717" i="52" s="1"/>
  <c r="K718" i="52"/>
  <c r="L718" i="52" s="1"/>
  <c r="K719" i="52"/>
  <c r="L719" i="52" s="1"/>
  <c r="K720" i="52"/>
  <c r="L720" i="52" s="1"/>
  <c r="K721" i="52"/>
  <c r="L721" i="52" s="1"/>
  <c r="K683" i="52"/>
  <c r="L683" i="52" s="1"/>
  <c r="B678" i="52"/>
  <c r="L671" i="52"/>
  <c r="B670" i="52"/>
  <c r="K676" i="52"/>
  <c r="L676" i="52" s="1"/>
  <c r="K675" i="52"/>
  <c r="L675" i="52" s="1"/>
  <c r="L663" i="52"/>
  <c r="K668" i="52"/>
  <c r="L668" i="52" s="1"/>
  <c r="K667" i="52"/>
  <c r="L667" i="52" s="1"/>
  <c r="B662" i="52"/>
  <c r="L645" i="52"/>
  <c r="K660" i="52"/>
  <c r="L660" i="52" s="1"/>
  <c r="K659" i="52"/>
  <c r="L659" i="52" s="1"/>
  <c r="K658" i="52"/>
  <c r="L658" i="52" s="1"/>
  <c r="E657" i="52"/>
  <c r="K657" i="52" s="1"/>
  <c r="L657" i="52" s="1"/>
  <c r="K656" i="52"/>
  <c r="L656" i="52" s="1"/>
  <c r="K655" i="52"/>
  <c r="L655" i="52" s="1"/>
  <c r="K654" i="52"/>
  <c r="L654" i="52" s="1"/>
  <c r="E653" i="52"/>
  <c r="K653" i="52" s="1"/>
  <c r="L653" i="52" s="1"/>
  <c r="K652" i="52"/>
  <c r="L652" i="52" s="1"/>
  <c r="K651" i="52"/>
  <c r="L651" i="52" s="1"/>
  <c r="E650" i="52"/>
  <c r="K650" i="52" s="1"/>
  <c r="L650" i="52" s="1"/>
  <c r="K649" i="52"/>
  <c r="L649" i="52" s="1"/>
  <c r="B644" i="52"/>
  <c r="L637" i="52"/>
  <c r="B636" i="52"/>
  <c r="L601" i="52"/>
  <c r="K625" i="52"/>
  <c r="L625" i="52" s="1"/>
  <c r="K626" i="52"/>
  <c r="L626" i="52" s="1"/>
  <c r="K627" i="52"/>
  <c r="L627" i="52" s="1"/>
  <c r="K628" i="52"/>
  <c r="L628" i="52" s="1"/>
  <c r="K629" i="52"/>
  <c r="L629" i="52" s="1"/>
  <c r="K630" i="52"/>
  <c r="L630" i="52" s="1"/>
  <c r="K624" i="52"/>
  <c r="L624" i="52" s="1"/>
  <c r="K623" i="52"/>
  <c r="L623" i="52" s="1"/>
  <c r="K607" i="52"/>
  <c r="L607" i="52" s="1"/>
  <c r="K608" i="52"/>
  <c r="L608" i="52" s="1"/>
  <c r="K610" i="52"/>
  <c r="L610" i="52" s="1"/>
  <c r="K611" i="52"/>
  <c r="L611" i="52" s="1"/>
  <c r="K612" i="52"/>
  <c r="L612" i="52" s="1"/>
  <c r="K613" i="52"/>
  <c r="L613" i="52" s="1"/>
  <c r="K615" i="52"/>
  <c r="L615" i="52" s="1"/>
  <c r="K616" i="52"/>
  <c r="L616" i="52" s="1"/>
  <c r="K617" i="52"/>
  <c r="L617" i="52" s="1"/>
  <c r="K618" i="52"/>
  <c r="L618" i="52" s="1"/>
  <c r="K619" i="52"/>
  <c r="L619" i="52" s="1"/>
  <c r="K620" i="52"/>
  <c r="L620" i="52" s="1"/>
  <c r="K621" i="52"/>
  <c r="L621" i="52" s="1"/>
  <c r="K622" i="52"/>
  <c r="L622" i="52" s="1"/>
  <c r="B600" i="52"/>
  <c r="B598" i="52"/>
  <c r="E614" i="52"/>
  <c r="E609" i="52"/>
  <c r="E606" i="52"/>
  <c r="K606" i="52" s="1"/>
  <c r="K605" i="52"/>
  <c r="L605" i="52" s="1"/>
  <c r="N157" i="51" l="1"/>
  <c r="K103" i="51"/>
  <c r="N243" i="51"/>
  <c r="K233" i="51"/>
  <c r="L646" i="52"/>
  <c r="L647" i="52" s="1"/>
  <c r="L664" i="52"/>
  <c r="L665" i="52" s="1"/>
  <c r="L726" i="52"/>
  <c r="L680" i="52"/>
  <c r="L681" i="52" s="1"/>
  <c r="L672" i="52"/>
  <c r="L673" i="52" s="1"/>
  <c r="K614" i="52"/>
  <c r="L614" i="52" s="1"/>
  <c r="K609" i="52"/>
  <c r="L609" i="52" s="1"/>
  <c r="L606" i="52"/>
  <c r="L602" i="52" l="1"/>
  <c r="L603" i="52" s="1"/>
  <c r="K591" i="52" l="1"/>
  <c r="L591" i="52" s="1"/>
  <c r="K592" i="52"/>
  <c r="L592" i="52" s="1"/>
  <c r="K593" i="52"/>
  <c r="L593" i="52" s="1"/>
  <c r="K594" i="52"/>
  <c r="L594" i="52" s="1"/>
  <c r="K595" i="52"/>
  <c r="L595" i="52" s="1"/>
  <c r="K596" i="52"/>
  <c r="L596" i="52" s="1"/>
  <c r="K590" i="52"/>
  <c r="L590" i="52" s="1"/>
  <c r="L576" i="52"/>
  <c r="K581" i="52"/>
  <c r="L581" i="52" s="1"/>
  <c r="K582" i="52"/>
  <c r="L582" i="52" s="1"/>
  <c r="K583" i="52"/>
  <c r="L583" i="52" s="1"/>
  <c r="K584" i="52"/>
  <c r="L584" i="52" s="1"/>
  <c r="K585" i="52"/>
  <c r="L585" i="52" s="1"/>
  <c r="K586" i="52"/>
  <c r="L586" i="52" s="1"/>
  <c r="K580" i="52"/>
  <c r="L580" i="52" s="1"/>
  <c r="B575" i="52"/>
  <c r="L565" i="52"/>
  <c r="L566" i="52"/>
  <c r="B564" i="52"/>
  <c r="I108" i="51"/>
  <c r="L553" i="52"/>
  <c r="L554" i="52"/>
  <c r="B552" i="52"/>
  <c r="B551" i="52"/>
  <c r="Q104" i="51"/>
  <c r="Q105" i="51"/>
  <c r="K535" i="52"/>
  <c r="L535" i="52" s="1"/>
  <c r="K534" i="52"/>
  <c r="L534" i="52" s="1"/>
  <c r="K533" i="52"/>
  <c r="L533" i="52" s="1"/>
  <c r="K502" i="52"/>
  <c r="L502" i="52" s="1"/>
  <c r="K503" i="52"/>
  <c r="L503" i="52" s="1"/>
  <c r="K504" i="52"/>
  <c r="L504" i="52" s="1"/>
  <c r="K505" i="52"/>
  <c r="L505" i="52" s="1"/>
  <c r="K506" i="52"/>
  <c r="L506" i="52" s="1"/>
  <c r="K507" i="52"/>
  <c r="L507" i="52" s="1"/>
  <c r="K508" i="52"/>
  <c r="L508" i="52" s="1"/>
  <c r="K509" i="52"/>
  <c r="L509" i="52" s="1"/>
  <c r="K510" i="52"/>
  <c r="L510" i="52" s="1"/>
  <c r="K511" i="52"/>
  <c r="L511" i="52" s="1"/>
  <c r="K512" i="52"/>
  <c r="L512" i="52" s="1"/>
  <c r="K513" i="52"/>
  <c r="L513" i="52" s="1"/>
  <c r="K514" i="52"/>
  <c r="L514" i="52" s="1"/>
  <c r="K515" i="52"/>
  <c r="L515" i="52" s="1"/>
  <c r="K516" i="52"/>
  <c r="L516" i="52" s="1"/>
  <c r="K517" i="52"/>
  <c r="L517" i="52" s="1"/>
  <c r="K518" i="52"/>
  <c r="L518" i="52" s="1"/>
  <c r="K501" i="52"/>
  <c r="L501" i="52" s="1"/>
  <c r="L524" i="52"/>
  <c r="L539" i="52"/>
  <c r="K549" i="52"/>
  <c r="L549" i="52" s="1"/>
  <c r="K544" i="52"/>
  <c r="L544" i="52" s="1"/>
  <c r="K545" i="52"/>
  <c r="L545" i="52" s="1"/>
  <c r="K546" i="52"/>
  <c r="L546" i="52" s="1"/>
  <c r="K547" i="52"/>
  <c r="L547" i="52" s="1"/>
  <c r="K548" i="52"/>
  <c r="L548" i="52" s="1"/>
  <c r="K543" i="52"/>
  <c r="L543" i="52" s="1"/>
  <c r="L466" i="52"/>
  <c r="L497" i="52"/>
  <c r="L487" i="52"/>
  <c r="B486" i="52"/>
  <c r="K494" i="52"/>
  <c r="L494" i="52" s="1"/>
  <c r="K493" i="52"/>
  <c r="L493" i="52" s="1"/>
  <c r="K492" i="52"/>
  <c r="L492" i="52" s="1"/>
  <c r="K491" i="52"/>
  <c r="L491" i="52" s="1"/>
  <c r="L465" i="52"/>
  <c r="B464" i="52"/>
  <c r="L454" i="52"/>
  <c r="K459" i="52"/>
  <c r="L459" i="52" s="1"/>
  <c r="K460" i="52"/>
  <c r="L460" i="52" s="1"/>
  <c r="K461" i="52"/>
  <c r="L461" i="52" s="1"/>
  <c r="K458" i="52"/>
  <c r="L458" i="52" s="1"/>
  <c r="B453" i="52"/>
  <c r="B452" i="52"/>
  <c r="M130" i="51"/>
  <c r="M131" i="51"/>
  <c r="M132" i="51"/>
  <c r="M133" i="51"/>
  <c r="M134" i="51"/>
  <c r="M135" i="51"/>
  <c r="M136" i="51"/>
  <c r="L130" i="51"/>
  <c r="N130" i="51" s="1"/>
  <c r="L131" i="51"/>
  <c r="N131" i="51" s="1"/>
  <c r="L132" i="51"/>
  <c r="L133" i="51"/>
  <c r="N133" i="51" s="1"/>
  <c r="L134" i="51"/>
  <c r="L135" i="51"/>
  <c r="L136" i="51"/>
  <c r="M12" i="51"/>
  <c r="M13" i="51"/>
  <c r="M14" i="51"/>
  <c r="M15" i="51"/>
  <c r="M16" i="51"/>
  <c r="M17" i="51"/>
  <c r="M18" i="51"/>
  <c r="M19" i="51"/>
  <c r="M20" i="51"/>
  <c r="M21" i="51"/>
  <c r="L12" i="51"/>
  <c r="L13" i="51"/>
  <c r="L14" i="51"/>
  <c r="L15" i="51"/>
  <c r="L17" i="51"/>
  <c r="L18" i="51"/>
  <c r="L19" i="51"/>
  <c r="L20" i="51"/>
  <c r="L21" i="51"/>
  <c r="K450" i="52"/>
  <c r="L450" i="52" s="1"/>
  <c r="K449" i="52"/>
  <c r="L449" i="52" s="1"/>
  <c r="L429" i="52"/>
  <c r="K446" i="52"/>
  <c r="L446" i="52" s="1"/>
  <c r="K447" i="52"/>
  <c r="L447" i="52" s="1"/>
  <c r="K448" i="52"/>
  <c r="L448" i="52" s="1"/>
  <c r="K445" i="52"/>
  <c r="L445" i="52" s="1"/>
  <c r="K434" i="52"/>
  <c r="L434" i="52" s="1"/>
  <c r="K435" i="52"/>
  <c r="L435" i="52" s="1"/>
  <c r="K436" i="52"/>
  <c r="L436" i="52" s="1"/>
  <c r="K437" i="52"/>
  <c r="L437" i="52" s="1"/>
  <c r="K438" i="52"/>
  <c r="L438" i="52" s="1"/>
  <c r="K439" i="52"/>
  <c r="L439" i="52" s="1"/>
  <c r="K440" i="52"/>
  <c r="L440" i="52" s="1"/>
  <c r="K441" i="52"/>
  <c r="L441" i="52" s="1"/>
  <c r="K442" i="52"/>
  <c r="L442" i="52" s="1"/>
  <c r="K443" i="52"/>
  <c r="L443" i="52" s="1"/>
  <c r="K433" i="52"/>
  <c r="L433" i="52" s="1"/>
  <c r="L422" i="52"/>
  <c r="L401" i="52" s="1"/>
  <c r="L423" i="52"/>
  <c r="L400" i="52"/>
  <c r="L386" i="52"/>
  <c r="K391" i="52"/>
  <c r="L391" i="52" s="1"/>
  <c r="K392" i="52"/>
  <c r="L392" i="52" s="1"/>
  <c r="K393" i="52"/>
  <c r="L393" i="52" s="1"/>
  <c r="K394" i="52"/>
  <c r="L394" i="52" s="1"/>
  <c r="K395" i="52"/>
  <c r="L395" i="52" s="1"/>
  <c r="K396" i="52"/>
  <c r="L396" i="52" s="1"/>
  <c r="K397" i="52"/>
  <c r="L397" i="52" s="1"/>
  <c r="K390" i="52"/>
  <c r="L390" i="52" s="1"/>
  <c r="L369" i="52"/>
  <c r="L370" i="52"/>
  <c r="L360" i="52"/>
  <c r="L361" i="52"/>
  <c r="L349" i="52"/>
  <c r="L350" i="52"/>
  <c r="B359" i="52"/>
  <c r="L359" i="52"/>
  <c r="B348" i="52"/>
  <c r="B347" i="52"/>
  <c r="B346" i="52"/>
  <c r="I75" i="51"/>
  <c r="E642" i="52" s="1"/>
  <c r="K642" i="52" s="1"/>
  <c r="L642" i="52" s="1"/>
  <c r="K330" i="52"/>
  <c r="L330" i="52" s="1"/>
  <c r="K331" i="52"/>
  <c r="L331" i="52" s="1"/>
  <c r="K332" i="52"/>
  <c r="L332" i="52" s="1"/>
  <c r="K333" i="52"/>
  <c r="L333" i="52" s="1"/>
  <c r="K334" i="52"/>
  <c r="L334" i="52" s="1"/>
  <c r="K335" i="52"/>
  <c r="L335" i="52" s="1"/>
  <c r="K336" i="52"/>
  <c r="L336" i="52" s="1"/>
  <c r="K337" i="52"/>
  <c r="L337" i="52" s="1"/>
  <c r="K338" i="52"/>
  <c r="L338" i="52" s="1"/>
  <c r="K339" i="52"/>
  <c r="L339" i="52" s="1"/>
  <c r="K340" i="52"/>
  <c r="L340" i="52" s="1"/>
  <c r="K341" i="52"/>
  <c r="L341" i="52" s="1"/>
  <c r="K342" i="52"/>
  <c r="L342" i="52" s="1"/>
  <c r="K343" i="52"/>
  <c r="L343" i="52" s="1"/>
  <c r="K329" i="52"/>
  <c r="L329" i="52" s="1"/>
  <c r="K47" i="51"/>
  <c r="K326" i="52"/>
  <c r="L326" i="52" s="1"/>
  <c r="N135" i="51" l="1"/>
  <c r="N134" i="51"/>
  <c r="N132" i="51"/>
  <c r="N136" i="51"/>
  <c r="L525" i="52"/>
  <c r="L526" i="52" s="1"/>
  <c r="L577" i="52"/>
  <c r="L578" i="52" s="1"/>
  <c r="L588" i="52"/>
  <c r="G111" i="51" s="1"/>
  <c r="L567" i="52"/>
  <c r="L555" i="52"/>
  <c r="L540" i="52"/>
  <c r="L541" i="52" s="1"/>
  <c r="L498" i="52"/>
  <c r="L499" i="52" s="1"/>
  <c r="L455" i="52"/>
  <c r="L456" i="52" s="1"/>
  <c r="L488" i="52"/>
  <c r="L489" i="52" s="1"/>
  <c r="L430" i="52"/>
  <c r="L431" i="52" s="1"/>
  <c r="L467" i="52"/>
  <c r="L402" i="52"/>
  <c r="L424" i="52"/>
  <c r="L387" i="52"/>
  <c r="L388" i="52" s="1"/>
  <c r="L371" i="52"/>
  <c r="L328" i="52"/>
  <c r="L362" i="52"/>
  <c r="L348" i="52"/>
  <c r="L351" i="52"/>
  <c r="K325" i="52"/>
  <c r="L325" i="52" s="1"/>
  <c r="L315" i="52"/>
  <c r="K324" i="52"/>
  <c r="L324" i="52" s="1"/>
  <c r="K323" i="52"/>
  <c r="L323" i="52" s="1"/>
  <c r="K322" i="52"/>
  <c r="L322" i="52" s="1"/>
  <c r="K321" i="52"/>
  <c r="L321" i="52" s="1"/>
  <c r="B314" i="52"/>
  <c r="K320" i="52"/>
  <c r="L320" i="52" s="1"/>
  <c r="K319" i="52"/>
  <c r="L319" i="52" s="1"/>
  <c r="L304" i="52"/>
  <c r="K312" i="52"/>
  <c r="L312" i="52" s="1"/>
  <c r="K311" i="52"/>
  <c r="L311" i="52" s="1"/>
  <c r="K310" i="52"/>
  <c r="L310" i="52" s="1"/>
  <c r="K309" i="52"/>
  <c r="L309" i="52" s="1"/>
  <c r="K308" i="52"/>
  <c r="B303" i="52"/>
  <c r="K301" i="52"/>
  <c r="L301" i="52" s="1"/>
  <c r="L298" i="52" s="1"/>
  <c r="B296" i="52"/>
  <c r="L288" i="52"/>
  <c r="K294" i="52"/>
  <c r="L294" i="52" s="1"/>
  <c r="K293" i="52"/>
  <c r="L293" i="52" s="1"/>
  <c r="K292" i="52"/>
  <c r="L292" i="52" s="1"/>
  <c r="A287" i="52"/>
  <c r="B287" i="52"/>
  <c r="L275" i="52"/>
  <c r="K282" i="52"/>
  <c r="L282" i="52" s="1"/>
  <c r="B274" i="52"/>
  <c r="K284" i="52"/>
  <c r="L284" i="52" s="1"/>
  <c r="K283" i="52"/>
  <c r="L283" i="52" s="1"/>
  <c r="K281" i="52"/>
  <c r="L281" i="52" s="1"/>
  <c r="K280" i="52"/>
  <c r="L280" i="52" s="1"/>
  <c r="K279" i="52"/>
  <c r="L279" i="52" s="1"/>
  <c r="L267" i="52"/>
  <c r="K272" i="52"/>
  <c r="L272" i="52" s="1"/>
  <c r="K271" i="52"/>
  <c r="L271" i="52" s="1"/>
  <c r="B266" i="52"/>
  <c r="L260" i="52"/>
  <c r="B259" i="52"/>
  <c r="I111" i="51" l="1"/>
  <c r="L111" i="51"/>
  <c r="L316" i="52"/>
  <c r="L317" i="52" s="1"/>
  <c r="L289" i="52"/>
  <c r="L290" i="52" s="1"/>
  <c r="L308" i="52"/>
  <c r="L305" i="52" s="1"/>
  <c r="L306" i="52" s="1"/>
  <c r="L268" i="52"/>
  <c r="L269" i="52" s="1"/>
  <c r="L276" i="52"/>
  <c r="L277" i="52" s="1"/>
  <c r="L103" i="51" l="1"/>
  <c r="N111" i="51"/>
  <c r="N103" i="51" s="1"/>
  <c r="K264" i="52"/>
  <c r="L264" i="52" s="1"/>
  <c r="L261" i="52" s="1"/>
  <c r="L262" i="52" s="1"/>
  <c r="L250" i="52"/>
  <c r="K257" i="52"/>
  <c r="L257" i="52" s="1"/>
  <c r="L241" i="52"/>
  <c r="K247" i="52"/>
  <c r="L247" i="52" s="1"/>
  <c r="K246" i="52"/>
  <c r="L246" i="52" s="1"/>
  <c r="K245" i="52"/>
  <c r="L245" i="52" s="1"/>
  <c r="L242" i="52" l="1"/>
  <c r="L240" i="52"/>
  <c r="K256" i="52" l="1"/>
  <c r="L256" i="52" s="1"/>
  <c r="B240" i="52"/>
  <c r="B249" i="52"/>
  <c r="B238" i="52"/>
  <c r="L226" i="52"/>
  <c r="L177" i="52"/>
  <c r="L179" i="52" s="1"/>
  <c r="K222" i="52"/>
  <c r="L222" i="52" s="1"/>
  <c r="K221" i="52"/>
  <c r="L221" i="52" s="1"/>
  <c r="K220" i="52"/>
  <c r="L220" i="52" s="1"/>
  <c r="K219" i="52"/>
  <c r="L219" i="52" s="1"/>
  <c r="K217" i="52"/>
  <c r="L217" i="52" s="1"/>
  <c r="K216" i="52"/>
  <c r="L216" i="52" s="1"/>
  <c r="K214" i="52"/>
  <c r="L214" i="52" s="1"/>
  <c r="K213" i="52"/>
  <c r="L213" i="52" s="1"/>
  <c r="K212" i="52"/>
  <c r="L212" i="52" s="1"/>
  <c r="B174" i="52"/>
  <c r="K235" i="52"/>
  <c r="L235" i="52" s="1"/>
  <c r="K234" i="52"/>
  <c r="L234" i="52" s="1"/>
  <c r="K233" i="52"/>
  <c r="L233" i="52" s="1"/>
  <c r="K232" i="52"/>
  <c r="L232" i="52" s="1"/>
  <c r="K231" i="52"/>
  <c r="L231" i="52" s="1"/>
  <c r="K230" i="52"/>
  <c r="L230" i="52" s="1"/>
  <c r="K210" i="52"/>
  <c r="L210" i="52" s="1"/>
  <c r="K209" i="52"/>
  <c r="L209" i="52" s="1"/>
  <c r="K208" i="52"/>
  <c r="L208" i="52" s="1"/>
  <c r="K207" i="52"/>
  <c r="L207" i="52" s="1"/>
  <c r="K206" i="52"/>
  <c r="L206" i="52" s="1"/>
  <c r="K205" i="52"/>
  <c r="L205" i="52" s="1"/>
  <c r="K204" i="52"/>
  <c r="L204" i="52" s="1"/>
  <c r="K202" i="52"/>
  <c r="L202" i="52" s="1"/>
  <c r="K201" i="52"/>
  <c r="L201" i="52" s="1"/>
  <c r="K200" i="52"/>
  <c r="L200" i="52" s="1"/>
  <c r="K197" i="52"/>
  <c r="L197" i="52" s="1"/>
  <c r="K196" i="52"/>
  <c r="L196" i="52" s="1"/>
  <c r="K194" i="52"/>
  <c r="L194" i="52" s="1"/>
  <c r="K193" i="52"/>
  <c r="L193" i="52" s="1"/>
  <c r="K192" i="52"/>
  <c r="L192" i="52" s="1"/>
  <c r="K191" i="52"/>
  <c r="L191" i="52" s="1"/>
  <c r="K190" i="52"/>
  <c r="L190" i="52" s="1"/>
  <c r="K187" i="52"/>
  <c r="L187" i="52" s="1"/>
  <c r="K186" i="52"/>
  <c r="L186" i="52" s="1"/>
  <c r="K185" i="52"/>
  <c r="L185" i="52" s="1"/>
  <c r="K184" i="52"/>
  <c r="L184" i="52" s="1"/>
  <c r="K183" i="52"/>
  <c r="L183" i="52" s="1"/>
  <c r="K182" i="52"/>
  <c r="L182" i="52" s="1"/>
  <c r="L243" i="52" l="1"/>
  <c r="L251" i="52"/>
  <c r="L252" i="52" s="1"/>
  <c r="G61" i="51" s="1"/>
  <c r="L61" i="51" s="1"/>
  <c r="L225" i="52"/>
  <c r="L227" i="52"/>
  <c r="L228" i="52" s="1"/>
  <c r="L58" i="51" l="1"/>
  <c r="N61" i="51"/>
  <c r="B55" i="52"/>
  <c r="L24" i="52"/>
  <c r="K53" i="52"/>
  <c r="L53" i="52" s="1"/>
  <c r="K49" i="52"/>
  <c r="L49" i="52" s="1"/>
  <c r="K50" i="52"/>
  <c r="L50" i="52" s="1"/>
  <c r="K51" i="52"/>
  <c r="L51" i="52" s="1"/>
  <c r="K52" i="52"/>
  <c r="L52" i="52" s="1"/>
  <c r="A23" i="52"/>
  <c r="B23" i="52"/>
  <c r="K48" i="52"/>
  <c r="L48" i="52" s="1"/>
  <c r="K46" i="52"/>
  <c r="L46" i="52" s="1"/>
  <c r="K45" i="52"/>
  <c r="L45" i="52" s="1"/>
  <c r="K44" i="52"/>
  <c r="L44" i="52" s="1"/>
  <c r="K43" i="52"/>
  <c r="L43" i="52" s="1"/>
  <c r="K42" i="52"/>
  <c r="L42" i="52" s="1"/>
  <c r="K41" i="52"/>
  <c r="L41" i="52" s="1"/>
  <c r="K40" i="52"/>
  <c r="L40" i="52" s="1"/>
  <c r="K39" i="52"/>
  <c r="L39" i="52" s="1"/>
  <c r="K38" i="52"/>
  <c r="L38" i="52" s="1"/>
  <c r="K37" i="52"/>
  <c r="L37" i="52" s="1"/>
  <c r="K36" i="52"/>
  <c r="L36" i="52" s="1"/>
  <c r="K35" i="52"/>
  <c r="L35" i="52" s="1"/>
  <c r="K34" i="52"/>
  <c r="L34" i="52" s="1"/>
  <c r="K33" i="52"/>
  <c r="L33" i="52" s="1"/>
  <c r="K32" i="52"/>
  <c r="L32" i="52" s="1"/>
  <c r="K31" i="52"/>
  <c r="L31" i="52" s="1"/>
  <c r="K29" i="52"/>
  <c r="L29" i="52" s="1"/>
  <c r="K28" i="52"/>
  <c r="L28" i="52" s="1"/>
  <c r="K27" i="52"/>
  <c r="L27" i="52" s="1"/>
  <c r="L25" i="52" l="1"/>
  <c r="L26" i="52" s="1"/>
  <c r="G27" i="51" s="1"/>
  <c r="L27" i="51" s="1"/>
  <c r="B17" i="52" l="1"/>
  <c r="B19" i="52"/>
  <c r="K14" i="52"/>
  <c r="L14" i="52" s="1"/>
  <c r="K15" i="52"/>
  <c r="L15" i="52" s="1"/>
  <c r="A12" i="52"/>
  <c r="B12" i="52"/>
  <c r="L13" i="52" l="1"/>
  <c r="G16" i="51" s="1"/>
  <c r="L16" i="51" s="1"/>
  <c r="L10" i="51" s="1"/>
  <c r="I81" i="51" l="1"/>
  <c r="I250" i="51"/>
  <c r="I251" i="51"/>
  <c r="I252" i="51"/>
  <c r="I253" i="51"/>
  <c r="I254" i="51"/>
  <c r="I255" i="51"/>
  <c r="I256" i="51"/>
  <c r="I257" i="51"/>
  <c r="I258" i="51"/>
  <c r="I259" i="51"/>
  <c r="I260" i="51"/>
  <c r="I261" i="51"/>
  <c r="I262" i="51"/>
  <c r="I249" i="51"/>
  <c r="K246" i="51"/>
  <c r="I246" i="51"/>
  <c r="I235" i="51"/>
  <c r="I236" i="51"/>
  <c r="I237" i="51"/>
  <c r="I238" i="51"/>
  <c r="I239" i="51"/>
  <c r="I240" i="51"/>
  <c r="I241" i="51"/>
  <c r="I242" i="51"/>
  <c r="I234" i="51"/>
  <c r="I203" i="51"/>
  <c r="I204" i="51"/>
  <c r="I205" i="51"/>
  <c r="I206" i="51"/>
  <c r="I207" i="51"/>
  <c r="I208" i="51"/>
  <c r="I209" i="51"/>
  <c r="I210" i="51"/>
  <c r="I211" i="51"/>
  <c r="I212" i="51"/>
  <c r="I213" i="51"/>
  <c r="I214" i="51"/>
  <c r="I215" i="51"/>
  <c r="I216" i="51"/>
  <c r="I217" i="51"/>
  <c r="I218" i="51"/>
  <c r="I219" i="51"/>
  <c r="I220" i="51"/>
  <c r="I221" i="51"/>
  <c r="I222" i="51"/>
  <c r="I223" i="51"/>
  <c r="I224" i="51"/>
  <c r="I225" i="51"/>
  <c r="I226" i="51"/>
  <c r="I227" i="51"/>
  <c r="I228" i="51"/>
  <c r="I229" i="51"/>
  <c r="I230" i="51"/>
  <c r="I231" i="51"/>
  <c r="I202" i="51"/>
  <c r="I194" i="51"/>
  <c r="I195" i="51"/>
  <c r="I196" i="51"/>
  <c r="I197" i="51"/>
  <c r="I198" i="51"/>
  <c r="I199" i="51"/>
  <c r="I162" i="51"/>
  <c r="I163" i="51"/>
  <c r="I164" i="51"/>
  <c r="I165" i="51"/>
  <c r="I166" i="51"/>
  <c r="I167" i="51"/>
  <c r="I168" i="51"/>
  <c r="I169" i="51"/>
  <c r="I170" i="51"/>
  <c r="I171" i="51"/>
  <c r="I172" i="51"/>
  <c r="I173" i="51"/>
  <c r="I174" i="51"/>
  <c r="I175" i="51"/>
  <c r="I176" i="51"/>
  <c r="I177" i="51"/>
  <c r="I178" i="51"/>
  <c r="I179" i="51"/>
  <c r="I180" i="51"/>
  <c r="I181" i="51"/>
  <c r="I182" i="51"/>
  <c r="I183" i="51"/>
  <c r="I184" i="51"/>
  <c r="I185" i="51"/>
  <c r="I186" i="51"/>
  <c r="I187" i="51"/>
  <c r="I188" i="51"/>
  <c r="I189" i="51"/>
  <c r="I190" i="51"/>
  <c r="I191" i="51"/>
  <c r="I192" i="51"/>
  <c r="I193" i="51"/>
  <c r="I161" i="51"/>
  <c r="I151" i="51"/>
  <c r="I152" i="51"/>
  <c r="I153" i="51"/>
  <c r="I154" i="51"/>
  <c r="I155" i="51"/>
  <c r="I150" i="51"/>
  <c r="I140" i="51"/>
  <c r="I141" i="51"/>
  <c r="I142" i="51"/>
  <c r="I143" i="51"/>
  <c r="I144" i="51"/>
  <c r="I145" i="51"/>
  <c r="I146" i="51"/>
  <c r="I147" i="51"/>
  <c r="I139" i="51"/>
  <c r="I130" i="51"/>
  <c r="I131" i="51"/>
  <c r="I132" i="51"/>
  <c r="I133" i="51"/>
  <c r="I134" i="51"/>
  <c r="I135" i="51"/>
  <c r="I136" i="51"/>
  <c r="I129" i="51"/>
  <c r="I115" i="51"/>
  <c r="I116" i="51"/>
  <c r="I117" i="51"/>
  <c r="I118" i="51"/>
  <c r="I119" i="51"/>
  <c r="I120" i="51"/>
  <c r="I121" i="51"/>
  <c r="I122" i="51"/>
  <c r="I123" i="51"/>
  <c r="I124" i="51"/>
  <c r="I114" i="51"/>
  <c r="I105" i="51"/>
  <c r="I106" i="51"/>
  <c r="I107" i="51"/>
  <c r="I109" i="51"/>
  <c r="I110" i="51"/>
  <c r="I104" i="51"/>
  <c r="I94" i="51"/>
  <c r="I95" i="51"/>
  <c r="I96" i="51"/>
  <c r="I97" i="51"/>
  <c r="I98" i="51"/>
  <c r="I99" i="51"/>
  <c r="I100" i="51"/>
  <c r="I101" i="51"/>
  <c r="I93" i="51"/>
  <c r="I80" i="51"/>
  <c r="I82" i="51"/>
  <c r="I83" i="51"/>
  <c r="I84" i="51"/>
  <c r="I85" i="51"/>
  <c r="I86" i="51"/>
  <c r="I87" i="51"/>
  <c r="I88" i="51"/>
  <c r="I89" i="51"/>
  <c r="I90" i="51"/>
  <c r="I79" i="51"/>
  <c r="I59" i="51"/>
  <c r="I60" i="51"/>
  <c r="I61" i="51"/>
  <c r="I62" i="51"/>
  <c r="I63" i="51"/>
  <c r="I64" i="51"/>
  <c r="I65" i="51"/>
  <c r="I66" i="51"/>
  <c r="I68" i="51"/>
  <c r="E641" i="52" s="1"/>
  <c r="K641" i="52" s="1"/>
  <c r="L641" i="52" s="1"/>
  <c r="L638" i="52" s="1"/>
  <c r="L639" i="52" s="1"/>
  <c r="I69" i="51"/>
  <c r="I74" i="51"/>
  <c r="I56" i="51"/>
  <c r="I55" i="51"/>
  <c r="K245" i="51" l="1"/>
  <c r="I71" i="51"/>
  <c r="I72" i="51" l="1"/>
  <c r="I73" i="51" l="1"/>
  <c r="I48" i="51" l="1"/>
  <c r="I49" i="51"/>
  <c r="I50" i="51"/>
  <c r="I51" i="51"/>
  <c r="I52" i="51"/>
  <c r="I47" i="51"/>
  <c r="BV14" i="41" l="1"/>
  <c r="BV13" i="41"/>
  <c r="BV12" i="41"/>
  <c r="I38" i="51"/>
  <c r="I39" i="51"/>
  <c r="I40" i="51"/>
  <c r="I41" i="51"/>
  <c r="I42" i="51"/>
  <c r="I43" i="51"/>
  <c r="I37" i="51"/>
  <c r="I32" i="51" l="1"/>
  <c r="I31" i="51"/>
  <c r="I30" i="51"/>
  <c r="K171" i="52"/>
  <c r="L171" i="52" s="1"/>
  <c r="K170" i="52"/>
  <c r="L170" i="52" s="1"/>
  <c r="K169" i="52"/>
  <c r="L169" i="52" s="1"/>
  <c r="K168" i="52"/>
  <c r="L168" i="52" s="1"/>
  <c r="K167" i="52"/>
  <c r="L167" i="52" s="1"/>
  <c r="K166" i="52"/>
  <c r="L166" i="52" s="1"/>
  <c r="K165" i="52"/>
  <c r="L165" i="52" s="1"/>
  <c r="K164" i="52"/>
  <c r="L164" i="52" s="1"/>
  <c r="K163" i="52"/>
  <c r="L163" i="52" s="1"/>
  <c r="K162" i="52"/>
  <c r="L162" i="52" s="1"/>
  <c r="K161" i="52"/>
  <c r="L161" i="52" s="1"/>
  <c r="K160" i="52"/>
  <c r="L160" i="52" s="1"/>
  <c r="K159" i="52"/>
  <c r="L159" i="52" s="1"/>
  <c r="K158" i="52"/>
  <c r="L158" i="52" s="1"/>
  <c r="K157" i="52"/>
  <c r="L157" i="52" s="1"/>
  <c r="K156" i="52"/>
  <c r="L156" i="52" s="1"/>
  <c r="K155" i="52"/>
  <c r="L155" i="52" s="1"/>
  <c r="K154" i="52"/>
  <c r="L154" i="52" s="1"/>
  <c r="K153" i="52"/>
  <c r="L153" i="52" s="1"/>
  <c r="K152" i="52"/>
  <c r="L152" i="52" s="1"/>
  <c r="K151" i="52"/>
  <c r="L151" i="52" s="1"/>
  <c r="K150" i="52"/>
  <c r="L150" i="52" s="1"/>
  <c r="K148" i="52"/>
  <c r="L148" i="52" s="1"/>
  <c r="K147" i="52"/>
  <c r="L147" i="52" s="1"/>
  <c r="K146" i="52"/>
  <c r="L146" i="52" s="1"/>
  <c r="K141" i="52"/>
  <c r="L141" i="52" s="1"/>
  <c r="K140" i="52"/>
  <c r="L140" i="52" s="1"/>
  <c r="K139" i="52"/>
  <c r="L139" i="52" s="1"/>
  <c r="K138" i="52"/>
  <c r="L138" i="52" s="1"/>
  <c r="K137" i="52"/>
  <c r="L137" i="52" s="1"/>
  <c r="K136" i="52"/>
  <c r="L136" i="52" s="1"/>
  <c r="K135" i="52"/>
  <c r="L135" i="52" s="1"/>
  <c r="K134" i="52"/>
  <c r="L134" i="52" s="1"/>
  <c r="K133" i="52"/>
  <c r="L133" i="52" s="1"/>
  <c r="K132" i="52"/>
  <c r="L132" i="52" s="1"/>
  <c r="K131" i="52"/>
  <c r="L131" i="52" s="1"/>
  <c r="K130" i="52"/>
  <c r="L130" i="52" s="1"/>
  <c r="K129" i="52"/>
  <c r="L129" i="52" s="1"/>
  <c r="K128" i="52"/>
  <c r="L128" i="52" s="1"/>
  <c r="K127" i="52"/>
  <c r="L127" i="52" s="1"/>
  <c r="K125" i="52"/>
  <c r="L125" i="52" s="1"/>
  <c r="K124" i="52"/>
  <c r="L124" i="52" s="1"/>
  <c r="K123" i="52"/>
  <c r="L123" i="52" s="1"/>
  <c r="K122" i="52"/>
  <c r="L122" i="52" s="1"/>
  <c r="K121" i="52"/>
  <c r="L121" i="52" s="1"/>
  <c r="K120" i="52"/>
  <c r="L120" i="52" s="1"/>
  <c r="K119" i="52"/>
  <c r="L119" i="52" s="1"/>
  <c r="K118" i="52"/>
  <c r="L118" i="52" s="1"/>
  <c r="K117" i="52"/>
  <c r="L117" i="52" s="1"/>
  <c r="K116" i="52"/>
  <c r="L116" i="52" s="1"/>
  <c r="K115" i="52"/>
  <c r="L115" i="52" s="1"/>
  <c r="K112" i="52"/>
  <c r="L112" i="52" s="1"/>
  <c r="K111" i="52"/>
  <c r="L111" i="52" s="1"/>
  <c r="K109" i="52"/>
  <c r="L109" i="52" s="1"/>
  <c r="K105" i="52"/>
  <c r="L105" i="52" s="1"/>
  <c r="K104" i="52"/>
  <c r="L104" i="52" s="1"/>
  <c r="K103" i="52"/>
  <c r="L103" i="52" s="1"/>
  <c r="K102" i="52"/>
  <c r="L102" i="52" s="1"/>
  <c r="K101" i="52"/>
  <c r="L101" i="52" s="1"/>
  <c r="K100" i="52"/>
  <c r="L100" i="52" s="1"/>
  <c r="K99" i="52"/>
  <c r="L99" i="52" s="1"/>
  <c r="K98" i="52"/>
  <c r="L98" i="52" s="1"/>
  <c r="K97" i="52"/>
  <c r="L97" i="52" s="1"/>
  <c r="K96" i="52"/>
  <c r="L96" i="52" s="1"/>
  <c r="K95" i="52"/>
  <c r="L95" i="52" s="1"/>
  <c r="K94" i="52"/>
  <c r="L94" i="52" s="1"/>
  <c r="K93" i="52"/>
  <c r="L93" i="52" s="1"/>
  <c r="K92" i="52"/>
  <c r="L92" i="52" s="1"/>
  <c r="K91" i="52"/>
  <c r="L91" i="52" s="1"/>
  <c r="K90" i="52"/>
  <c r="L90" i="52" s="1"/>
  <c r="K89" i="52"/>
  <c r="L89" i="52" s="1"/>
  <c r="K88" i="52"/>
  <c r="L88" i="52" s="1"/>
  <c r="K87" i="52"/>
  <c r="L87" i="52" s="1"/>
  <c r="K86" i="52"/>
  <c r="L86" i="52" s="1"/>
  <c r="K84" i="52"/>
  <c r="L84" i="52" s="1"/>
  <c r="K83" i="52"/>
  <c r="L83" i="52" s="1"/>
  <c r="K82" i="52"/>
  <c r="L82" i="52" s="1"/>
  <c r="K81" i="52"/>
  <c r="L81" i="52" s="1"/>
  <c r="K80" i="52"/>
  <c r="L80" i="52" s="1"/>
  <c r="K78" i="52"/>
  <c r="L78" i="52" s="1"/>
  <c r="K77" i="52"/>
  <c r="L77" i="52" s="1"/>
  <c r="K76" i="52"/>
  <c r="L76" i="52" s="1"/>
  <c r="K67" i="52"/>
  <c r="L67" i="52" s="1"/>
  <c r="K66" i="52"/>
  <c r="L66" i="52" s="1"/>
  <c r="K65" i="52"/>
  <c r="L65" i="52" s="1"/>
  <c r="K64" i="52"/>
  <c r="L64" i="52" s="1"/>
  <c r="K63" i="52"/>
  <c r="L63" i="52" s="1"/>
  <c r="K62" i="52"/>
  <c r="L62" i="52" s="1"/>
  <c r="B74" i="52"/>
  <c r="I33" i="51" l="1"/>
  <c r="I29" i="51"/>
  <c r="I28" i="51"/>
  <c r="L107" i="52"/>
  <c r="I26" i="51" s="1"/>
  <c r="L144" i="52"/>
  <c r="I27" i="51" s="1"/>
  <c r="L74" i="52"/>
  <c r="L61" i="52"/>
  <c r="I24" i="51" s="1"/>
  <c r="I45" i="51"/>
  <c r="O289" i="52"/>
  <c r="P289" i="52" s="1"/>
  <c r="B144" i="52"/>
  <c r="A144" i="52"/>
  <c r="B107" i="52"/>
  <c r="A107" i="52"/>
  <c r="A74" i="52"/>
  <c r="B61" i="52"/>
  <c r="A61" i="52"/>
  <c r="B59" i="52"/>
  <c r="A59" i="52"/>
  <c r="K21" i="52"/>
  <c r="L21" i="52" s="1"/>
  <c r="M19" i="52"/>
  <c r="B10" i="52"/>
  <c r="A10" i="52"/>
  <c r="L55" i="52" l="1"/>
  <c r="L19" i="52"/>
  <c r="G25" i="51" s="1"/>
  <c r="L25" i="51" s="1"/>
  <c r="L23" i="51" s="1"/>
  <c r="I25" i="51" l="1"/>
  <c r="I16" i="51"/>
  <c r="I12" i="51"/>
  <c r="I13" i="51"/>
  <c r="I14" i="51"/>
  <c r="I15" i="51"/>
  <c r="I17" i="51"/>
  <c r="I18" i="51"/>
  <c r="I19" i="51"/>
  <c r="I20" i="51"/>
  <c r="I21" i="51"/>
  <c r="I11" i="51"/>
  <c r="N90" i="51" l="1"/>
  <c r="M246" i="51"/>
  <c r="M245" i="51" s="1"/>
  <c r="M231" i="51"/>
  <c r="M230" i="51"/>
  <c r="M229" i="51"/>
  <c r="M228" i="51"/>
  <c r="M227" i="51"/>
  <c r="M226" i="51"/>
  <c r="M225" i="51"/>
  <c r="M224" i="51"/>
  <c r="M223" i="51"/>
  <c r="M222" i="51"/>
  <c r="M221" i="51"/>
  <c r="M220" i="51"/>
  <c r="M219" i="51"/>
  <c r="M218" i="51"/>
  <c r="M217" i="51"/>
  <c r="M216" i="51"/>
  <c r="M215" i="51"/>
  <c r="M214" i="51"/>
  <c r="M213" i="51"/>
  <c r="M212" i="51"/>
  <c r="M211" i="51"/>
  <c r="M210" i="51"/>
  <c r="M209" i="51"/>
  <c r="M208" i="51"/>
  <c r="M207" i="51"/>
  <c r="M206" i="51"/>
  <c r="M205" i="51"/>
  <c r="M204" i="51"/>
  <c r="M203" i="51"/>
  <c r="M202" i="51"/>
  <c r="M193" i="51"/>
  <c r="M192" i="51"/>
  <c r="M191" i="51"/>
  <c r="M190" i="51"/>
  <c r="M189" i="51"/>
  <c r="M188" i="51"/>
  <c r="M187" i="51"/>
  <c r="M186" i="51"/>
  <c r="M185" i="51"/>
  <c r="M184" i="51"/>
  <c r="M183" i="51"/>
  <c r="M182" i="51"/>
  <c r="M181" i="51"/>
  <c r="M180" i="51"/>
  <c r="M179" i="51"/>
  <c r="M178" i="51"/>
  <c r="M177" i="51"/>
  <c r="M176" i="51"/>
  <c r="M175" i="51"/>
  <c r="M174" i="51"/>
  <c r="M173" i="51"/>
  <c r="M172" i="51"/>
  <c r="M171" i="51"/>
  <c r="M170" i="51"/>
  <c r="M169" i="51"/>
  <c r="M168" i="51"/>
  <c r="M167" i="51"/>
  <c r="M166" i="51"/>
  <c r="M165" i="51"/>
  <c r="M164" i="51"/>
  <c r="M163" i="51"/>
  <c r="M162" i="51"/>
  <c r="M161" i="51"/>
  <c r="M147" i="51"/>
  <c r="M146" i="51"/>
  <c r="M145" i="51"/>
  <c r="M144" i="51"/>
  <c r="M143" i="51"/>
  <c r="M142" i="51"/>
  <c r="M141" i="51"/>
  <c r="M140" i="51"/>
  <c r="M139" i="51"/>
  <c r="M129" i="51"/>
  <c r="M56" i="51"/>
  <c r="M55" i="51"/>
  <c r="M52" i="51"/>
  <c r="M51" i="51"/>
  <c r="M50" i="51"/>
  <c r="M49" i="51"/>
  <c r="M48" i="51"/>
  <c r="M47" i="51"/>
  <c r="M45" i="51"/>
  <c r="M11" i="51"/>
  <c r="M10" i="51" s="1"/>
  <c r="C74" i="51"/>
  <c r="L246" i="51"/>
  <c r="N246" i="51" s="1"/>
  <c r="L231" i="51"/>
  <c r="N231" i="51" s="1"/>
  <c r="L230" i="51"/>
  <c r="N230" i="51" s="1"/>
  <c r="L229" i="51"/>
  <c r="N229" i="51" s="1"/>
  <c r="L228" i="51"/>
  <c r="N228" i="51" s="1"/>
  <c r="L227" i="51"/>
  <c r="L226" i="51"/>
  <c r="L225" i="51"/>
  <c r="N225" i="51" s="1"/>
  <c r="L224" i="51"/>
  <c r="N224" i="51" s="1"/>
  <c r="L223" i="51"/>
  <c r="N223" i="51" s="1"/>
  <c r="L222" i="51"/>
  <c r="N222" i="51" s="1"/>
  <c r="L221" i="51"/>
  <c r="N221" i="51" s="1"/>
  <c r="L220" i="51"/>
  <c r="N220" i="51" s="1"/>
  <c r="L219" i="51"/>
  <c r="L218" i="51"/>
  <c r="N218" i="51" s="1"/>
  <c r="L217" i="51"/>
  <c r="N217" i="51" s="1"/>
  <c r="L216" i="51"/>
  <c r="N216" i="51" s="1"/>
  <c r="L215" i="51"/>
  <c r="N215" i="51" s="1"/>
  <c r="L214" i="51"/>
  <c r="N214" i="51" s="1"/>
  <c r="L213" i="51"/>
  <c r="N213" i="51" s="1"/>
  <c r="L212" i="51"/>
  <c r="N212" i="51" s="1"/>
  <c r="L211" i="51"/>
  <c r="L210" i="51"/>
  <c r="N210" i="51" s="1"/>
  <c r="L209" i="51"/>
  <c r="N209" i="51" s="1"/>
  <c r="L208" i="51"/>
  <c r="N208" i="51" s="1"/>
  <c r="L207" i="51"/>
  <c r="N207" i="51" s="1"/>
  <c r="L206" i="51"/>
  <c r="N206" i="51" s="1"/>
  <c r="L205" i="51"/>
  <c r="N205" i="51" s="1"/>
  <c r="L204" i="51"/>
  <c r="N204" i="51" s="1"/>
  <c r="L203" i="51"/>
  <c r="L202" i="51"/>
  <c r="L193" i="51"/>
  <c r="N193" i="51" s="1"/>
  <c r="L192" i="51"/>
  <c r="N192" i="51" s="1"/>
  <c r="L191" i="51"/>
  <c r="N191" i="51" s="1"/>
  <c r="L190" i="51"/>
  <c r="N190" i="51" s="1"/>
  <c r="L189" i="51"/>
  <c r="N189" i="51" s="1"/>
  <c r="L188" i="51"/>
  <c r="N188" i="51" s="1"/>
  <c r="L187" i="51"/>
  <c r="L186" i="51"/>
  <c r="N186" i="51" s="1"/>
  <c r="L185" i="51"/>
  <c r="N185" i="51" s="1"/>
  <c r="L184" i="51"/>
  <c r="N184" i="51" s="1"/>
  <c r="L183" i="51"/>
  <c r="N183" i="51" s="1"/>
  <c r="L182" i="51"/>
  <c r="N182" i="51" s="1"/>
  <c r="L181" i="51"/>
  <c r="N181" i="51" s="1"/>
  <c r="L180" i="51"/>
  <c r="N180" i="51" s="1"/>
  <c r="L179" i="51"/>
  <c r="L178" i="51"/>
  <c r="N178" i="51" s="1"/>
  <c r="L177" i="51"/>
  <c r="N177" i="51" s="1"/>
  <c r="L176" i="51"/>
  <c r="N176" i="51" s="1"/>
  <c r="L175" i="51"/>
  <c r="N175" i="51" s="1"/>
  <c r="L174" i="51"/>
  <c r="N174" i="51" s="1"/>
  <c r="L173" i="51"/>
  <c r="N173" i="51" s="1"/>
  <c r="L172" i="51"/>
  <c r="N172" i="51" s="1"/>
  <c r="L171" i="51"/>
  <c r="L170" i="51"/>
  <c r="N170" i="51" s="1"/>
  <c r="L169" i="51"/>
  <c r="N169" i="51" s="1"/>
  <c r="L168" i="51"/>
  <c r="N168" i="51" s="1"/>
  <c r="L167" i="51"/>
  <c r="N167" i="51" s="1"/>
  <c r="L166" i="51"/>
  <c r="N166" i="51" s="1"/>
  <c r="L165" i="51"/>
  <c r="N165" i="51" s="1"/>
  <c r="L164" i="51"/>
  <c r="N164" i="51" s="1"/>
  <c r="L163" i="51"/>
  <c r="L162" i="51"/>
  <c r="N162" i="51" s="1"/>
  <c r="L161" i="51"/>
  <c r="L147" i="51"/>
  <c r="N147" i="51" s="1"/>
  <c r="L146" i="51"/>
  <c r="N146" i="51" s="1"/>
  <c r="L145" i="51"/>
  <c r="N145" i="51" s="1"/>
  <c r="L144" i="51"/>
  <c r="N144" i="51" s="1"/>
  <c r="L143" i="51"/>
  <c r="N143" i="51" s="1"/>
  <c r="L142" i="51"/>
  <c r="L141" i="51"/>
  <c r="N141" i="51" s="1"/>
  <c r="L140" i="51"/>
  <c r="N140" i="51" s="1"/>
  <c r="L139" i="51"/>
  <c r="N139" i="51" s="1"/>
  <c r="L129" i="51"/>
  <c r="L56" i="51"/>
  <c r="L55" i="51"/>
  <c r="L54" i="51" s="1"/>
  <c r="L52" i="51"/>
  <c r="L51" i="51"/>
  <c r="L50" i="51"/>
  <c r="L49" i="51"/>
  <c r="L48" i="51"/>
  <c r="L47" i="51"/>
  <c r="L45" i="51"/>
  <c r="N129" i="51" l="1"/>
  <c r="L127" i="51"/>
  <c r="M201" i="51"/>
  <c r="N161" i="51"/>
  <c r="N202" i="51"/>
  <c r="L201" i="51"/>
  <c r="N226" i="51"/>
  <c r="M54" i="51"/>
  <c r="N142" i="51"/>
  <c r="N163" i="51"/>
  <c r="N171" i="51"/>
  <c r="N179" i="51"/>
  <c r="N187" i="51"/>
  <c r="N203" i="51"/>
  <c r="N211" i="51"/>
  <c r="N219" i="51"/>
  <c r="N227" i="51"/>
  <c r="M35" i="51"/>
  <c r="M127" i="51"/>
  <c r="L35" i="51"/>
  <c r="N245" i="51"/>
  <c r="L245" i="51"/>
  <c r="N11" i="51"/>
  <c r="I67" i="51"/>
  <c r="N59" i="51"/>
  <c r="N58" i="51" s="1"/>
  <c r="I70" i="51"/>
  <c r="L297" i="52" s="1"/>
  <c r="L299" i="52" s="1"/>
  <c r="N201" i="51" l="1"/>
  <c r="N12" i="51"/>
  <c r="N13" i="51"/>
  <c r="N14" i="51"/>
  <c r="N15" i="51"/>
  <c r="N16" i="51"/>
  <c r="N17" i="51"/>
  <c r="N18" i="51"/>
  <c r="N19" i="51"/>
  <c r="N20" i="51"/>
  <c r="N21" i="51"/>
  <c r="N24" i="51"/>
  <c r="N25" i="51"/>
  <c r="N26" i="51"/>
  <c r="N27" i="51"/>
  <c r="N28" i="51"/>
  <c r="N29" i="51"/>
  <c r="N30" i="51"/>
  <c r="N31" i="51"/>
  <c r="N32" i="51"/>
  <c r="N33" i="51"/>
  <c r="K45" i="51"/>
  <c r="N47" i="51"/>
  <c r="K48" i="51"/>
  <c r="N48" i="51" s="1"/>
  <c r="K49" i="51"/>
  <c r="N49" i="51" s="1"/>
  <c r="K50" i="51"/>
  <c r="N50" i="51" s="1"/>
  <c r="K51" i="51"/>
  <c r="N51" i="51" s="1"/>
  <c r="K52" i="51"/>
  <c r="N52" i="51" s="1"/>
  <c r="K54" i="51"/>
  <c r="N56" i="51"/>
  <c r="N80" i="51"/>
  <c r="N81" i="51"/>
  <c r="N82" i="51"/>
  <c r="N83" i="51"/>
  <c r="N84" i="51"/>
  <c r="N85" i="51"/>
  <c r="N86" i="51"/>
  <c r="N87" i="51"/>
  <c r="N88" i="51"/>
  <c r="N89" i="51"/>
  <c r="K150" i="51"/>
  <c r="N45" i="51" l="1"/>
  <c r="N35" i="51" s="1"/>
  <c r="K35" i="51"/>
  <c r="N23" i="51"/>
  <c r="N150" i="51"/>
  <c r="K127" i="51"/>
  <c r="K275" i="51" s="1"/>
  <c r="N233" i="51"/>
  <c r="N127" i="51"/>
  <c r="N77" i="51"/>
  <c r="N10" i="51"/>
  <c r="N79" i="51"/>
  <c r="N55" i="51"/>
  <c r="N54" i="51" s="1"/>
  <c r="M199" i="51" l="1"/>
  <c r="M198" i="51"/>
  <c r="M197" i="51"/>
  <c r="M196" i="51"/>
  <c r="L195" i="51" l="1"/>
  <c r="N195" i="51" s="1"/>
  <c r="M195" i="51"/>
  <c r="L194" i="51"/>
  <c r="M194" i="51"/>
  <c r="M160" i="51" s="1"/>
  <c r="L196" i="51"/>
  <c r="N196" i="51" s="1"/>
  <c r="L199" i="51"/>
  <c r="N199" i="51" s="1"/>
  <c r="L197" i="51"/>
  <c r="N197" i="51" s="1"/>
  <c r="L198" i="51"/>
  <c r="N198" i="51" s="1"/>
  <c r="N194" i="51" l="1"/>
  <c r="N160" i="51" s="1"/>
  <c r="L160" i="51"/>
  <c r="M275" i="51"/>
  <c r="L275" i="51" l="1"/>
  <c r="K276" i="51" s="1"/>
  <c r="K277" i="51" s="1"/>
  <c r="N275" i="51"/>
  <c r="L748" i="52" l="1"/>
  <c r="K95" i="54" l="1"/>
  <c r="J95" i="54"/>
  <c r="J87" i="54" s="1"/>
  <c r="J86" i="54" s="1"/>
  <c r="J284" i="54" s="1"/>
  <c r="B24" i="56" s="1"/>
  <c r="B26" i="56" s="1"/>
  <c r="I13" i="54" l="1"/>
  <c r="K284" i="54"/>
  <c r="K87" i="54"/>
  <c r="L95" i="54"/>
  <c r="K86" i="54" l="1"/>
  <c r="L87" i="54"/>
</calcChain>
</file>

<file path=xl/sharedStrings.xml><?xml version="1.0" encoding="utf-8"?>
<sst xmlns="http://schemas.openxmlformats.org/spreadsheetml/2006/main" count="2076" uniqueCount="1070">
  <si>
    <t>m²</t>
  </si>
  <si>
    <t>m</t>
  </si>
  <si>
    <t>Local:</t>
  </si>
  <si>
    <t>Obra:</t>
  </si>
  <si>
    <t>Prefeitura Municipal de Sousa</t>
  </si>
  <si>
    <t>un</t>
  </si>
  <si>
    <t>Item</t>
  </si>
  <si>
    <t>UN</t>
  </si>
  <si>
    <t>ITEM</t>
  </si>
  <si>
    <t>Proponente:</t>
  </si>
  <si>
    <t>INSUMO</t>
  </si>
  <si>
    <t>CÓDIGO</t>
  </si>
  <si>
    <t>OBSERVAÇÃO:</t>
  </si>
  <si>
    <t>ELABORADO POR:</t>
  </si>
  <si>
    <t>APROVADO POR:</t>
  </si>
  <si>
    <t>Assinatura</t>
  </si>
  <si>
    <t>NOME</t>
  </si>
  <si>
    <t>DATA:</t>
  </si>
  <si>
    <t>5.10</t>
  </si>
  <si>
    <t>Reforma e ampliação secretaria de educação</t>
  </si>
  <si>
    <t>R. Dep. José de Paiva Gadelha, B. Gato Preto,  Sousa-PB</t>
  </si>
  <si>
    <t>PLANILHA RESUMO DE COTAÇÕES</t>
  </si>
  <si>
    <t>COTAÇÃO 1</t>
  </si>
  <si>
    <t>COTAÇÃO 2</t>
  </si>
  <si>
    <t>COTAÇÃO 3</t>
  </si>
  <si>
    <t>FORNECEDOR</t>
  </si>
  <si>
    <t>CNPJ</t>
  </si>
  <si>
    <t>CONTATO/SITE</t>
  </si>
  <si>
    <t>VALOR</t>
  </si>
  <si>
    <t>Perfil Enrijecido 3" 40MM 2,00MM 6000MM</t>
  </si>
  <si>
    <t>Perfil U 4" 40MM 2,00MM 6000MM</t>
  </si>
  <si>
    <t>Cantoneira 1X1/8 6M GG</t>
  </si>
  <si>
    <t>M.F.C MATERIAL DE CONSTRUÇÃO ANDRADE LTDA</t>
  </si>
  <si>
    <t>12.668.208/0001-62</t>
  </si>
  <si>
    <t>(83)3531-4575</t>
  </si>
  <si>
    <t>12.668.208/0001-63</t>
  </si>
  <si>
    <t>12.668.208/0001-64</t>
  </si>
  <si>
    <t>(83)3531-4576</t>
  </si>
  <si>
    <t>(83)3531-4577</t>
  </si>
  <si>
    <t>VIEIRA AÇO INDUSTRIA E COMERCIO LTDA</t>
  </si>
  <si>
    <t>12.281.632/0007-45</t>
  </si>
  <si>
    <t>(83)3521-1053</t>
  </si>
  <si>
    <t>12.281.632/0007-46</t>
  </si>
  <si>
    <t>12.281.632/0007-47</t>
  </si>
  <si>
    <t>(83)3521-1054</t>
  </si>
  <si>
    <t>(83)3521-1055</t>
  </si>
  <si>
    <t>MARIA DO SOCORRO OLIVEIRA DE SOUSA FERRAGENS</t>
  </si>
  <si>
    <t>19.748.412/0001-32</t>
  </si>
  <si>
    <t>metalsaurosousa@hotmail.com</t>
  </si>
  <si>
    <t>19.748.412/0001-33</t>
  </si>
  <si>
    <t>19.748.412/0001-34</t>
  </si>
  <si>
    <t>PREÇO LEVADO A LICITAÇÃO (R$)</t>
  </si>
  <si>
    <t>PREÇO LICITADO (R$)</t>
  </si>
  <si>
    <t>VALOR DO DESCONTO (R$)</t>
  </si>
  <si>
    <t>PERCENTUAL DO DESCONTO (%)</t>
  </si>
  <si>
    <t>FONTE</t>
  </si>
  <si>
    <t>DESCRIÇÃO</t>
  </si>
  <si>
    <t>UNIDADE</t>
  </si>
  <si>
    <t>PREÇO UNIT</t>
  </si>
  <si>
    <t>TOTAL COM DESCONTO DA LICITAÇÃO  (R$)</t>
  </si>
  <si>
    <t>TOTAL COM BDI - 27,35% (R$)</t>
  </si>
  <si>
    <t>CPU 01</t>
  </si>
  <si>
    <t>97627</t>
  </si>
  <si>
    <t>M3</t>
  </si>
  <si>
    <t>ELETRODUTO RÍGIDO ROSCÁVEL, PVC, DN 25 MM (3/4"), PARA CIRCUITOS TERMINAIS, INSTALADO EM PAREDE - FORNECIMENTO E INSTALAÇÃO. AF_12/2015</t>
  </si>
  <si>
    <t>91871</t>
  </si>
  <si>
    <t>ELETRODUTO RÍGIDO ROSCÁVEL, PVC, DN 40 MM (1 1/4"), PARA CIRCUITOS TERMINAIS, INSTALADO EM PAREDE - FORNECIMENTO E INSTALAÇÃO. AF_12/2015</t>
  </si>
  <si>
    <t>M</t>
  </si>
  <si>
    <t>LUVA PARA ELETRODUTO, PVC, ROSCÁVEL, DN 25 MM (3/4"), PARA CIRCUITOS TERMINAIS, INSTALADA EM FORRO - FORNECIMENTO E INSTALAÇÃO. AF_12/2015</t>
  </si>
  <si>
    <t>91875</t>
  </si>
  <si>
    <t>91877</t>
  </si>
  <si>
    <t>LUVA PARA ELETRODUTO, PVC, ROSCÁVEL, DN 40 MM (1 1/4"), PARA CIRCUITOS TERMINAIS, INSTALADA EM FORRO - FORNECIMENTO E INSTALAÇÃO. AF_12/2015</t>
  </si>
  <si>
    <t>91890</t>
  </si>
  <si>
    <t>CURVA 90 GRAUS PARA ELETRODUTO, PVC, ROSCÁVEL, DN 25 MM (3/4"), PARA CIRCUITOS TERMINAIS, INSTALADA EM FORRO - FORNECIMENTO E INSTALAÇÃO. AF_12/2015</t>
  </si>
  <si>
    <t>91896</t>
  </si>
  <si>
    <t>CURVA 90 GRAUS PARA ELETRODUTO, PVC, ROSCÁVEL, DN 40 MM (1 1/4"), PARA CIRCUITOS TERMINAIS, INSTALADA EM FORRO - FORNECIMENTO E INSTALAÇÃO. AF_12/2015</t>
  </si>
  <si>
    <t>92541</t>
  </si>
  <si>
    <t>TRAMA DE MADEIRA COMPOSTA POR RIPAS, CAIBROS E TERÇAS PARA TELHADOS DE ATÉ 2 ÁGUAS PARA TELHA CERÂMICA CAPA-CANAL, INCLUSO TRANSPORTE VERTICAL. AF_07/2019</t>
  </si>
  <si>
    <t>M2</t>
  </si>
  <si>
    <t>Desconto da licitação (2,50 %) (R$)</t>
  </si>
  <si>
    <t>SINAPI</t>
  </si>
  <si>
    <t>SERVIÇOS FINAIS</t>
  </si>
  <si>
    <t>LOUÇAS E METAIS</t>
  </si>
  <si>
    <t>FACHADA</t>
  </si>
  <si>
    <t>ESQUADRIAS / VIDROS</t>
  </si>
  <si>
    <t>COMBATE A INCÊNDIO</t>
  </si>
  <si>
    <t>INSTALAÇÕES ELÉTRICAS</t>
  </si>
  <si>
    <t xml:space="preserve">INSTALAÇÕES ÁGUAS PLUVIAL </t>
  </si>
  <si>
    <t>9.3</t>
  </si>
  <si>
    <t>INSTALAÇÕES SANITÁRIAS</t>
  </si>
  <si>
    <t>9.2</t>
  </si>
  <si>
    <t>INSTALAÇÕES HIDRÁULICAS</t>
  </si>
  <si>
    <t>9.1</t>
  </si>
  <si>
    <t>INSTALAÇÕES HIDROSSANITÁRIAS</t>
  </si>
  <si>
    <t>PINTURA</t>
  </si>
  <si>
    <t>REVESTIMENTOS</t>
  </si>
  <si>
    <t>Fornecimento e instalação de tela aço soldada nervurada CA-60, Q-92, malha 15x15cm, ferro 4.2mm (1.48 kg/m2), painel 2,45x6,0m, Telcon ou similar</t>
  </si>
  <si>
    <t>LASTRO DE CONCRETO MAGRO, APLICADO EM PISOS, LAJES SOBRE SOLO OU RADIERS, ESPESSURA DE 5 CM. AF_07/2016</t>
  </si>
  <si>
    <t>CAMADA SEPARADORA PARA EXECUÇÃO DE RADIER, PISO DE CONCRETO OU LAJE SOBRE SOLO, EM LONA PLÁSTICA. AF_09/2021</t>
  </si>
  <si>
    <t>ÁREA INTERNA</t>
  </si>
  <si>
    <t>6.2</t>
  </si>
  <si>
    <t>ÁREA EXTERNA</t>
  </si>
  <si>
    <t>6.1</t>
  </si>
  <si>
    <t>PAVIMENTAÇÃO</t>
  </si>
  <si>
    <t>COBERTURA</t>
  </si>
  <si>
    <t>ALVENARIA DE VEDAÇÃO DE BLOCOS CERÂMICOS FURADOS 9x19x19 CM (ESPESSURA 19CM) E ARGAMASSA DE ASSENTAMENTO COM PREPARO EM BETONEIRA</t>
  </si>
  <si>
    <t>ALVENARIA DE VEDAÇÃO DE BLOCOS CERÂMICOS FURADOS NA HORIZONTAL DE 9X19X19CM (ESPESSURA 9CM) DE PAREDES COM ÁREA LÍQUIDA MAIOR OU IGUAL A 6M² SEM VÃOS E ARGAMASSA DE ASSENTAMENTO COM PREPARO EM BETONEIRA. AF_06/2014</t>
  </si>
  <si>
    <t>PAREDES E FECHAMENTOS</t>
  </si>
  <si>
    <t>VERGAS E CONTRA VERGAS</t>
  </si>
  <si>
    <t>3.3</t>
  </si>
  <si>
    <t>LAJE</t>
  </si>
  <si>
    <t>3.2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</si>
  <si>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</si>
  <si>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</si>
  <si>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CONCRETO ARMADO (PILARES / VIGAS)</t>
  </si>
  <si>
    <t>3.1</t>
  </si>
  <si>
    <t>SUPERESTRUTURA</t>
  </si>
  <si>
    <t>Impermeabilização de alicerce e viga baldrame com 2 demãos de tinta asfáltica tipo Neutrol da Vedacit ou similar, exceto argamassa impermeabilização</t>
  </si>
  <si>
    <t>ARMAÇÃO DE BLOCO, VIGA BALDRAME OU SAPATA UTILIZANDO AÇO CA-50 DE 10 MM - MONTAGEM. AF_06/2017</t>
  </si>
  <si>
    <t>Forma plana para fundações, em compensado resinado 12mm, 07 usos</t>
  </si>
  <si>
    <t>INFRAESTRUTURA</t>
  </si>
  <si>
    <t>DEMOLIÇÕES / RETIRADAS / SERVIÇOS PRELIMINARES</t>
  </si>
  <si>
    <t>ESTADO DA PARAÍBA</t>
  </si>
  <si>
    <t>PREFEITURA MUNICIPAL DE SOUSA</t>
  </si>
  <si>
    <t xml:space="preserve">REPROGRAMAÇÃO </t>
  </si>
  <si>
    <r>
      <rPr>
        <b/>
        <sz val="7"/>
        <rFont val="Arial"/>
        <family val="2"/>
      </rPr>
      <t>ITEM</t>
    </r>
  </si>
  <si>
    <t>REFERÊNCIA</t>
  </si>
  <si>
    <t>ORIGEM</t>
  </si>
  <si>
    <t>UND.</t>
  </si>
  <si>
    <t>QUANTIDADES</t>
  </si>
  <si>
    <t>PREÇO UNITÁRIO COM BDI</t>
  </si>
  <si>
    <t>PREÇO TOTAL R$</t>
  </si>
  <si>
    <t>REPROGRAMADA</t>
  </si>
  <si>
    <t>REPROGRAMADO</t>
  </si>
  <si>
    <t>ORSE-SET/2021</t>
  </si>
  <si>
    <t>SINAPI-SET/2021</t>
  </si>
  <si>
    <t xml:space="preserve">CPU </t>
  </si>
  <si>
    <t>SEINFRA 027.1</t>
  </si>
  <si>
    <t>CPU</t>
  </si>
  <si>
    <t xml:space="preserve">COTAÇÃO </t>
  </si>
  <si>
    <t>04268</t>
  </si>
  <si>
    <t>97647</t>
  </si>
  <si>
    <t>97650</t>
  </si>
  <si>
    <t>97651</t>
  </si>
  <si>
    <t>97625</t>
  </si>
  <si>
    <t>97629</t>
  </si>
  <si>
    <t>00020</t>
  </si>
  <si>
    <t>C1630</t>
  </si>
  <si>
    <t>00051</t>
  </si>
  <si>
    <t>94319</t>
  </si>
  <si>
    <t>96523</t>
  </si>
  <si>
    <t>93382</t>
  </si>
  <si>
    <t>95241</t>
  </si>
  <si>
    <t>C4592</t>
  </si>
  <si>
    <t>00088</t>
  </si>
  <si>
    <t>96546</t>
  </si>
  <si>
    <t>94965</t>
  </si>
  <si>
    <t>04953</t>
  </si>
  <si>
    <t>92775</t>
  </si>
  <si>
    <t>92776</t>
  </si>
  <si>
    <t>92778</t>
  </si>
  <si>
    <t>92779</t>
  </si>
  <si>
    <t>03366</t>
  </si>
  <si>
    <t>101963</t>
  </si>
  <si>
    <t>93184</t>
  </si>
  <si>
    <t>93185</t>
  </si>
  <si>
    <t>93182</t>
  </si>
  <si>
    <t>93183</t>
  </si>
  <si>
    <t>93194</t>
  </si>
  <si>
    <t>93195</t>
  </si>
  <si>
    <t>87503</t>
  </si>
  <si>
    <t>CPU 02</t>
  </si>
  <si>
    <t>CPU 03</t>
  </si>
  <si>
    <t>94216</t>
  </si>
  <si>
    <t>94213</t>
  </si>
  <si>
    <t>94201</t>
  </si>
  <si>
    <t>00254</t>
  </si>
  <si>
    <t>09077</t>
  </si>
  <si>
    <t>00304</t>
  </si>
  <si>
    <t>100327</t>
  </si>
  <si>
    <t>94229</t>
  </si>
  <si>
    <t>98547</t>
  </si>
  <si>
    <t>93680</t>
  </si>
  <si>
    <t>92397</t>
  </si>
  <si>
    <t>92394</t>
  </si>
  <si>
    <t>101731</t>
  </si>
  <si>
    <t>98504</t>
  </si>
  <si>
    <t>09418</t>
  </si>
  <si>
    <t>12436</t>
  </si>
  <si>
    <t>94273</t>
  </si>
  <si>
    <t>94990</t>
  </si>
  <si>
    <t>03637</t>
  </si>
  <si>
    <t>97087</t>
  </si>
  <si>
    <t>87630</t>
  </si>
  <si>
    <t>87256</t>
  </si>
  <si>
    <t>88650</t>
  </si>
  <si>
    <t>98689</t>
  </si>
  <si>
    <t>101092</t>
  </si>
  <si>
    <t>101744</t>
  </si>
  <si>
    <t>87879</t>
  </si>
  <si>
    <t>87529</t>
  </si>
  <si>
    <t>87788</t>
  </si>
  <si>
    <t>87531</t>
  </si>
  <si>
    <t>87273</t>
  </si>
  <si>
    <t>C4446</t>
  </si>
  <si>
    <t>88485</t>
  </si>
  <si>
    <t>88484</t>
  </si>
  <si>
    <t>8624</t>
  </si>
  <si>
    <t>88497</t>
  </si>
  <si>
    <t>88494</t>
  </si>
  <si>
    <t>88488</t>
  </si>
  <si>
    <t>88489</t>
  </si>
  <si>
    <t>100725</t>
  </si>
  <si>
    <t>102197</t>
  </si>
  <si>
    <t>102220</t>
  </si>
  <si>
    <t>102491</t>
  </si>
  <si>
    <t>89957</t>
  </si>
  <si>
    <t>89987</t>
  </si>
  <si>
    <t>89403</t>
  </si>
  <si>
    <t>89481</t>
  </si>
  <si>
    <t>89492</t>
  </si>
  <si>
    <t>89620</t>
  </si>
  <si>
    <t>89440</t>
  </si>
  <si>
    <t>89383</t>
  </si>
  <si>
    <t>01683</t>
  </si>
  <si>
    <t>01678</t>
  </si>
  <si>
    <t>01679</t>
  </si>
  <si>
    <t>98110</t>
  </si>
  <si>
    <t>97906</t>
  </si>
  <si>
    <t>89707</t>
  </si>
  <si>
    <t>89798</t>
  </si>
  <si>
    <t>01594</t>
  </si>
  <si>
    <t>89800</t>
  </si>
  <si>
    <t>89576</t>
  </si>
  <si>
    <t>89581</t>
  </si>
  <si>
    <t>89669</t>
  </si>
  <si>
    <t>89687</t>
  </si>
  <si>
    <t>99255</t>
  </si>
  <si>
    <t>91844</t>
  </si>
  <si>
    <t>91846</t>
  </si>
  <si>
    <t>97667</t>
  </si>
  <si>
    <t>93008</t>
  </si>
  <si>
    <t>93013</t>
  </si>
  <si>
    <t>91940</t>
  </si>
  <si>
    <t>91943</t>
  </si>
  <si>
    <t>91936</t>
  </si>
  <si>
    <t>08896</t>
  </si>
  <si>
    <t>91924</t>
  </si>
  <si>
    <t>91926</t>
  </si>
  <si>
    <t>91928</t>
  </si>
  <si>
    <t>09205</t>
  </si>
  <si>
    <t>91953</t>
  </si>
  <si>
    <t>91959</t>
  </si>
  <si>
    <t>91967</t>
  </si>
  <si>
    <t>91961</t>
  </si>
  <si>
    <t>92000</t>
  </si>
  <si>
    <t>91993</t>
  </si>
  <si>
    <t>CPU 04</t>
  </si>
  <si>
    <t>CPU 05</t>
  </si>
  <si>
    <t>09465</t>
  </si>
  <si>
    <t>07294</t>
  </si>
  <si>
    <t>C1678</t>
  </si>
  <si>
    <t>CPU 06</t>
  </si>
  <si>
    <t>93653</t>
  </si>
  <si>
    <t>93654</t>
  </si>
  <si>
    <t>93655</t>
  </si>
  <si>
    <t>93657</t>
  </si>
  <si>
    <t>C2068</t>
  </si>
  <si>
    <t>00693</t>
  </si>
  <si>
    <t>00648</t>
  </si>
  <si>
    <t>102619</t>
  </si>
  <si>
    <t>01511</t>
  </si>
  <si>
    <t>101911</t>
  </si>
  <si>
    <t>101905</t>
  </si>
  <si>
    <t>97599</t>
  </si>
  <si>
    <t>101913</t>
  </si>
  <si>
    <t>01510</t>
  </si>
  <si>
    <t>20974</t>
  </si>
  <si>
    <t>09812</t>
  </si>
  <si>
    <t>101917</t>
  </si>
  <si>
    <t>09670</t>
  </si>
  <si>
    <t>94499</t>
  </si>
  <si>
    <t>92346</t>
  </si>
  <si>
    <t>92357</t>
  </si>
  <si>
    <t>92367</t>
  </si>
  <si>
    <t>10332</t>
  </si>
  <si>
    <t>08091</t>
  </si>
  <si>
    <t>102158</t>
  </si>
  <si>
    <t>90845</t>
  </si>
  <si>
    <t>90846</t>
  </si>
  <si>
    <t>01770</t>
  </si>
  <si>
    <t>CPU 07</t>
  </si>
  <si>
    <t>94807</t>
  </si>
  <si>
    <t>11940</t>
  </si>
  <si>
    <t>CPU 08</t>
  </si>
  <si>
    <t>01996</t>
  </si>
  <si>
    <t>86936</t>
  </si>
  <si>
    <t>02008</t>
  </si>
  <si>
    <t>86909</t>
  </si>
  <si>
    <t>86886</t>
  </si>
  <si>
    <t>86916</t>
  </si>
  <si>
    <t>08710</t>
  </si>
  <si>
    <t>100868</t>
  </si>
  <si>
    <t>100874</t>
  </si>
  <si>
    <t>95547</t>
  </si>
  <si>
    <t>95544</t>
  </si>
  <si>
    <t>08814</t>
  </si>
  <si>
    <t>07774</t>
  </si>
  <si>
    <t>CPU 09</t>
  </si>
  <si>
    <t>11489</t>
  </si>
  <si>
    <t>11099</t>
  </si>
  <si>
    <t>13077</t>
  </si>
  <si>
    <t>10724</t>
  </si>
  <si>
    <t>02450</t>
  </si>
  <si>
    <t>SINAPI-SET/2022</t>
  </si>
  <si>
    <t>SINAPI-SET/2023</t>
  </si>
  <si>
    <t>SINAPI-SET/2024</t>
  </si>
  <si>
    <t>SINAPI-SET/2025</t>
  </si>
  <si>
    <t>SINAPI-SET/2026</t>
  </si>
  <si>
    <t>PINTURA ANTICORROSIVA DE DUTO METÁLICO. AF_04/2018</t>
  </si>
  <si>
    <t>FORRO EM DRYWALL, PARA AMBIENTES COMERCIAIS, INCLUSIVE ESTRUTURA DE FIXAÇÃO. AF_05/2017_P</t>
  </si>
  <si>
    <t>CALHA EM CHAPA DE AÇO GALVANIZADO NÚMERO 24, DESENVOLVIMENTO DE 100 CM, INCLUSO TRANSPORTE VERTICAL. AF_07/2019</t>
  </si>
  <si>
    <t>Calha em chapa de aço galvanizado nº 26, desenvolvimento 86 cm (fundo=32 cm, laterais=15 cm, bordas=12cm)</t>
  </si>
  <si>
    <t>ORSE</t>
  </si>
  <si>
    <t>REFORMA E AMPLIAÇÃO DA SECRETARIA DE EDUCAÇÃO, NO MUNICÍPIO DE SOUSA/PB.</t>
  </si>
  <si>
    <t>TOMADA DE PREÇO 006/2022 - CONTRATO Nº 0483/2022</t>
  </si>
  <si>
    <t>5.1</t>
  </si>
  <si>
    <t>ESTRUTURA METÁLICA P/ COBERTURA C/ VIGAS - TRELIÇADAS E TERÇAS</t>
  </si>
  <si>
    <t>CPU 10</t>
  </si>
  <si>
    <r>
      <t>5.13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</si>
  <si>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</si>
  <si>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5.9</t>
  </si>
  <si>
    <t>ACRESCIDO</t>
  </si>
  <si>
    <t>SUPRIMIDO</t>
  </si>
  <si>
    <t>EXECUÇÃO DE PÁTIO/ESTACIONAMENTO EM PISO INTERTRAVADO, COM BLOCO RETANGULAR COR NATURAL DE 20 X 10 CM, ESPESSURA 8 CM. AF_12/2015</t>
  </si>
  <si>
    <t>6.1.12</t>
  </si>
  <si>
    <t>6.1.3</t>
  </si>
  <si>
    <t>EXECUÇÃO DE PAVIMENTO EM PISO INTERTRAVADO, COM BLOCO SEXTAVADO DE 25 X 25 CM, ESPESSURA 8 CM. AF_12/2015</t>
  </si>
  <si>
    <t>MEMÓRIA DE CÁLCULO - QUANTIDADES</t>
  </si>
  <si>
    <t>Proprietário:</t>
  </si>
  <si>
    <t>Responsável Técnico: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</si>
  <si>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</si>
  <si>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</si>
  <si>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</si>
  <si>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</si>
  <si>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</si>
  <si>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</si>
  <si>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</si>
  <si>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</si>
  <si>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</si>
  <si>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</si>
  <si>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</si>
  <si>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</si>
  <si>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</si>
  <si>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</si>
  <si>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Área da garagem</t>
  </si>
  <si>
    <t>GARAGEM</t>
  </si>
  <si>
    <t>S8</t>
  </si>
  <si>
    <t>S9 = S10</t>
  </si>
  <si>
    <t>Valas vigas baldrames</t>
  </si>
  <si>
    <t>AUDITÓRIO</t>
  </si>
  <si>
    <t>S9 A S27</t>
  </si>
  <si>
    <t>S37=S38=S39</t>
  </si>
  <si>
    <t>S40</t>
  </si>
  <si>
    <t>S41</t>
  </si>
  <si>
    <t>S47=S48=S49=S50=S52</t>
  </si>
  <si>
    <t>Auditorio</t>
  </si>
  <si>
    <t>PERCENTUAL DO ADITIVO</t>
  </si>
  <si>
    <t>Pilares</t>
  </si>
  <si>
    <t>Área Auditorio (palco)</t>
  </si>
  <si>
    <t xml:space="preserve">Área Auditorio </t>
  </si>
  <si>
    <t>Área Auditorio</t>
  </si>
  <si>
    <t>S1 a S18</t>
  </si>
  <si>
    <t>S1 A S8</t>
  </si>
  <si>
    <t>S28 A S35</t>
  </si>
  <si>
    <t>S42</t>
  </si>
  <si>
    <t>S43</t>
  </si>
  <si>
    <t>S44=S45</t>
  </si>
  <si>
    <t>S36=S48</t>
  </si>
  <si>
    <t>ANEXO CANTINA</t>
  </si>
  <si>
    <t>S46=57=72=76</t>
  </si>
  <si>
    <t>S51=64=66=68</t>
  </si>
  <si>
    <t>S54=55=58=61=65=67=70=73</t>
  </si>
  <si>
    <t>S53</t>
  </si>
  <si>
    <t>S46=56=75</t>
  </si>
  <si>
    <t>S58=74</t>
  </si>
  <si>
    <t>S63</t>
  </si>
  <si>
    <t>S71</t>
  </si>
  <si>
    <t>S3 A S8</t>
  </si>
  <si>
    <t>S46</t>
  </si>
  <si>
    <t>S1=S2=S3=S4=S5=S6=S7=S11=S12=S13=S14=S15=S16=S17=S18</t>
  </si>
  <si>
    <t>S72</t>
  </si>
  <si>
    <t>TELHAMENTO COM TELHA DE AÇO/ALUMÍNIO E = 0,5 MM, COM ATÉ 2 ÁGUAS, INCL M2 USO IÇAMENTO. AF_07/2019</t>
  </si>
  <si>
    <t>COTAÇÃO 4</t>
  </si>
  <si>
    <t>AÇO BRAZIL CG</t>
  </si>
  <si>
    <t>ORSE-SE - 09/2021</t>
  </si>
  <si>
    <t>SEINFRA-CE V.027.1</t>
  </si>
  <si>
    <t xml:space="preserve">Referências:  </t>
  </si>
  <si>
    <t xml:space="preserve"> SINAPI-PB - 09/2021</t>
  </si>
  <si>
    <t>LAJE PRÉ-MOLDADA UNIDIRECIONAL, BIAPOIADA, PARA PISO, ENCHIMENTO EM CERÂMICA, VIGOTA CONVENCIONAL, ALTURA TOTAL DA LAJE (ENCHIMENTO+CAPA) = (8+4). AF_11/2020</t>
  </si>
  <si>
    <t>m2</t>
  </si>
  <si>
    <t>5.0</t>
  </si>
  <si>
    <t>5.16</t>
  </si>
  <si>
    <t>VALOR DO ADITIVO (R$)</t>
  </si>
  <si>
    <t>VALORES TOTAIS (R$)</t>
  </si>
  <si>
    <r>
      <t>5.14</t>
    </r>
    <r>
      <rPr>
        <sz val="11"/>
        <color theme="1"/>
        <rFont val="Calibri"/>
        <family val="2"/>
        <scheme val="minor"/>
      </rPr>
      <t/>
    </r>
  </si>
  <si>
    <r>
      <t>5.15</t>
    </r>
    <r>
      <rPr>
        <sz val="11"/>
        <color theme="1"/>
        <rFont val="Calibri"/>
        <family val="2"/>
        <scheme val="minor"/>
      </rPr>
      <t/>
    </r>
  </si>
  <si>
    <r>
      <rPr>
        <b/>
        <sz val="7"/>
        <rFont val="Arial"/>
        <family val="2"/>
      </rPr>
      <t>DESCRIÇÃO</t>
    </r>
    <r>
      <rPr>
        <b/>
        <sz val="6"/>
        <rFont val="Arial"/>
        <family val="2"/>
      </rPr>
      <t xml:space="preserve"> DOS SERVIÇOS</t>
    </r>
  </si>
  <si>
    <t>1.1</t>
  </si>
  <si>
    <t>Remoção de árvore, porte médio, com utilização de retro-escavadeira</t>
  </si>
  <si>
    <t>1.2</t>
  </si>
  <si>
    <t>REMOÇÃO DE TELHAS, DE FIBROCIMENTO, METÁLICA E CERÂMICA, DE FORMA MANUAL, SEM REAPROVEITAMENTO. AF_12/2017</t>
  </si>
  <si>
    <t>1.3</t>
  </si>
  <si>
    <t>REMOÇÃO DE TRAMA DE MADEIRA PARA COBERTURA, DE FORMA MANUAL, SEM REAPROVEITAMENTO. AF_12/2017</t>
  </si>
  <si>
    <t>1.4</t>
  </si>
  <si>
    <t>REMOÇÃO DE TESOURAS DE MADEIRA, COM VÃO MENOR QUE 8M, DE FORMA MANUAL, SEM REAPROVEITAMENTO. AF_12/2017</t>
  </si>
  <si>
    <t>1.5</t>
  </si>
  <si>
    <t>DEMOLIÇÃO DE ALVENARIA PARA QUALQUER TIPO DE BLOCO, DE FORMA MECANIZADA, SEM REAPROVEITAMENTO. AF_12/2017</t>
  </si>
  <si>
    <t>1.6</t>
  </si>
  <si>
    <t>DEMOLIÇÃO DE PILARES E VIGAS EM CONCRETO ARMADO, DE FORMA MECANIZADA COM MARTELETE, SEM REAPROVEITAMENTO. AF_12/2017</t>
  </si>
  <si>
    <t>1.7</t>
  </si>
  <si>
    <t>DEMOLIÇÃO DE LAJES, DE FORMA MECANIZADA COM MARTELETE, SEM REAPROVEITAMENTO. AF_12/2017</t>
  </si>
  <si>
    <t>1.8</t>
  </si>
  <si>
    <t>Demolição de pavimentação em paralelepípedo ou pré-moldados de concreto c/ reaproveitamento</t>
  </si>
  <si>
    <t>1.9</t>
  </si>
  <si>
    <t>DEMOLIÇÃO DE CONCRETO SIMPLES COM MARTELETE</t>
  </si>
  <si>
    <t>1.10</t>
  </si>
  <si>
    <t>LOCAÇÃO DA OBRA - EXECUÇÃO DE GABARITO</t>
  </si>
  <si>
    <t>1.11</t>
  </si>
  <si>
    <t>Placa de obra em chapa aço galvanizado, instalada</t>
  </si>
  <si>
    <t>2.1</t>
  </si>
  <si>
    <t>ATERRO MANUAL DE VALAS COM SOLO ARGILO-ARENOSO E COMPACTAÇÃO MECANIZADA. AF_05/2016</t>
  </si>
  <si>
    <t>2.2</t>
  </si>
  <si>
    <t>ESCAVAÇÃO MANUAL PARA BLOCO DE COROAMENTO OU SAPATA (INCLUINDO ESCAVAÇÃO PARA COLOCAÇÃO DE FÔRMAS). AF_06/2017</t>
  </si>
  <si>
    <t>2.3</t>
  </si>
  <si>
    <t>REATERRO MANUAL DE VALAS COM COMPACTAÇÃO MECANIZADA. AF_04/2016</t>
  </si>
  <si>
    <t>2.4</t>
  </si>
  <si>
    <t>2.5</t>
  </si>
  <si>
    <t>ALVENARIA DE EMBASAMENTO EM TIJOLO CERÂMICO FURADO C/ ARGAMASSA CIMENTO E AREIA 1:4</t>
  </si>
  <si>
    <t>2.6</t>
  </si>
  <si>
    <t>2.7</t>
  </si>
  <si>
    <t>KG</t>
  </si>
  <si>
    <t>2.8</t>
  </si>
  <si>
    <t>2.9</t>
  </si>
  <si>
    <t>LANÇAMENTO COM USO DE BALDES, ADENSAMENTO E ACABAMENTO DE CONCRETO EM ESTRUTURAS. AF_12/2015</t>
  </si>
  <si>
    <t>2.10</t>
  </si>
  <si>
    <t>3.1.1</t>
  </si>
  <si>
    <t>ARMAÇÃO DE PILAR OU VIGA DE UMA ESTRUTURA CONVENCIONAL DE CONCRETO ARMADO EM UMA EDIFICAÇÃO TÉRREA OU SOBRADO UTILIZANDO AÇO CA-60 DE 5,0 MM - MONTAGEM. AF_12/2015</t>
  </si>
  <si>
    <t>3.1.2</t>
  </si>
  <si>
    <t>ARMAÇÃO DE PILAR OU VIGA DE UMA ESTRUTURA CONVENCIONAL DE CONCRETO ARMADO EM UMA EDIFICAÇÃO TÉRREA OU SOBRADO UTILIZANDO AÇO CA-50 DE 6,3 MM - MONTAGEM. AF_12/2015</t>
  </si>
  <si>
    <t>3.1.3</t>
  </si>
  <si>
    <t>3.1.4</t>
  </si>
  <si>
    <t>ARMAÇÃO DE PILAR OU VIGA DE UMA ESTRUTURA CONVENCIONAL DE CONCRETO ARMADO EM UMA EDIFICAÇÃO TÉRREA OU SOBRADO UTILIZANDO AÇO CA-50 DE 12,5 MM - MONTAGEM. AF_12/2015</t>
  </si>
  <si>
    <t>3.1.5</t>
  </si>
  <si>
    <t>Forma plana para estruturas, em compensado plastificado de 12mm, 12 usos, inclusive escoramento - Revisada 07.2015</t>
  </si>
  <si>
    <t>3.1.6</t>
  </si>
  <si>
    <t>3.1.7</t>
  </si>
  <si>
    <t>3.2.1</t>
  </si>
  <si>
    <t>3.3.1</t>
  </si>
  <si>
    <t>VERGA PRÉ-MOLDADA PARA PORTAS COM ATÉ 1,5 M DE VÃO. AF_03/2016</t>
  </si>
  <si>
    <t>3.3.2</t>
  </si>
  <si>
    <t>VERGA PRÉ-MOLDADA PARA PORTAS COM MAIS DE 1,5 M DE VÃO. AF_03/2016</t>
  </si>
  <si>
    <t>3.3.3</t>
  </si>
  <si>
    <t>VERGA PRÉ-MOLDADA PARA JANELAS COM ATÉ 1,5 M DE VÃO. AF_03/2016</t>
  </si>
  <si>
    <t>3.3.4</t>
  </si>
  <si>
    <t>VERGA PRÉ-MOLDADA PARA JANELAS COM MAIS DE 1,5 M DE VÃO. AF_03/2016</t>
  </si>
  <si>
    <t>3.3.5</t>
  </si>
  <si>
    <t>CONTRAVERGA PRÉ-MOLDADA PARA VÃOS DE ATÉ 1,5 M DE COMPRIMENTO. AF_03/2016</t>
  </si>
  <si>
    <t>3.3.6</t>
  </si>
  <si>
    <t>CONTRAVERGA PRÉ-MOLDADA PARA VÃOS DE MAIS DE 1,5 M DE COMPRIMENTO. AF_03/2016</t>
  </si>
  <si>
    <t>4.1</t>
  </si>
  <si>
    <t>4.2</t>
  </si>
  <si>
    <t>5.2</t>
  </si>
  <si>
    <t>TELHA TERMOACÚSTICA TRAPEZOIDAL INCLINAÇÃO 17.6%</t>
  </si>
  <si>
    <t>5.3</t>
  </si>
  <si>
    <t>5.4</t>
  </si>
  <si>
    <t>TELHAMENTO COM TELHA CERÂMICA CAPA-CANAL, TIPO COLONIAL, COM ATÉ 2 ÁGUAS, INCLUSO TRANSPORTE VERTICAL. AF_07/2019</t>
  </si>
  <si>
    <t>5.5</t>
  </si>
  <si>
    <t>Cumeeira em alumínio - 30cm de cada lado, e= 0,8mm</t>
  </si>
  <si>
    <t>5.6</t>
  </si>
  <si>
    <t>CUMEEIRA TERMOACÚSTICA</t>
  </si>
  <si>
    <t>5.7</t>
  </si>
  <si>
    <t>Rufo de concreto armado fck=20mpa l=30cm e h=5cm</t>
  </si>
  <si>
    <t>5.8</t>
  </si>
  <si>
    <t>RUFO EXTERNO/INTERNO EM CHAPA DE AÇO GALVANIZADO NÚMERO 26, CORTE DE 33 CM, INCLUSO IÇAMENTO. AF_07/2019</t>
  </si>
  <si>
    <t>5.11</t>
  </si>
  <si>
    <t>IMPERMEABILIZAÇÃO DE SUPERFÍCIE COM MANTA ASFÁLTICA, DUAS CAMADAS, INCLUSIVE APLICAÇÃO DE PRIMER ASFÁLTICO, E=3MM E E=4MM. AF_06/2018</t>
  </si>
  <si>
    <r>
      <t>5.12</t>
    </r>
    <r>
      <rPr>
        <sz val="11"/>
        <color theme="1"/>
        <rFont val="Calibri"/>
        <family val="2"/>
        <scheme val="minor"/>
      </rPr>
      <t/>
    </r>
  </si>
  <si>
    <t>6.1.1</t>
  </si>
  <si>
    <t>EXECUÇÃO DE PÁTIO/ESTACIONAMENTO EM PISO INTERTRAVADO, COM BLOCO RETANGULAR COLORIDO DE 20 X 10 CM, ESPESSURA 6 CM. AF_12/2015</t>
  </si>
  <si>
    <t>6.1.2</t>
  </si>
  <si>
    <t>EXECUÇÃO DE PÁTIO/ESTACIONAMENTO EM PISO INTERTRAVADO, COM BLOCO RETANGULAR COR NATURAL DE 20 X 10 CM, ESPESSURA 6 CM. AF_12/2015</t>
  </si>
  <si>
    <t>6.1.4</t>
  </si>
  <si>
    <t>Piso em pedra calcárea, cortada, aparelhada e com face aparente lisa e polida, esp=8cm, assentado com argamassa de cimento e areia (1:3) na esp=5cm, esclusive lastro de regularização em concreto simples</t>
  </si>
  <si>
    <t>6.1.5</t>
  </si>
  <si>
    <t>PLANTIO DE GRAMA EM PLACAS. AF_05/2018</t>
  </si>
  <si>
    <t>6.1.6</t>
  </si>
  <si>
    <t>Piso tátil direcional e/ou alerta, de concreto, na cor natural, p/deficientes visuais, dimensões 25x25cm, aplicado com argamassa industrializada ac-ii, rejuntado, exclusive regularização de base</t>
  </si>
  <si>
    <t>6.1.7</t>
  </si>
  <si>
    <t>Rampa padrão para acesso de deficientes a passeio público, em concreto simples Fck=25MPa, desempolada, pintada em novacor, 02 demãos e piso tátil de alerta/direcional.</t>
  </si>
  <si>
    <t>6.1.8</t>
  </si>
  <si>
    <t>ASSENTAMENTO DE GUIA (MEIO-FIO) EM TRECHO RETO, CONFECCIONADA EM CONCRETO PRÉ-FABRICADO, DIMENSÕES 100X15X13X30 CM (COMPRIMENTO X BASE INFERIOR X BASE SUPERIOR X ALTURA), PARA VIAS URBANAS (USO VIÁRIO). AF_06/2016</t>
  </si>
  <si>
    <t>6.1.9</t>
  </si>
  <si>
    <t>EXECUÇÃO DE PASSEIO (CALÇADA) OU PISO DE CONCRETO COM CONCRETO MOLDADO IN LOCO, FEITO EM OBRA, ACABAMENTO CONVENCIONAL, NÃO ARMADO. AF_07/2016</t>
  </si>
  <si>
    <t>6.1.10</t>
  </si>
  <si>
    <t>6.1.11</t>
  </si>
  <si>
    <t>6.2.1</t>
  </si>
  <si>
    <t>6.2.2</t>
  </si>
  <si>
    <t>6.2.3</t>
  </si>
  <si>
    <t>6.2.4</t>
  </si>
  <si>
    <t>CONTRAPISO EM ARGAMASSA TRAÇO 1:4 (CIMENTO E AREIA), PREPARO MECÂNICO COM BETONEIRA 400 L, APLICADO EM ÁREAS SECAS SOBRE LAJE, ADERIDO, ACABAMENTO NÃO REFORÇADO, ESPESSURA 3CM. AF_07/2021</t>
  </si>
  <si>
    <t>6.2.5</t>
  </si>
  <si>
    <t>REVESTIMENTO CERÂMICA PARA PISO COM PLACAS TIPO ESMALTADA EXTRA DE DIMENSÕES 60X60CM, NA COR BRANCA PEI 5</t>
  </si>
  <si>
    <t>6.2.6</t>
  </si>
  <si>
    <t>RODAPÉ CERÂMICO DE 7CM DE ALTURA COM PLACAS TIPO ESMALTADA EXTRA DE DIMENSÕES 60X60CM. AF_06/2014</t>
  </si>
  <si>
    <t>6.2.7</t>
  </si>
  <si>
    <t>SOLEIRA EM GRANITO, LARGURA 15 CM, ESPESSURA 2,0 CM. AF_09/2020</t>
  </si>
  <si>
    <t>6.2.8</t>
  </si>
  <si>
    <t>PISO EM GRANITO APLICADO EM CALÇADAS OU PISOS EXTERNOS. AF_05/2020</t>
  </si>
  <si>
    <t>6.2.9</t>
  </si>
  <si>
    <t>PISO TÊXTIL (CARPETE) EM MANTA (ROLO) E = 6 A 7 MM. AF_09/2020</t>
  </si>
  <si>
    <t>7.1</t>
  </si>
  <si>
    <t>CHAPISCO APLICADO EM ALVENARIAS E ESTRUTURAS DE CONCRETO INTERNAS, COM COLHER DE PEDREIRO. ARGAMASSA TRAÇO 1:3 COM PREPARO EM BETONEIRA 400L. AF_06/2014</t>
  </si>
  <si>
    <t>7.2</t>
  </si>
  <si>
    <t>MASSA ÚNICA, PARA RECEBIMENTO DE PINTURA, EM ARGAMASSA TRAÇO 1:2:8, PREPARO MECÂNICO COM BETONEIRA 400L, APLICADA MANUALMENTE EM FACES INTERNAS DE PAREDES, ESPESSURA DE 20MM, COM EXECUÇÃO DE TALISCAS. AF_06/2014</t>
  </si>
  <si>
    <t>7.3</t>
  </si>
  <si>
    <t>EMBOÇO OU MASSA ÚNICA EM ARGAMASSA TRAÇO 1:2:8, PREPARO MECÂNICO COM BETONEIRA 400 L, APLICADA MANUALMENTE EM PANOS CEGOS DE FACHADA (SEM PRESENÇA DE VÃOS), ESPESSURA MAIOR OU IGUAL A 50 MM. AF_06/2014</t>
  </si>
  <si>
    <t>7.4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</si>
  <si>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</si>
  <si>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7.5</t>
  </si>
  <si>
    <t>REVESTIMENTO CERÂMICO PARA PAREDES INTERNAS COM PLACAS TIPO ESMALTADA EXTRA DE DIMENSÕES 33X45 CM APLICADAS EM AMBIENTES DE ÁREA MAIOR QUE 5 M² NA ALTURA INTEIRA DAS PAREDES. AF_06/2014</t>
  </si>
  <si>
    <t>7.6</t>
  </si>
  <si>
    <t>Revestimento cerâmico para piso ou parede, 61 x 61 cm, c/ piso porcelanato merano branco, INCEPA ou similar, PEI 5, aplicado com argamassa industrializada ac-iii, rejuntado, exclusive regularização de base ou emboço</t>
  </si>
  <si>
    <t>7.7</t>
  </si>
  <si>
    <t>CARPETE DE NYLON EM MANTA PARA TRAFEGO COMERCIAL PESADO, E = 6 A 7 MM (INSTALADO)</t>
  </si>
  <si>
    <t>8.1</t>
  </si>
  <si>
    <t>APLICAÇÃO DE FUNDO SELADOR ACRÍLICO EM PAREDES, UMA DEMÃO. AF_06/2014</t>
  </si>
  <si>
    <t>8.2</t>
  </si>
  <si>
    <t>APLICAÇÃO DE FUNDO SELADOR ACRÍLICO EM TETO, UMA DEMÃO. AF_06/2014</t>
  </si>
  <si>
    <t>8.3</t>
  </si>
  <si>
    <t>Emassamento de superfície, com aplicação de 02 demãos de massa acrílica, lixamento e retoques - Rev 01</t>
  </si>
  <si>
    <t>8.4</t>
  </si>
  <si>
    <t>APLICAÇÃO E LIXAMENTO DE MASSA LÁTEX EM PAREDES, DUAS DEMÃOS. AF_06/2014</t>
  </si>
  <si>
    <t>8.5</t>
  </si>
  <si>
    <t>APLICAÇÃO E LIXAMENTO DE MASSA LÁTEX EM TETO, UMA DEMÃO. AF_06/2014</t>
  </si>
  <si>
    <t>8.6</t>
  </si>
  <si>
    <t>APLICAÇÃO MANUAL DE PINTURA COM TINTA LÁTEX ACRÍLICA EM TETO, DUAS DEMÃOS. AF_06/2014</t>
  </si>
  <si>
    <t>8.7</t>
  </si>
  <si>
    <t>APLICAÇÃO MANUAL DE PINTURA COM TINTA LÁTEX ACRÍLICA EM PAREDES, DUAS DEMÃOS. AF_06/2014</t>
  </si>
  <si>
    <t>8.8</t>
  </si>
  <si>
    <t>PINTURA COM TINTA ALQUÍDICA DE FUNDO E ACABAMENTO (ESMALTE SINTÉTICO GRAFITE) PULVERIZADA SOBRE SUPERFÍCIES METÁLICAS (EXCETO PERFIL) EXECUTADO EM OBRA (POR DEMÃO). AF_01/2020_P</t>
  </si>
  <si>
    <t>8.9</t>
  </si>
  <si>
    <t>PINTURA FUNDO NIVELADOR ALQUÍDICO BRANCO EM MADEIRA. AF_01/2021</t>
  </si>
  <si>
    <t>8.10</t>
  </si>
  <si>
    <t>PINTURA TINTA DE ACABAMENTO (PIGMENTADA) ESMALTE SINTÉTICO BRILHANTE EM MADEIRA, 2 DEMÃOS. AF_01/2021</t>
  </si>
  <si>
    <t>8.11</t>
  </si>
  <si>
    <t>PINTURA DE PISO COM TINTA ACRÍLICA, APLICAÇÃO MANUAL, 2 DEMÃOS, INCLUSO FUNDO PREPARADOR. AF_05/2021</t>
  </si>
  <si>
    <t>9.1.1</t>
  </si>
  <si>
    <t>PONTO DE CONSUMO TERMINAL DE ÁGUA FRIA (SUBRAMAL) COM TUBULAÇÃO DE PVC, DN 25 MM, INSTALADO EM RAMAL DE ÁGUA, INCLUSOS RASGO E CHUMBAMENTO EM ALVENARIA. AF_12/2014</t>
  </si>
  <si>
    <t>9.1.2</t>
  </si>
  <si>
    <t>REGISTRO DE GAVETA BRUTO, LATÃO, ROSCÁVEL, 3/4", COM ACABAMENTO E CANOPLA CROMADOS - FORNECIMENTO E INSTALAÇÃO. AF_08/2021</t>
  </si>
  <si>
    <t>9.1.3</t>
  </si>
  <si>
    <t>TUBO, PVC, SOLDÁVEL, DN 32MM, INSTALADO EM RAMAL DE DISTRIBUIÇÃO DE ÁGUA - FORNECIMENTO E INSTALAÇÃO. AF_12/2014</t>
  </si>
  <si>
    <t>9.1.4</t>
  </si>
  <si>
    <t>JOELHO 90 GRAUS, PVC, SOLDÁVEL, DN 25MM, INSTALADO EM PRUMADA DE ÁGUA - FORNECIMENTO E INSTALAÇÃO. AF_12/2014</t>
  </si>
  <si>
    <t>9.1.5</t>
  </si>
  <si>
    <t>JOELHO 90 GRAUS, PVC, SOLDÁVEL, DN 32MM, INSTALADO EM PRUMADA DE ÁGUA - FORNECIMENTO E INSTALAÇÃO. AF_12/2014</t>
  </si>
  <si>
    <t>9.1.6</t>
  </si>
  <si>
    <t>TE, PVC, SOLDÁVEL, DN 32MM, INSTALADO EM PRUMADA DE ÁGUA - FORNECIMENTO E INSTALAÇÃO. AF_12/2014</t>
  </si>
  <si>
    <t>9.1.7</t>
  </si>
  <si>
    <t>TE, PVC, SOLDÁVEL, DN 25MM, INSTALADO EM RAMAL DE DISTRIBUIÇÃO DE ÁGUA - FORNECIMENTO E INSTALAÇÃO. AF_12/2014</t>
  </si>
  <si>
    <t>9.1.8</t>
  </si>
  <si>
    <t>ADAPTADOR CURTO COM BOLSA E ROSCA PARA REGISTRO, PVC, SOLDÁVEL, DN 25MM X 3/4?, INSTALADO EM RAMAL OU SUB-RAMAL DE ÁGUA - FORNECIMENTO E INSTALAÇÃO. AF_12/2014</t>
  </si>
  <si>
    <t>9.2.1</t>
  </si>
  <si>
    <t>Ponto de esgoto com tubo de pvc rígido soldável de Ø 100 mm (vaso sanitário)</t>
  </si>
  <si>
    <t>pt</t>
  </si>
  <si>
    <t>9.2.2</t>
  </si>
  <si>
    <t>Ponto de esgoto com tubo de pvc rígido soldável de Ø 50 mm (pias de cozinha, máquinas de lavar, etc...)</t>
  </si>
  <si>
    <t>9.2.3</t>
  </si>
  <si>
    <t>Ponto de esgoto com tubo de pvc rígido soldável de Ø 40 mm (lavatórios, mictórios, ralos sifonados, etc...)</t>
  </si>
  <si>
    <t>9.2.4</t>
  </si>
  <si>
    <t>CAIXA DE GORDURA PEQUENA (CAPACIDADE: 19 L), CIRCULAR, EM PVC, DIÂMETRO INTERNO= 0,3 M. AF_12/2020</t>
  </si>
  <si>
    <t>9.2.5</t>
  </si>
  <si>
    <t>CAIXA ENTERRADA HIDRÁULICA RETANGULAR, EM ALVENARIA COM BLOCOS DE CONCRETO, DIMENSÕES INTERNAS: 0,6X0,6X0,6 M PARA REDE DE ESGOTO. AF_12/2020</t>
  </si>
  <si>
    <t>9.2.6</t>
  </si>
  <si>
    <t>CAIXA SIFONADA, PVC, DN 100 X 100 X 50 MM, JUNTA ELÁSTICA, FORNECIDA E INSTALADA EM RAMAL DE DESCARGA OU EM RAMAL DE ESGOTO SANITÁRIO. AF_12/2014</t>
  </si>
  <si>
    <t>9.2.7</t>
  </si>
  <si>
    <t>TUBO PVC, SERIE NORMAL, ESGOTO PREDIAL, DN 50 MM, FORNECIDO E INSTALADO EM PRUMADA DE ESGOTO SANITÁRIO OU VENTILAÇÃO. AF_12/2014</t>
  </si>
  <si>
    <t>9.2.8</t>
  </si>
  <si>
    <t>Terminal de ventilação em pvc rígido soldável, para esgoto primário, diâm = 50mm</t>
  </si>
  <si>
    <t>9.2.9</t>
  </si>
  <si>
    <t>TUBO PVC, SERIE NORMAL, ESGOTO PREDIAL, DN 100 MM, FORNECIDO E INSTALADO EM PRUMADA DE ESGOTO SANITÁRIO OU VENTILAÇÃO. AF_12/2014</t>
  </si>
  <si>
    <t>9.3.1</t>
  </si>
  <si>
    <t>TUBO PVC, SÉRIE R, ÁGUA PLUVIAL, DN 75 MM, FORNECIDO E INSTALADO EM CONDUTORES VERTICAIS DE ÁGUAS PLUVIAIS. AF_12/2014</t>
  </si>
  <si>
    <t>9.3.2</t>
  </si>
  <si>
    <t>JOELHO 90 GRAUS, PVC, SERIE R, ÁGUA PLUVIAL, DN 75 MM, JUNTA ELÁSTICA, FORNECIDO E INSTALADO EM CONDUTORES VERTICAIS DE ÁGUAS PLUVIAIS. AF_12/2014</t>
  </si>
  <si>
    <t>9.3.3</t>
  </si>
  <si>
    <t>LUVA SIMPLES, PVC, SERIE R, ÁGUA PLUVIAL, DN 100 MM, JUNTA ELÁSTICA, FORNECIDO E INSTALADO EM CONDUTORES VERTICAIS DE ÁGUAS PLUVIAIS. AF_12/2014</t>
  </si>
  <si>
    <t>9.3.4</t>
  </si>
  <si>
    <t>TÊ, PVC, SERIE R, ÁGUA PLUVIAL, DN 75 X 75 MM, JUNTA ELÁSTICA, FORNECIDO E INSTALADO EM CONDUTORES VERTICAIS DE ÁGUAS PLUVIAIS. AF_12/2014</t>
  </si>
  <si>
    <t>9.3.5</t>
  </si>
  <si>
    <t>9.3.6</t>
  </si>
  <si>
    <t>CAIXA ENTERRADA HIDRÁULICA RETANGULAR EM ALVENARIA COM TIJOLOS CERÂMICOS MACIÇOS, DIMENSÕES INTERNAS: 0,8X0,8X0,6 M PARA REDE DE DRENAGEM. AF_12/2020</t>
  </si>
  <si>
    <t>10.1</t>
  </si>
  <si>
    <t>ELETRODUTO FLEXÍVEL CORRUGADO, PVC, DN 25 MM (3/4"), PARA CIRCUITOS TERMINAIS, INSTALADO EM LAJE - FORNECIMENTO E INSTALAÇÃO. AF_12/2015</t>
  </si>
  <si>
    <t>10.2</t>
  </si>
  <si>
    <t>ELETRODUTO FLEXÍVEL CORRUGADO, PVC, DN 32 MM (1"), PARA CIRCUITOS TERMINAIS, INSTALADO EM LAJE - FORNECIMENTO E INSTALAÇÃO. AF_12/2015</t>
  </si>
  <si>
    <t>10.3</t>
  </si>
  <si>
    <t>ELETRODUTO FLEXÍVEL CORRUGADO, PEAD, DN 50 (1 ½?) - FORNECIMENTO E INSTALAÇÃO. AF_04/2016</t>
  </si>
  <si>
    <t>10.4</t>
  </si>
  <si>
    <t>ELETRODUTO RÍGIDO ROSCÁVEL, PVC, DN 50 MM (1 1/2") - FORNECIMENTO E INSTALAÇÃO. AF_12/2015</t>
  </si>
  <si>
    <t>10.5</t>
  </si>
  <si>
    <t>LUVA PARA ELETRODUTO, PVC, ROSCÁVEL, DN 50 MM (1 1/2") - FORNECIMENTO E INSTALAÇÃO. AF_12/2015</t>
  </si>
  <si>
    <t>10.6</t>
  </si>
  <si>
    <t>CAIXA RETANGULAR 4" X 2" MÉDIA (1,30 M DO PISO), PVC, INSTALADA EM PAREDE - FORNECIMENTO E INSTALAÇÃO. AF_12/2015</t>
  </si>
  <si>
    <t>10.7</t>
  </si>
  <si>
    <t>CAIXA RETANGULAR 4" X 4" MÉDIA (1,30 M DO PISO), PVC, INSTALADA EM PAREDE - FORNECIMENTO E INSTALAÇÃO. AF_12/2015</t>
  </si>
  <si>
    <t>10.8</t>
  </si>
  <si>
    <t>CAIXA OCTOGONAL 4" X 4", PVC, INSTALADA EM LAJE - FORNECIMENTO E INSTALAÇÃO. AF_12/2015</t>
  </si>
  <si>
    <t>10.9</t>
  </si>
  <si>
    <t>Caixa de passagem pvc 15x15x8cm p/eletrica, tipo Aquatic ou similar</t>
  </si>
  <si>
    <t>10.10</t>
  </si>
  <si>
    <t>CABO DE COBRE FLEXÍVEL ISOLADO, 1,5 MM², ANTI-CHAMA 450/750 V, PARA CIRCUITOS TERMINAIS - FORNECIMENTO E INSTALAÇÃO. AF_12/2015</t>
  </si>
  <si>
    <t>10.11</t>
  </si>
  <si>
    <t>CABO DE COBRE FLEXÍVEL ISOLADO, 2,5 MM², ANTI-CHAMA 450/750 V, PARA CIRCUITOS TERMINAIS - FORNECIMENTO E INSTALAÇÃO. AF_12/2015</t>
  </si>
  <si>
    <t>10.12</t>
  </si>
  <si>
    <t>CABO DE COBRE FLEXÍVEL ISOLADO, 4 MM², ANTI-CHAMA 450/750 V, PARA CIRCUITOS TERMINAIS - FORNECIMENTO E INSTALAÇÃO. AF_12/2015</t>
  </si>
  <si>
    <t>10.13</t>
  </si>
  <si>
    <t>Cabo de cobre isolado em EPR flexível unipolar 10mm² - 0,6Kv/1Kv/90°</t>
  </si>
  <si>
    <t>10.14</t>
  </si>
  <si>
    <t>INTERRUPTOR SIMPLES (1 MÓDULO), 10A/250V, INCLUINDO SUPORTE E PLACA - FORNECIMENTO E INSTALAÇÃO. AF_12/2015</t>
  </si>
  <si>
    <t>10.15</t>
  </si>
  <si>
    <t>INTERRUPTOR SIMPLES (2 MÓDULOS), 10A/250V, INCLUINDO SUPORTE E PLACA - FORNECIMENTO E INSTALAÇÃO. AF_12/2015</t>
  </si>
  <si>
    <t>10.16</t>
  </si>
  <si>
    <t>INTERRUPTOR SIMPLES (3 MÓDULOS), 10A/250V, INCLUINDO SUPORTE E PLACA - FORNECIMENTO E INSTALAÇÃO. AF_12/2015</t>
  </si>
  <si>
    <t>10.17</t>
  </si>
  <si>
    <t>INTERRUPTOR PARALELO (2 MÓDULOS), 10A/250V, INCLUINDO SUPORTE E PLACA - FORNECIMENTO E INSTALAÇÃO. AF_12/2015</t>
  </si>
  <si>
    <t>10.18</t>
  </si>
  <si>
    <t>TOMADA BAIXA DE EMBUTIR (1 MÓDULO), 2P+T 10 A, INCLUINDO SUPORTE E PLACA - FORNECIMENTO E INSTALAÇÃO. AF_12/2015</t>
  </si>
  <si>
    <t>10.19</t>
  </si>
  <si>
    <t>TOMADA ALTA DE EMBUTIR (1 MÓDULO), 2P+T 20 A, INCLUINDO SUPORTE E PLACA - FORNECIMENTO E INSTALAÇÃO. AF_12/2015</t>
  </si>
  <si>
    <t>10.20</t>
  </si>
  <si>
    <t>LUMINÁRIA PLAFON DE TETO TIPO EMBUTIR RETÂNGULAR BRANCA COM LUZ QUENTE 24W</t>
  </si>
  <si>
    <t>10.21</t>
  </si>
  <si>
    <t>LUMINÁRIA DE PISO DE EMBUTIR COM LÂMPADA DE 5W, COM TEMPERATURA DE COR FRIA ÂMBA</t>
  </si>
  <si>
    <t>10.22</t>
  </si>
  <si>
    <t>Luminária tipo plafon (sobrepor), quadrada, 24x24cm, em aluminio pintado na cor branca, c/difusor em vidro, Aladin ou similar</t>
  </si>
  <si>
    <t>10.23</t>
  </si>
  <si>
    <t>Luminária tipo balizador para ambiente aberto, corpo em alumínio fundido pintado, difusor em vidro frisado temperado, ref. EX02-S, da Lumicenter ou simiular (tipo tartaruga)</t>
  </si>
  <si>
    <t>10.24</t>
  </si>
  <si>
    <t>LUMINÁRIA TIPO SPOT SIMPLES C/ LÂMPADA INCANDESCENTE</t>
  </si>
  <si>
    <t>10.25</t>
  </si>
  <si>
    <t>POSTE DE ILUMINAÇÃO TIPO GLOBO/BOLA COM TRÊS PÉTALAS</t>
  </si>
  <si>
    <t>10.26</t>
  </si>
  <si>
    <t>CALHA LUMINOSA EM LED</t>
  </si>
  <si>
    <t>10.27</t>
  </si>
  <si>
    <t>DISJUNTOR MONOPOLAR TIPO DIN, CORRENTE NOMINAL DE 10A - FORNECIMENTO E INSTALAÇÃO. AF_10/2020</t>
  </si>
  <si>
    <t>10.28</t>
  </si>
  <si>
    <t>DISJUNTOR MONOPOLAR TIPO DIN, CORRENTE NOMINAL DE 16A - FORNECIMENTO E INSTALAÇÃO. AF_10/2020</t>
  </si>
  <si>
    <t>10.29</t>
  </si>
  <si>
    <t>DISJUNTOR MONOPOLAR TIPO DIN, CORRENTE NOMINAL DE 20A - FORNECIMENTO E INSTALAÇÃO. AF_10/2020</t>
  </si>
  <si>
    <t>10.30</t>
  </si>
  <si>
    <t>DISJUNTOR MONOPOLAR TIPO DIN, CORRENTE NOMINAL DE 32A - FORNECIMENTO E INSTALAÇÃO. AF_10/2020</t>
  </si>
  <si>
    <t>10.31</t>
  </si>
  <si>
    <t>QUADRO DE DISTRIBUIÇÃO DE LUZ EMBUTIR ATÉ 24 DIVISÕES 332X332X95mm, C/BARRAMENTO</t>
  </si>
  <si>
    <t>10.32</t>
  </si>
  <si>
    <t>Ponto seco de tomada p/ lógica, com eletroduto pvc rígido embutido, Ø 3/4"</t>
  </si>
  <si>
    <t>10.33</t>
  </si>
  <si>
    <t>Ponto de som (sem fiação) com eletroduto condulete pvc 3/4" (aparente) - Rev. 01</t>
  </si>
  <si>
    <r>
      <t>10.34</t>
    </r>
    <r>
      <rPr>
        <sz val="11"/>
        <color theme="1"/>
        <rFont val="Calibri"/>
        <family val="2"/>
        <scheme val="minor"/>
      </rPr>
      <t/>
    </r>
  </si>
  <si>
    <r>
      <t>10.35</t>
    </r>
    <r>
      <rPr>
        <sz val="11"/>
        <color theme="1"/>
        <rFont val="Calibri"/>
        <family val="2"/>
        <scheme val="minor"/>
      </rPr>
      <t/>
    </r>
  </si>
  <si>
    <r>
      <t>10.36</t>
    </r>
    <r>
      <rPr>
        <sz val="11"/>
        <color theme="1"/>
        <rFont val="Calibri"/>
        <family val="2"/>
        <scheme val="minor"/>
      </rPr>
      <t/>
    </r>
  </si>
  <si>
    <r>
      <t>10.37</t>
    </r>
    <r>
      <rPr>
        <sz val="11"/>
        <color theme="1"/>
        <rFont val="Calibri"/>
        <family val="2"/>
        <scheme val="minor"/>
      </rPr>
      <t/>
    </r>
  </si>
  <si>
    <r>
      <t>10.38</t>
    </r>
    <r>
      <rPr>
        <sz val="11"/>
        <color theme="1"/>
        <rFont val="Calibri"/>
        <family val="2"/>
        <scheme val="minor"/>
      </rPr>
      <t/>
    </r>
  </si>
  <si>
    <r>
      <t>10.39</t>
    </r>
    <r>
      <rPr>
        <sz val="11"/>
        <color theme="1"/>
        <rFont val="Calibri"/>
        <family val="2"/>
        <scheme val="minor"/>
      </rPr>
      <t/>
    </r>
  </si>
  <si>
    <t>11.1</t>
  </si>
  <si>
    <t>CAIXA D´ÁGUA EM POLIÉSTER REFORÇADO COM FIBRA DE VIDRO, 10000 LITROS - FORNECIMENTO E INSTALAÇÃO. AF_06/2021</t>
  </si>
  <si>
    <t>11.2</t>
  </si>
  <si>
    <t>Extintor de pó químico ABC, capacidade 6 kg, alcance médio do jato 5m , tempo de descarga 12s, NBR9443, 9444, 10721</t>
  </si>
  <si>
    <t>11.3</t>
  </si>
  <si>
    <t>EXTINTOR DE INCÊNDIO PORTÁTIL COM CARGA DE PQS DE 12 KG, CLASSE BC - FORNECIMENTO E INSTALAÇÃO. AF_10/2020_P</t>
  </si>
  <si>
    <t>11.4</t>
  </si>
  <si>
    <t>EXTINTOR DE INCÊNDIO PORTÁTIL COM CARGA DE ÁGUA PRESSURIZADA DE 10 L, CLASSE A - FORNECIMENTO E INSTALAÇÃO. AF_10/2020_P</t>
  </si>
  <si>
    <t>11.5</t>
  </si>
  <si>
    <t>PLACA DE SINALIZACAO DE SEGURANCA CONTRA INCENDIO, FOTOLUMINESCENTE, RETANGULAR, *20 X 40* CM, EM PVC *2* MM ANTI-CHAMAS (SIMBOLOS, CORES E PICTOGRAMAS CONFORME NBR 16820)</t>
  </si>
  <si>
    <t>11.6</t>
  </si>
  <si>
    <t>PLACA DE SINALIZACAO DE SEGURANCA CONTRA INCENDIO, FOTOLUMINESCENTE, QUADRADA, *20 X 20* CM, EM PVC *2* MM ANTI-CHAMAS (SIMBOLOS, CORES E PICTOGRAMAS CONFORME NBR 16820)</t>
  </si>
  <si>
    <t>11.7</t>
  </si>
  <si>
    <t>Luminária de emergência, de sobrepor, tipo bloco autônomo, com autonomia de 1h, modelo LLE-LLEDDF, da KBR ou si</t>
  </si>
  <si>
    <t>11.8</t>
  </si>
  <si>
    <t>LUMINÁRIA DE EMERGÊNCIA, COM 30 LÂMPADAS LED DE 2 W, SEM REATOR - FORNECIMENTO E INSTALAÇÃO. AF_02/2020</t>
  </si>
  <si>
    <t>11.9</t>
  </si>
  <si>
    <t>CAIXA DE INCÊNDIO 45X75X17CM - FORNECIMENTO E INSTALAÇÃO. AF_10/2020</t>
  </si>
  <si>
    <t>11.10</t>
  </si>
  <si>
    <t>MANGUEIRA DE INCENDIO, TIPO 2, DE 1 1/2", COMPRIMENTO = 15 M, TECIDO EM FIO DE POLIESTER E TUBO INTERNO EM BORRACHA SINTETICA, COM UNIOES ENGATE RAPIDO</t>
  </si>
  <si>
    <t>11.11</t>
  </si>
  <si>
    <t>ESGUICHO JATO REGULAVEL, TIPO ELKHART, ENGATE RAPIDO 1 1/2", PARA COMBATE A INCENDIO</t>
  </si>
  <si>
    <t>11.12</t>
  </si>
  <si>
    <t>CHAVE DUPLA PARA CONEXOES TIPO STORZ, ENGATE RAPIDO 1 1/2" X 2 1/2", EM LATAO, PARA INSTALACAO PREDIAL COMBATE A INCENDIO</t>
  </si>
  <si>
    <t>11.13</t>
  </si>
  <si>
    <t>REGISTRO OU VALVULA GLOBO ANGULAR EM LATAO, PARA HIDRANTES EM INSTALACAO PREDIAL DE INCENDIO, 45 GRAUS, DIAMETRO DE 2 1/2", COM VOLANTE, CLASSE DE PRESSAO DE ATE 200 PSI</t>
  </si>
  <si>
    <t>11.14</t>
  </si>
  <si>
    <t>Fornecimento e instalação de adaptador storz para engate rápido 2 1/2" x 2 1/2" com tampão e corrente (incêndio)</t>
  </si>
  <si>
    <t>11.15</t>
  </si>
  <si>
    <t>ADAPTADOR, EM LATAO, ENGATE RAPIDO1 1/2" X ROSCA INTERNA 5 FIOS 2 1/2", PARA INSTALACAO PREDIAL DE COMBATE A INCENDIO</t>
  </si>
  <si>
    <t>11.16</t>
  </si>
  <si>
    <t>TAMPAO COM CORRENTE, EM LATAO, ENGATE RAPIDO 2 1/2", PARA INSTALACAO PREDIAL DE COMBATE A INCENDIO</t>
  </si>
  <si>
    <t>11.17</t>
  </si>
  <si>
    <t>Conjunto moto-bomba centrífuga, trifasica, motor 7.5 cv, Schneider BC-21 ou similar</t>
  </si>
  <si>
    <t>11.18</t>
  </si>
  <si>
    <t>Painel elétrico p/ bomba, com chave de partida direta (manual/automática), 15 cv, trifásico</t>
  </si>
  <si>
    <t>11.19</t>
  </si>
  <si>
    <t>MANÔMETRO 0 A 200 PSI (0 A 14 KGF/CM2), D = 50MM - FORNECIMENTO E INSTALAÇÃO. AF_10/2020</t>
  </si>
  <si>
    <t>11.20</t>
  </si>
  <si>
    <t>TANQUE DE PRESSÃO - 560x167mm 9 LITROS</t>
  </si>
  <si>
    <t>11.21</t>
  </si>
  <si>
    <t>Fornecimento e instalação de pressostato 0 a 10 kgf/cm2</t>
  </si>
  <si>
    <t>11.22</t>
  </si>
  <si>
    <t>REGISTRO DE GAVETA BRUTO, LATÃO, ROSCÁVEL, 2 1/2" - FORNECIMENTO E INSTALAÇÃO. AF_08/2021</t>
  </si>
  <si>
    <t>11.23</t>
  </si>
  <si>
    <t>VALVULA DE RETENCAO VERTICAL, DE BRONZE (PN-16), 2 1/2", 200 PSI, EXTREMIDADES COM ROSCA</t>
  </si>
  <si>
    <t>11.24</t>
  </si>
  <si>
    <t>VALVULA DE RETENCAO HORIZONTAL, DE BRONZE (PN-25), 2 1/2", 400 PSI, TAMPA DE PORCA DE UNIAO, EXTREMIDADES COM ROSCA</t>
  </si>
  <si>
    <t>11.25</t>
  </si>
  <si>
    <t>Fornecimento e assentamento de união de ferro galvanizado assento bronze de 2 1/2"</t>
  </si>
  <si>
    <t>11.26</t>
  </si>
  <si>
    <t>COTOVELO 90 GRAUS DE FERRO GALVANIZADO, COM ROSCA BSP MACHO/FEMEA, DE 2 1/2"</t>
  </si>
  <si>
    <t>11.27</t>
  </si>
  <si>
    <t>NIPLE, EM FERRO GALVANIZADO, DN 65 (2 1/2"), CONEXÃO ROSQUEADA, INSTALADO EM PRUMADAS - FORNECIMENTO E INSTALAÇÃO. AF_10/2020</t>
  </si>
  <si>
    <t>11.28</t>
  </si>
  <si>
    <t>TÊ, EM FERRO GALVANIZADO, DN 65 (2 1/2"), CONEXÃO ROSQUEADA, INSTALADO EM PRUMADAS - FORNECIMENTO E INSTALAÇÃO. AF_10/2020</t>
  </si>
  <si>
    <t>11.29</t>
  </si>
  <si>
    <t>TUBO DE AÇO GALVANIZADO COM COSTURA, CLASSE MÉDIA, DN 65 (2 1/2"), CONEXÃO ROSQUEADA, INSTALADO EM REDE DE ALIMENTAÇÃO PARA HIDRANTE - FORNECIMENTO E INSTALAÇÃO. AF_10/2020</t>
  </si>
  <si>
    <t>11.30</t>
  </si>
  <si>
    <t>Tampa de ferro fundido 60X40cm</t>
  </si>
  <si>
    <t>12.1</t>
  </si>
  <si>
    <t>Bandeira fixa em madeira para vidro</t>
  </si>
  <si>
    <t>12.2</t>
  </si>
  <si>
    <t>INSTALAÇÃO DE VIDRO LISO INCOLOR, E = 8 MM, EM ESQUADRIA DE MADEIRA, FIXADO COM BAGUETE. AF_01/2021</t>
  </si>
  <si>
    <t>12.3</t>
  </si>
  <si>
    <t>KIT DE PORTA DE MADEIRA PARA PINTURA, SEMI-OCA (PESADA OU SUPERPESADA), PADRÃO POPULAR, 80X210CM, ESPESSURA DE 3,5CM, ITENS INCLUSOS: DOBRADIÇAS, MONTAGEM E INSTALAÇÃO DO BATENTE, FECHADURA COM EXECUÇÃO DO FURO - FORNECIMENTO E INSTALAÇÃO. AF_12/2019</t>
  </si>
  <si>
    <t>12.4</t>
  </si>
  <si>
    <t>KIT DE PORTA DE MADEIRA PARA PINTURA, SEMI-OCA (PESADA OU SUPERPESADA), PADRÃO POPULAR, 90X210CM, ESPESSURA DE 3,5CM, ITENS INCLUSOS: DOBRADIÇAS, MONTAGEM E INSTALAÇÃO DO BATENTE, FECHADURA COM EXECUÇÃO DO FURO - FORNECIMENTO E INSTALAÇÃO. AF_12/2019</t>
  </si>
  <si>
    <t>12.5</t>
  </si>
  <si>
    <t>Batente em madeira de lei l = 0,14 m (caixão), incluindo 02 jogos de alizar</t>
  </si>
  <si>
    <t>12.6</t>
  </si>
  <si>
    <t>PORTA ACÚSTICA EM MADEIRA 0,80 x 2,50, ESPESSURA 60mm</t>
  </si>
  <si>
    <t>12.7</t>
  </si>
  <si>
    <t>PORTA EM AÇO DE ABRIR TIPO VENEZIANA SEM GUARNIÇÃO, 87X210CM, FIXAÇÃO COM PARAFUSOS - FORNECIMENTO E INSTALAÇÃO. AF_12/2019</t>
  </si>
  <si>
    <t>12.8</t>
  </si>
  <si>
    <t>Janela em alumínio, cor N/P/B, tipo moldura-vidro, max-ar, exclusive vidro</t>
  </si>
  <si>
    <t>12.9</t>
  </si>
  <si>
    <t>INSTALAÇÃO DE VIDRO TEMPERADO REFLETIVO E=8mm</t>
  </si>
  <si>
    <t>13.1</t>
  </si>
  <si>
    <t>Fornecimento e instalação de fachada em pele de vidro, em vidro laminado 3+3 refletivo</t>
  </si>
  <si>
    <t>14.1</t>
  </si>
  <si>
    <t>Tampo de balcão em granito preto, e=2cm</t>
  </si>
  <si>
    <t>14.2</t>
  </si>
  <si>
    <t>ABERTURA PARA ENCAIXE DE CUBA OU LAVATORIO EM BANCADA DE MARMORE/ GRANITO OU OUTRO TIPO DE PEDRA NATURAL</t>
  </si>
  <si>
    <t>14.3</t>
  </si>
  <si>
    <t>CUBA DE EMBUTIR DE AÇO INOXIDÁVEL MÉDIA, INCLUSO VÁLVULA TIPO AMERICANA E SIFÃO TIPO GARRAFA EM METAL CROMADO - FORNECIMENTO E INSTALAÇÃO. AF_01/2020</t>
  </si>
  <si>
    <t>14.4</t>
  </si>
  <si>
    <t>Cuba de sobrepor (deca linha carrara ref l34), com sifão cromado (deca ref c1680), engate cromado (deca), torneira de metal (deca ref1190) , válvula cromada (deca ref1600) ou similares</t>
  </si>
  <si>
    <t>14.5</t>
  </si>
  <si>
    <t>TORNEIRA CROMADA TUBO MÓVEL, DE MESA, 1/2? OU 3/4?, PARA PIA DE COZINHA, PADRÃO ALTO - FORNECIMENTO E INSTALAÇÃO. AF_01/2020</t>
  </si>
  <si>
    <t>14.6</t>
  </si>
  <si>
    <t>ENGATE FLEXÍVEL EM INOX, 1/2 X 30CM - FORNECIMENTO E INSTALAÇÃO. AF_01/2020</t>
  </si>
  <si>
    <t>14.7</t>
  </si>
  <si>
    <t>TORNEIRA PLÁSTICA 3/4? PARA TANQUE - FORNECIMENTO E INSTALAÇÃO. AF_01/2020</t>
  </si>
  <si>
    <t>14.8</t>
  </si>
  <si>
    <t>VASO SANITÁRIO SIFONADO COM CAIXA ACOPLADA LOUÇA BRANCA, INCLUSO ENGATE FLEXÍVEL EM PLÁSTICO BRANCO, 1/2 X 40CM - FORNECIMENTO E INSTALAÇÃO. AF_01/2020</t>
  </si>
  <si>
    <t>14.9</t>
  </si>
  <si>
    <t>Assento Sanitário Elevado com Tampa 7,5 Cm, indicado para Pós-cirúrgicos, Deficientes físicos e Idosos, da Mebuki ou similar</t>
  </si>
  <si>
    <t>14.10</t>
  </si>
  <si>
    <t>BARRA DE APOIO RETA, EM ACO INOX POLIDO, COMPRIMENTO 80 CM, FIXADA NA PAREDE - FORNECIMENTO E INSTALAÇÃO. AF_01/2020</t>
  </si>
  <si>
    <t>14.11</t>
  </si>
  <si>
    <t>PUXADOR PARA PCD, FIXADO NA PORTA - FORNECIMENTO E INSTALAÇÃO. AF_01/2020</t>
  </si>
  <si>
    <t>14.12</t>
  </si>
  <si>
    <t>TOALHEIRO PLASTICO TIPO DISPENSER PARA PAPEL TOALHA INTERFOLHADO</t>
  </si>
  <si>
    <t>14.13</t>
  </si>
  <si>
    <t>SABONETEIRA PLASTICA TIPO DISPENSER PARA SABONETE LIQUIDO COM RESERVATORIO 800 A 1500 ML, INCLUSO FIXAÇÃO. AF_01/2020</t>
  </si>
  <si>
    <t>14.14</t>
  </si>
  <si>
    <t>PAPELEIRA DE PAREDE EM METAL CROMADO SEM TAMPA, INCLUSO FIXAÇÃO. AF_01/2020</t>
  </si>
  <si>
    <t>14.15</t>
  </si>
  <si>
    <t>BARRA ANTIPANICO DUPLA, CEGA EM LADO OPOSTO, COR CINZA</t>
  </si>
  <si>
    <t>PAR</t>
  </si>
  <si>
    <t>15.1</t>
  </si>
  <si>
    <t>Fornecimento e plantio de palmeira mini imperial, média</t>
  </si>
  <si>
    <t>15.2</t>
  </si>
  <si>
    <t>Planta - Moreia (Dietes bicolor), fornecimento e plantio</t>
  </si>
  <si>
    <t>15.3</t>
  </si>
  <si>
    <t>CERCA EM MADEIRA MACIÇA DE LEI, ALTURA LIVRE DE 2M, CRAVADOS MIN 0,50m</t>
  </si>
  <si>
    <t>15.4</t>
  </si>
  <si>
    <t>Fornecimento e instalação de brise metálico de alumínio, ref. B57, branco nieve 7000, da Hunter Douglas ou similar</t>
  </si>
  <si>
    <t>15.5</t>
  </si>
  <si>
    <t>PLACA EM ACM</t>
  </si>
  <si>
    <t>15.6</t>
  </si>
  <si>
    <t>Mangueira 2F LED BR 13MM 127V G-Light ou similar</t>
  </si>
  <si>
    <t>15.7</t>
  </si>
  <si>
    <t>Fornecimento e instalação de fonte de alimentação 12V / 10A (ou similar)</t>
  </si>
  <si>
    <t>15.8</t>
  </si>
  <si>
    <t>Limpeza geral</t>
  </si>
  <si>
    <t>1º ADITIVO</t>
  </si>
  <si>
    <t>Laje terraço frontal</t>
  </si>
  <si>
    <t>Vigas terraço frontal</t>
  </si>
  <si>
    <t>Entrada da secretaria</t>
  </si>
  <si>
    <t>m3</t>
  </si>
  <si>
    <t>2.0</t>
  </si>
  <si>
    <t>Esc. pilares frente Secretaria</t>
  </si>
  <si>
    <t>S54=55=58=61=6</t>
  </si>
  <si>
    <t>5=67=70=73</t>
  </si>
  <si>
    <t>Sapatas frente secretaria</t>
  </si>
  <si>
    <t>EXECUTADO</t>
  </si>
  <si>
    <t>ACRÉSCIMO</t>
  </si>
  <si>
    <t>Fundo de vigas entrada secr</t>
  </si>
  <si>
    <t xml:space="preserve">4.0 </t>
  </si>
  <si>
    <t xml:space="preserve">ALVENARIA DE VEDAÇÃO DE BLOCOS CERÂMICOS FURADOS NA HORIZONTAL DE 9X19X19CM (ESPESSURA 9CM) DE PAREDES COM ÁREA LÍQUIDA MAIOR OU IGUAL A 6M² SEM </t>
  </si>
  <si>
    <t>Brises Fachada</t>
  </si>
  <si>
    <t>WCS</t>
  </si>
  <si>
    <t>COPA</t>
  </si>
  <si>
    <t>SHAFT</t>
  </si>
  <si>
    <t>CANTINA</t>
  </si>
  <si>
    <t>DESCONTOS</t>
  </si>
  <si>
    <t>PORTAS</t>
  </si>
  <si>
    <t>ENTRADA AUDITÓRIO</t>
  </si>
  <si>
    <t>EMPENHAS  COBERTA GARAGEM</t>
  </si>
  <si>
    <t>ALVENARIA FACHADA LE</t>
  </si>
  <si>
    <t>ALVENARIA FACHADA LD</t>
  </si>
  <si>
    <t>COBERTA GARABEM</t>
  </si>
  <si>
    <t xml:space="preserve">PLATIBANDA AUDITÓRIO </t>
  </si>
  <si>
    <t>Alvenaria platibanda fachada existente</t>
  </si>
  <si>
    <t>Desconto pilares</t>
  </si>
  <si>
    <t>RECEPÇAO</t>
  </si>
  <si>
    <t>AO LADO PELE DE VIDRO</t>
  </si>
  <si>
    <t>Jardim</t>
  </si>
  <si>
    <t>RECEPÇÃO</t>
  </si>
  <si>
    <t>AUDITORIO</t>
  </si>
  <si>
    <t>Coberta entrada Secretaria</t>
  </si>
  <si>
    <t>Depósito Cozinha</t>
  </si>
  <si>
    <t>DEPOSITO</t>
  </si>
  <si>
    <t>Lateral fachada secretaria</t>
  </si>
  <si>
    <t>Lateral DEPOSITO</t>
  </si>
  <si>
    <t>Lateral Auditorio</t>
  </si>
  <si>
    <t>Entrada auditório</t>
  </si>
  <si>
    <t>Auditorio (palco)</t>
  </si>
  <si>
    <t>Auditorio (assentos)</t>
  </si>
  <si>
    <t>Auditorio (Recepção)</t>
  </si>
  <si>
    <t>5.12</t>
  </si>
  <si>
    <t>5.13</t>
  </si>
  <si>
    <t xml:space="preserve">Coberta da Garagem </t>
  </si>
  <si>
    <t>Coberta entrada  Secretaria</t>
  </si>
  <si>
    <t>5.14</t>
  </si>
  <si>
    <t>Recepção</t>
  </si>
  <si>
    <t>LATERAL FACHADA PLATIBANDA</t>
  </si>
  <si>
    <t>FACHADA SECRETARIA</t>
  </si>
  <si>
    <t>Coberta secretaria existente</t>
  </si>
  <si>
    <t>Coberta Onibus existente</t>
  </si>
  <si>
    <t>12.10</t>
  </si>
  <si>
    <t>Portão em tubo de ferro galvanizado de 2", de abrir, tela malha revestida 76 x 76mm, n.º 12, inclusive dobradiças e trancas/ferrolho - Rev 01_01/2022</t>
  </si>
  <si>
    <t>5.17</t>
  </si>
  <si>
    <t>96113</t>
  </si>
  <si>
    <t>FORRO EM PLACAS DE GESSO, PARA AMBIENTES COMERCIAIS. AF_05/2017_P</t>
  </si>
  <si>
    <t>30,49</t>
  </si>
  <si>
    <t>7.8</t>
  </si>
  <si>
    <t>Revestimento cerâmico para piso ou parede, 60 x 60 cm, porcelanato, linha travertino navona, crema, Portobello ou similar, aplicado com argamassa industrializada ac-i, rejuntado, exclusive regularização de base ou emboço - Rev 02</t>
  </si>
  <si>
    <t>12.11</t>
  </si>
  <si>
    <t>Porta em vidro temperado 10mm, na cor verde, inclusive ferragens e instalação, exclusive puxador</t>
  </si>
  <si>
    <t>9.3.7</t>
  </si>
  <si>
    <t>9.3.8</t>
  </si>
  <si>
    <t>91790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</si>
  <si>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</si>
  <si>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>67,61</t>
  </si>
  <si>
    <t>MARQUIZE CENTRAL</t>
  </si>
  <si>
    <t>PASSARELA CADEIRANTE</t>
  </si>
  <si>
    <t>RECEPÇAO PRINCIPAL</t>
  </si>
  <si>
    <t>DESPENSA</t>
  </si>
  <si>
    <t>ENTRADA LATERAL</t>
  </si>
  <si>
    <t>ENTRADA CADEIRANTE</t>
  </si>
  <si>
    <t>RECEP PRINCIPAL ENTRADA LATERAL</t>
  </si>
  <si>
    <t>WC</t>
  </si>
  <si>
    <t>SALA REFORMADA</t>
  </si>
  <si>
    <t>PINTURA COM TINTA ALQUÍDICA DE ACABAMENTO (ESMALTE SINTÉTICO
ACETINADO) APLICADA A ROLO OU PINCEL SOBRE SUPERFÍCIES METÁLICAS
(EXCETO PERFIL) EXECUTADO EM OBRA (POR DEMÃO). AF_01/2020</t>
  </si>
  <si>
    <t>6.0</t>
  </si>
  <si>
    <t>Estacionamento</t>
  </si>
  <si>
    <t xml:space="preserve">calçada </t>
  </si>
  <si>
    <t>EXECUÇÃO DE PÁTIO/ESTACIONAMENTO EM PISO INTERTRAVADO, COM BLOCO
RETANGULAR COR NATURAL DE 20 X 10 CM, ESPESSURA 8 CM. AF_12/2015</t>
  </si>
  <si>
    <t>concreto viga garagem</t>
  </si>
  <si>
    <t>lateral auditorio</t>
  </si>
  <si>
    <t>rampa estacionamento</t>
  </si>
  <si>
    <t>Garagem onibus</t>
  </si>
  <si>
    <t>Rampa estacionamento onibus</t>
  </si>
  <si>
    <t>Estacionamento lateral onibus</t>
  </si>
  <si>
    <t>Área Auditorio (RECEPÇÃO)</t>
  </si>
  <si>
    <t>Área Auditorio (HALL ENTRA)</t>
  </si>
  <si>
    <t>Área Auditorio (HALL ENTRADA)</t>
  </si>
  <si>
    <t>Piso secretaria</t>
  </si>
  <si>
    <t>9605</t>
  </si>
  <si>
    <t>FACHADA RECEPÇÃO</t>
  </si>
  <si>
    <t>FACHADA HALL</t>
  </si>
  <si>
    <t>DEPOSITO FACHADA</t>
  </si>
  <si>
    <t>DEGRAU ENTRADA</t>
  </si>
  <si>
    <t>Fachada</t>
  </si>
  <si>
    <t>L1 e L2 (Recepção)</t>
  </si>
  <si>
    <t>L3 e L4 (Recepção)</t>
  </si>
  <si>
    <t>L5 e L6(Recepção)</t>
  </si>
  <si>
    <t>Banheiros (Novos)</t>
  </si>
  <si>
    <t>Lateral Auditório</t>
  </si>
  <si>
    <t>Escada da entrada do auditório</t>
  </si>
  <si>
    <t>Escada da entrada da secretaria</t>
  </si>
  <si>
    <t>Entrada salas</t>
  </si>
  <si>
    <t>Parede Bwc Masc</t>
  </si>
  <si>
    <t>Parede Bwc Feminino</t>
  </si>
  <si>
    <t>Parede Copa</t>
  </si>
  <si>
    <t>Desconto Portas</t>
  </si>
  <si>
    <t>Desconto Janelas</t>
  </si>
  <si>
    <t>7.0</t>
  </si>
  <si>
    <t>Entrada Secretaria Recepção</t>
  </si>
  <si>
    <t>Área Auditorio (HALL ENTRADa)</t>
  </si>
  <si>
    <t>Escada entrada Auditório</t>
  </si>
  <si>
    <t>Escada entrada Secretaria</t>
  </si>
  <si>
    <t>Depósitos</t>
  </si>
  <si>
    <t>LATERAL DIREITA</t>
  </si>
  <si>
    <t>LATERAL ESQUERDA</t>
  </si>
  <si>
    <t>PAREDE LATERAL DIREITA</t>
  </si>
  <si>
    <t>RECEPÇAO AUDITÓRIO</t>
  </si>
  <si>
    <t>ESPELHO DE BANCO ENTRADA</t>
  </si>
  <si>
    <t>Lateral oeste auditório</t>
  </si>
  <si>
    <t>vigal lateral oeste auditório</t>
  </si>
  <si>
    <t>Fachada auditório Sul</t>
  </si>
  <si>
    <t xml:space="preserve">Fachada Posterior Auditorio </t>
  </si>
  <si>
    <t>Fachada secretaria Sul</t>
  </si>
  <si>
    <t>Fachada Viga secretaria Sul</t>
  </si>
  <si>
    <t>Deposito fundos secretaria</t>
  </si>
  <si>
    <t>lateral salas</t>
  </si>
  <si>
    <t>parede lateral policlinica</t>
  </si>
  <si>
    <t>lateral cozinha</t>
  </si>
  <si>
    <t>murada policlinica</t>
  </si>
  <si>
    <t>murada colegio</t>
  </si>
  <si>
    <t>lateral colegio</t>
  </si>
  <si>
    <t>vigas garagem</t>
  </si>
  <si>
    <t>vigamento</t>
  </si>
  <si>
    <t>lateral das salas</t>
  </si>
  <si>
    <t>lateral externo auditorio</t>
  </si>
  <si>
    <t>Área FORRO EM DRYWALL</t>
  </si>
  <si>
    <t>Área FORRO EM GESSO</t>
  </si>
  <si>
    <t>fachada esquerda lateral</t>
  </si>
  <si>
    <t>auditorio</t>
  </si>
  <si>
    <t xml:space="preserve">fachada </t>
  </si>
  <si>
    <t>jardineira</t>
  </si>
  <si>
    <t>garagem</t>
  </si>
  <si>
    <t>pilares</t>
  </si>
  <si>
    <t>pilares garagem</t>
  </si>
  <si>
    <t>PILARES</t>
  </si>
  <si>
    <t>corredor lateral auditorio</t>
  </si>
  <si>
    <t>auditorio antigo externo</t>
  </si>
  <si>
    <t>bancos</t>
  </si>
  <si>
    <t>sala reformada</t>
  </si>
  <si>
    <t>PINTURA PORTÕES</t>
  </si>
  <si>
    <t>TUBO PVC, SERIE NORMAL, ESGOTO PREDIAL, DN 150 MM, FORNECIDO E INSTALA  
DO EM SUBCOLETOR AÉREO DE ESGOTO SANITÁRIO. AF_12/2014</t>
  </si>
  <si>
    <t>TUBO PVC, SERIE NORMAL, ESGOTO PREDIAL, DN 150 MM, FORNECIDO E INSTALADO EM PRUMADA DE ÁGUA PLUVIAL. AF_12/2014</t>
  </si>
  <si>
    <t>TUBO PVC, SERIE NORMAL, ESGOTO PREDIAL, DN 100 MM, FORNECIDO E INSTALADO EM PRUMADA DE ÁGUA PLUVIAL. AF_12/2014</t>
  </si>
  <si>
    <t>UND</t>
  </si>
  <si>
    <t xml:space="preserve"> CAIXA ENTERRADA HIDRÁULICA RETANGULAR EM ALVENARIA COM TIJOLOS CERÂMICOS MACIÇOS, DIMENSÕES INTERNAS: 0,6X0,6X0,6 M PARA REDE DE DRENAGEM. AF_12/2020</t>
  </si>
  <si>
    <t>9.3.9</t>
  </si>
  <si>
    <t>99254</t>
  </si>
  <si>
    <t>Tubos de queda em calha da garagem</t>
  </si>
  <si>
    <t>Tubo de queda secretaria</t>
  </si>
  <si>
    <t xml:space="preserve">Rede geral </t>
  </si>
  <si>
    <t>PORTAO SALA DA MERENDA</t>
  </si>
  <si>
    <t>PORTA</t>
  </si>
  <si>
    <t>Portao entrada garagem</t>
  </si>
  <si>
    <t>Portas secretaria</t>
  </si>
  <si>
    <t>PAREDE AUDITÓRIO</t>
  </si>
  <si>
    <t>PISO AUDITÓRIO</t>
  </si>
  <si>
    <t>8.12</t>
  </si>
  <si>
    <t>TEXTURA ACRÍLICA, APLICAÇÃO MANUAL EM PAREDE, UMA DEMÃO. AF_09/2016</t>
  </si>
  <si>
    <t>95305</t>
  </si>
  <si>
    <t xml:space="preserve"> TEXTURA ACRÍLICA, APLICAÇÃO MANUAL EM PAREDE, UMA DEMÃO. AF_09/2016 </t>
  </si>
  <si>
    <t>IMPORTA O PRESENTE ORÇAMENTO UM ACRÉSCIMO DE R$ 50.476,84 (CINQUENTA MIL, QUATROCENTOS E SETENTA E SEIS REAIS E OITENTA E QUATRO CENTAVOS)</t>
  </si>
  <si>
    <t>PERFAZENDO UM VALOR TOTAL DA OBRA DE R$ 1.301.927,22</t>
  </si>
  <si>
    <t>1ª aditivo</t>
  </si>
  <si>
    <t>Supressão</t>
  </si>
  <si>
    <t>Adição</t>
  </si>
  <si>
    <t>2ª aditivo</t>
  </si>
  <si>
    <t>Valor</t>
  </si>
  <si>
    <t>%</t>
  </si>
  <si>
    <t>Valor contrato original</t>
  </si>
  <si>
    <t>Valor c/ Aditivo Final</t>
  </si>
  <si>
    <t>PREFEITURA  MUNICIPAL  DE SOUSA - PB</t>
  </si>
  <si>
    <t>Objetivo</t>
  </si>
  <si>
    <t>Agente Promotor</t>
  </si>
  <si>
    <t>Data de Emissão</t>
  </si>
  <si>
    <t>Nº BM</t>
  </si>
  <si>
    <t>Localização</t>
  </si>
  <si>
    <t>Contratada</t>
  </si>
  <si>
    <t>Início da Obra</t>
  </si>
  <si>
    <t>Termino da Obra</t>
  </si>
  <si>
    <t>RUA DEP. JOSÉ DE PAIVA GADELHA. - BAIRRO GATO PRETO - SOUSA/PB</t>
  </si>
  <si>
    <t>COMPACTO CONSTRUÇÕES EIRELI - EPP</t>
  </si>
  <si>
    <t>Modalidade</t>
  </si>
  <si>
    <t>Nº de Contrato e Data de assinatura</t>
  </si>
  <si>
    <t>Valor do Contrato / PMS</t>
  </si>
  <si>
    <t>Valor da medição - R$</t>
  </si>
  <si>
    <t>Período de medição</t>
  </si>
  <si>
    <t>TOMADA DE PREÇOS 06/2022</t>
  </si>
  <si>
    <t>Nº 0483/2022  - 06/07/2022</t>
  </si>
  <si>
    <t>Itens</t>
  </si>
  <si>
    <t>Discriminação dos serviços do orçamento</t>
  </si>
  <si>
    <t>Unid.</t>
  </si>
  <si>
    <t>Custo Unitário</t>
  </si>
  <si>
    <t>Quantidade</t>
  </si>
  <si>
    <t>Financeiro</t>
  </si>
  <si>
    <t>Desvio (%)</t>
  </si>
  <si>
    <t>Prevista</t>
  </si>
  <si>
    <t>Medida no período</t>
  </si>
  <si>
    <t>Acumulada incluindo o período</t>
  </si>
  <si>
    <t>BM_01</t>
  </si>
  <si>
    <t>BM_02</t>
  </si>
  <si>
    <t>BM_03</t>
  </si>
  <si>
    <t>BM_04</t>
  </si>
  <si>
    <t>BM_05</t>
  </si>
  <si>
    <t>BM_06</t>
  </si>
  <si>
    <t>BM_07</t>
  </si>
  <si>
    <t>BM_08</t>
  </si>
  <si>
    <t>BM_09</t>
  </si>
  <si>
    <t>BM_10</t>
  </si>
  <si>
    <t>BM_11</t>
  </si>
  <si>
    <t>BM_12</t>
  </si>
  <si>
    <t>BM_13</t>
  </si>
  <si>
    <t>BM_14</t>
  </si>
  <si>
    <t>BM_15</t>
  </si>
  <si>
    <t>BM_16</t>
  </si>
  <si>
    <t>NIVSON ALESSANDRE FREIRE COSTA</t>
  </si>
  <si>
    <t>CREA 160148368-6</t>
  </si>
  <si>
    <t>TOTAL DESTA MEDIÇÃO - BM 17</t>
  </si>
  <si>
    <t>BM_17</t>
  </si>
  <si>
    <t>29/09/2024 a 16/10/2024</t>
  </si>
  <si>
    <t>BM 18  - Boletim de Medição</t>
  </si>
  <si>
    <t>18</t>
  </si>
  <si>
    <t>BM_18</t>
  </si>
  <si>
    <t>PAREDE ESTACION. MOTOS</t>
  </si>
  <si>
    <t>PAREDE JARDIM</t>
  </si>
  <si>
    <t>PAREDE ENTRADA AUDITÓRIO</t>
  </si>
  <si>
    <t>LATERAL DIREITA SECRETARIA</t>
  </si>
  <si>
    <t>LATERAL ESQUERDA SECRETARIA</t>
  </si>
  <si>
    <t>PAREDE ENTRADA CADEIRAN</t>
  </si>
  <si>
    <t>PAREDE RECEPÇÃO AUDITORIO</t>
  </si>
  <si>
    <t>FACHADA AUDITÓRIO</t>
  </si>
  <si>
    <t>BM18</t>
  </si>
  <si>
    <t>RECEPÇAO ENTRADA</t>
  </si>
  <si>
    <t>HALL ENTRADA CENTRAL</t>
  </si>
  <si>
    <t>ESCADA</t>
  </si>
  <si>
    <t>WC PISO</t>
  </si>
  <si>
    <t>REVESTIMENTO WC</t>
  </si>
  <si>
    <t>DESPENSA DIREITA</t>
  </si>
  <si>
    <t>DESPENSA ESQUERDA</t>
  </si>
  <si>
    <t>HALL ENTRADA AUDITÓRIO</t>
  </si>
  <si>
    <t>COPA PISO</t>
  </si>
  <si>
    <t>ENTRADA FRONTAL</t>
  </si>
  <si>
    <t>ESCADA ENTRADA</t>
  </si>
  <si>
    <t>REVESTIMENTO COPA</t>
  </si>
  <si>
    <t>DESCONTO PORTA</t>
  </si>
  <si>
    <t>DESCONTO JANELA</t>
  </si>
  <si>
    <t>REVESTIMENTO FACHADA</t>
  </si>
  <si>
    <t>FRENTE SECRETARIA</t>
  </si>
  <si>
    <t>FRENTE AUDITÓRIO</t>
  </si>
  <si>
    <t>LATERAL  FACHADA AUDITORIO</t>
  </si>
  <si>
    <t>15.00</t>
  </si>
  <si>
    <t>10.0</t>
  </si>
  <si>
    <t>VALOR POR EXTENSO: VINTE  E OITO MIL, QUATROCENTOS E VINTE E DOIS REAIS E CINQUENTA E QUATRO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</si>
</sst>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(* #,##0.00_);_(* \(#,##0.00\);_(* &quot;-&quot;??_);_(@_)"/>
    <numFmt numFmtId="167" formatCode="* #,##0.00\ ;* \(#,##0.00\);* \-#\ ;@\ "/>
    <numFmt numFmtId="168" formatCode="&quot;R$&quot;#,##0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vertAlign val="superscript"/>
      <sz val="10"/>
      <name val="Times New Roman"/>
      <family val="1"/>
    </font>
    <font>
      <sz val="7"/>
      <name val="Arial Narrow"/>
      <family val="2"/>
    </font>
    <font>
      <b/>
      <sz val="7"/>
      <name val="Arial"/>
      <family val="2"/>
    </font>
    <font>
      <sz val="12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1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b/>
      <sz val="11"/>
      <name val="Arial Narrow"/>
      <family val="2"/>
    </font>
    <font>
      <sz val="10"/>
      <color rgb="FF000000"/>
      <name val="Arial Narrow"/>
      <family val="2"/>
    </font>
    <font>
      <sz val="11"/>
      <name val="Calibri"/>
      <family val="2"/>
      <scheme val="minor"/>
    </font>
    <font>
      <b/>
      <sz val="12"/>
      <name val="Arial Narrow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sz val="11"/>
      <name val="Arial Narrow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6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1"/>
      <color rgb="FF00B050"/>
      <name val="Arial"/>
      <family val="1"/>
    </font>
    <font>
      <sz val="10"/>
      <name val="Arial"/>
      <family val="1"/>
    </font>
    <font>
      <sz val="10"/>
      <color theme="1"/>
      <name val="Calibri"/>
      <family val="2"/>
      <scheme val="minor"/>
    </font>
    <font>
      <b/>
      <sz val="11"/>
      <color rgb="FF00B050"/>
      <name val="Arial"/>
      <family val="2"/>
    </font>
    <font>
      <b/>
      <sz val="14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32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 applyFill="0" applyBorder="0" applyAlignment="0" applyProtection="0"/>
    <xf numFmtId="0" fontId="6" fillId="0" borderId="0"/>
    <xf numFmtId="0" fontId="10" fillId="0" borderId="0"/>
    <xf numFmtId="0" fontId="4" fillId="0" borderId="0"/>
    <xf numFmtId="167" fontId="4" fillId="0" borderId="0"/>
    <xf numFmtId="0" fontId="13" fillId="0" borderId="0"/>
    <xf numFmtId="0" fontId="4" fillId="0" borderId="0">
      <alignment horizontal="justify" wrapText="1"/>
    </xf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2" fillId="0" borderId="0"/>
    <xf numFmtId="0" fontId="22" fillId="0" borderId="0"/>
    <xf numFmtId="0" fontId="2" fillId="0" borderId="0"/>
    <xf numFmtId="166" fontId="23" fillId="0" borderId="0" applyFill="0" applyBorder="0" applyProtection="0">
      <alignment vertical="top"/>
    </xf>
    <xf numFmtId="0" fontId="23" fillId="0" borderId="0"/>
    <xf numFmtId="9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164" fontId="22" fillId="0" borderId="0" applyFont="0" applyFill="0" applyBorder="0" applyAlignment="0" applyProtection="0"/>
  </cellStyleXfs>
  <cellXfs count="923">
    <xf numFmtId="0" fontId="0" fillId="0" borderId="0" xfId="0"/>
    <xf numFmtId="165" fontId="3" fillId="0" borderId="0" xfId="1" applyFont="1" applyAlignment="1">
      <alignment horizontal="left"/>
    </xf>
    <xf numFmtId="165" fontId="5" fillId="0" borderId="0" xfId="1" applyFont="1" applyBorder="1" applyAlignment="1" applyProtection="1">
      <alignment horizontal="left" vertical="center" wrapText="1"/>
    </xf>
    <xf numFmtId="165" fontId="3" fillId="0" borderId="0" xfId="1" applyFont="1" applyBorder="1" applyAlignment="1">
      <alignment horizontal="left"/>
    </xf>
    <xf numFmtId="165" fontId="4" fillId="0" borderId="22" xfId="1" applyFont="1" applyBorder="1" applyAlignment="1" applyProtection="1">
      <alignment vertical="center"/>
      <protection locked="0"/>
    </xf>
    <xf numFmtId="165" fontId="4" fillId="0" borderId="0" xfId="1" applyFont="1" applyBorder="1" applyAlignment="1" applyProtection="1">
      <alignment vertical="center"/>
      <protection locked="0"/>
    </xf>
    <xf numFmtId="165" fontId="4" fillId="0" borderId="20" xfId="1" applyFont="1" applyBorder="1" applyAlignment="1" applyProtection="1">
      <alignment vertical="center"/>
      <protection locked="0"/>
    </xf>
    <xf numFmtId="165" fontId="3" fillId="0" borderId="20" xfId="1" applyFont="1" applyBorder="1" applyAlignment="1">
      <alignment horizontal="left"/>
    </xf>
    <xf numFmtId="165" fontId="3" fillId="0" borderId="22" xfId="1" applyFont="1" applyBorder="1" applyAlignment="1">
      <alignment horizontal="left"/>
    </xf>
    <xf numFmtId="165" fontId="3" fillId="0" borderId="11" xfId="1" applyFont="1" applyBorder="1" applyAlignment="1">
      <alignment horizontal="left"/>
    </xf>
    <xf numFmtId="165" fontId="3" fillId="0" borderId="10" xfId="1" applyFont="1" applyBorder="1" applyAlignment="1">
      <alignment horizontal="left"/>
    </xf>
    <xf numFmtId="165" fontId="3" fillId="0" borderId="23" xfId="1" applyFont="1" applyBorder="1" applyAlignment="1">
      <alignment horizontal="left"/>
    </xf>
    <xf numFmtId="0" fontId="3" fillId="0" borderId="0" xfId="1" applyNumberFormat="1" applyFont="1" applyAlignment="1">
      <alignment horizontal="left"/>
    </xf>
    <xf numFmtId="0" fontId="12" fillId="0" borderId="22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left" vertical="center" indent="1"/>
    </xf>
    <xf numFmtId="0" fontId="12" fillId="0" borderId="0" xfId="1" applyNumberFormat="1" applyFont="1" applyFill="1" applyBorder="1" applyAlignment="1">
      <alignment horizontal="left" vertical="center" indent="1"/>
    </xf>
    <xf numFmtId="49" fontId="12" fillId="0" borderId="0" xfId="1" applyNumberFormat="1" applyFont="1" applyFill="1" applyBorder="1" applyAlignment="1">
      <alignment horizontal="center" vertical="center"/>
    </xf>
    <xf numFmtId="165" fontId="12" fillId="0" borderId="0" xfId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166" fontId="12" fillId="0" borderId="20" xfId="1" applyNumberFormat="1" applyFont="1" applyFill="1" applyBorder="1" applyAlignment="1">
      <alignment horizontal="center" vertical="center"/>
    </xf>
    <xf numFmtId="0" fontId="0" fillId="0" borderId="16" xfId="15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horizontal="right" vertical="center" indent="1"/>
    </xf>
    <xf numFmtId="4" fontId="23" fillId="4" borderId="0" xfId="16" applyNumberFormat="1" applyFont="1" applyFill="1" applyAlignment="1">
      <alignment horizontal="center" vertical="center"/>
    </xf>
    <xf numFmtId="0" fontId="23" fillId="4" borderId="0" xfId="16" applyFont="1" applyFill="1" applyAlignment="1">
      <alignment horizontal="center" vertical="center"/>
    </xf>
    <xf numFmtId="0" fontId="23" fillId="4" borderId="0" xfId="16" applyFont="1" applyFill="1" applyAlignment="1">
      <alignment horizontal="justify" vertical="distributed"/>
    </xf>
    <xf numFmtId="0" fontId="23" fillId="0" borderId="0" xfId="16" applyFont="1"/>
    <xf numFmtId="0" fontId="25" fillId="0" borderId="0" xfId="16" applyFont="1"/>
    <xf numFmtId="4" fontId="26" fillId="5" borderId="16" xfId="16" applyNumberFormat="1" applyFont="1" applyFill="1" applyBorder="1" applyAlignment="1">
      <alignment vertical="center" wrapText="1"/>
    </xf>
    <xf numFmtId="4" fontId="23" fillId="4" borderId="0" xfId="16" applyNumberFormat="1" applyFont="1" applyFill="1" applyAlignment="1">
      <alignment vertical="center"/>
    </xf>
    <xf numFmtId="4" fontId="23" fillId="4" borderId="16" xfId="16" applyNumberFormat="1" applyFont="1" applyFill="1" applyBorder="1" applyAlignment="1">
      <alignment horizontal="right" vertical="center" indent="1"/>
    </xf>
    <xf numFmtId="0" fontId="27" fillId="0" borderId="16" xfId="17" applyFont="1" applyBorder="1" applyAlignment="1">
      <alignment horizontal="left" vertical="center" wrapText="1"/>
    </xf>
    <xf numFmtId="0" fontId="23" fillId="0" borderId="54" xfId="17" applyFont="1" applyBorder="1" applyAlignment="1">
      <alignment horizontal="left" vertical="center" wrapText="1"/>
    </xf>
    <xf numFmtId="0" fontId="23" fillId="0" borderId="54" xfId="16" applyFont="1" applyBorder="1" applyAlignment="1">
      <alignment horizontal="left" vertical="center" wrapText="1"/>
    </xf>
    <xf numFmtId="0" fontId="23" fillId="0" borderId="54" xfId="16" applyFont="1" applyBorder="1" applyAlignment="1">
      <alignment horizontal="center" vertical="center" wrapText="1"/>
    </xf>
    <xf numFmtId="0" fontId="23" fillId="0" borderId="0" xfId="16" applyFont="1" applyAlignment="1">
      <alignment horizontal="justify" vertical="distributed"/>
    </xf>
    <xf numFmtId="0" fontId="25" fillId="0" borderId="0" xfId="16" applyFont="1" applyAlignment="1">
      <alignment horizontal="justify" vertical="distributed"/>
    </xf>
    <xf numFmtId="1" fontId="4" fillId="0" borderId="16" xfId="18" applyNumberFormat="1" applyFont="1" applyFill="1" applyBorder="1" applyAlignment="1">
      <alignment horizontal="center" vertical="center" wrapText="1"/>
    </xf>
    <xf numFmtId="1" fontId="4" fillId="4" borderId="16" xfId="18" applyNumberFormat="1" applyFont="1" applyFill="1" applyBorder="1" applyAlignment="1">
      <alignment horizontal="center" vertical="center" wrapText="1"/>
    </xf>
    <xf numFmtId="1" fontId="4" fillId="0" borderId="59" xfId="18" applyNumberFormat="1" applyFont="1" applyFill="1" applyBorder="1" applyAlignment="1">
      <alignment horizontal="center" vertical="center" wrapText="1"/>
    </xf>
    <xf numFmtId="1" fontId="5" fillId="0" borderId="16" xfId="18" applyNumberFormat="1" applyFont="1" applyFill="1" applyBorder="1" applyAlignment="1">
      <alignment horizontal="center" vertical="center" wrapText="1"/>
    </xf>
    <xf numFmtId="49" fontId="4" fillId="0" borderId="16" xfId="1" applyNumberFormat="1" applyFont="1" applyFill="1" applyBorder="1" applyAlignment="1">
      <alignment horizontal="center" vertical="center" wrapText="1"/>
    </xf>
    <xf numFmtId="49" fontId="4" fillId="4" borderId="16" xfId="1" applyNumberFormat="1" applyFont="1" applyFill="1" applyBorder="1" applyAlignment="1">
      <alignment horizontal="center" vertical="center" wrapText="1"/>
    </xf>
    <xf numFmtId="49" fontId="4" fillId="0" borderId="59" xfId="18" applyNumberFormat="1" applyFont="1" applyFill="1" applyBorder="1" applyAlignment="1">
      <alignment horizontal="center" vertical="center" wrapText="1"/>
    </xf>
    <xf numFmtId="49" fontId="4" fillId="4" borderId="59" xfId="18" applyNumberFormat="1" applyFont="1" applyFill="1" applyBorder="1" applyAlignment="1">
      <alignment horizontal="center" vertical="center" wrapText="1"/>
    </xf>
    <xf numFmtId="49" fontId="4" fillId="0" borderId="16" xfId="18" applyNumberFormat="1" applyFont="1" applyFill="1" applyBorder="1" applyAlignment="1">
      <alignment horizontal="center" vertical="center" wrapText="1"/>
    </xf>
    <xf numFmtId="49" fontId="4" fillId="0" borderId="21" xfId="18" applyNumberFormat="1" applyFont="1" applyFill="1" applyBorder="1" applyAlignment="1">
      <alignment horizontal="center" vertical="center" wrapText="1"/>
    </xf>
    <xf numFmtId="49" fontId="4" fillId="0" borderId="59" xfId="1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/>
    </xf>
    <xf numFmtId="49" fontId="4" fillId="4" borderId="16" xfId="19" applyNumberFormat="1" applyFont="1" applyFill="1" applyBorder="1" applyAlignment="1">
      <alignment horizontal="center" vertical="center"/>
    </xf>
    <xf numFmtId="49" fontId="4" fillId="4" borderId="16" xfId="18" applyNumberFormat="1" applyFont="1" applyFill="1" applyBorder="1" applyAlignment="1">
      <alignment horizontal="center" vertical="center" wrapText="1"/>
    </xf>
    <xf numFmtId="49" fontId="5" fillId="0" borderId="16" xfId="18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 wrapText="1"/>
    </xf>
    <xf numFmtId="49" fontId="4" fillId="0" borderId="21" xfId="1" applyNumberFormat="1" applyFont="1" applyFill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indent="1"/>
    </xf>
    <xf numFmtId="1" fontId="4" fillId="0" borderId="21" xfId="18" applyNumberFormat="1" applyFont="1" applyFill="1" applyBorder="1" applyAlignment="1">
      <alignment horizontal="center" vertical="center" wrapText="1"/>
    </xf>
    <xf numFmtId="0" fontId="23" fillId="0" borderId="16" xfId="17" applyFont="1" applyBorder="1" applyAlignment="1">
      <alignment horizontal="center" vertical="center" wrapText="1"/>
    </xf>
    <xf numFmtId="0" fontId="23" fillId="0" borderId="59" xfId="17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49" fontId="4" fillId="4" borderId="59" xfId="19" applyNumberFormat="1" applyFont="1" applyFill="1" applyBorder="1" applyAlignment="1">
      <alignment horizontal="center" vertical="center"/>
    </xf>
    <xf numFmtId="1" fontId="4" fillId="4" borderId="59" xfId="18" applyNumberFormat="1" applyFont="1" applyFill="1" applyBorder="1" applyAlignment="1">
      <alignment horizontal="center" vertical="center" wrapText="1"/>
    </xf>
    <xf numFmtId="0" fontId="21" fillId="0" borderId="16" xfId="13" applyFont="1" applyBorder="1" applyAlignment="1">
      <alignment horizontal="left" vertical="center" wrapText="1"/>
    </xf>
    <xf numFmtId="0" fontId="23" fillId="0" borderId="52" xfId="17" applyFont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vertical="center"/>
    </xf>
    <xf numFmtId="49" fontId="5" fillId="4" borderId="0" xfId="1" applyNumberFormat="1" applyFont="1" applyFill="1" applyBorder="1" applyAlignment="1">
      <alignment horizontal="center" vertical="center" wrapText="1"/>
    </xf>
    <xf numFmtId="1" fontId="5" fillId="4" borderId="0" xfId="1" applyNumberFormat="1" applyFont="1" applyFill="1" applyBorder="1" applyAlignment="1">
      <alignment horizontal="center" vertical="center" wrapText="1"/>
    </xf>
    <xf numFmtId="0" fontId="23" fillId="0" borderId="52" xfId="16" applyFont="1" applyBorder="1" applyAlignment="1">
      <alignment horizontal="left" vertical="center" wrapText="1"/>
    </xf>
    <xf numFmtId="49" fontId="5" fillId="4" borderId="59" xfId="18" applyNumberFormat="1" applyFont="1" applyFill="1" applyBorder="1" applyAlignment="1">
      <alignment horizontal="center" vertical="center" wrapText="1"/>
    </xf>
    <xf numFmtId="1" fontId="5" fillId="4" borderId="59" xfId="18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vertical="center"/>
    </xf>
    <xf numFmtId="0" fontId="5" fillId="4" borderId="55" xfId="0" applyFont="1" applyFill="1" applyBorder="1" applyAlignment="1">
      <alignment vertical="center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55" xfId="1" applyNumberFormat="1" applyFont="1" applyFill="1" applyBorder="1" applyAlignment="1">
      <alignment horizontal="center" vertical="center" wrapText="1"/>
    </xf>
    <xf numFmtId="49" fontId="5" fillId="4" borderId="4" xfId="1" applyNumberFormat="1" applyFont="1" applyFill="1" applyBorder="1" applyAlignment="1">
      <alignment horizontal="center" vertical="center" wrapText="1"/>
    </xf>
    <xf numFmtId="4" fontId="23" fillId="0" borderId="0" xfId="16" applyNumberFormat="1" applyFont="1"/>
    <xf numFmtId="0" fontId="5" fillId="4" borderId="0" xfId="0" applyFont="1" applyFill="1" applyBorder="1" applyAlignment="1">
      <alignment vertical="center"/>
    </xf>
    <xf numFmtId="0" fontId="0" fillId="0" borderId="0" xfId="0" applyAlignment="1"/>
    <xf numFmtId="0" fontId="0" fillId="0" borderId="47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60" xfId="0" applyBorder="1" applyAlignment="1"/>
    <xf numFmtId="0" fontId="23" fillId="0" borderId="53" xfId="17" applyFont="1" applyBorder="1" applyAlignment="1">
      <alignment horizontal="center" vertical="center" wrapText="1"/>
    </xf>
    <xf numFmtId="4" fontId="23" fillId="0" borderId="54" xfId="17" applyNumberFormat="1" applyFont="1" applyBorder="1" applyAlignment="1">
      <alignment horizontal="center" vertical="center" wrapText="1"/>
    </xf>
    <xf numFmtId="0" fontId="23" fillId="0" borderId="56" xfId="17" applyFont="1" applyBorder="1" applyAlignment="1">
      <alignment horizontal="left" vertical="center" wrapText="1"/>
    </xf>
    <xf numFmtId="4" fontId="23" fillId="0" borderId="16" xfId="17" applyNumberFormat="1" applyFont="1" applyBorder="1" applyAlignment="1">
      <alignment horizontal="center" vertical="center" wrapText="1"/>
    </xf>
    <xf numFmtId="0" fontId="23" fillId="0" borderId="54" xfId="17" applyFont="1" applyBorder="1" applyAlignment="1">
      <alignment horizontal="center" vertical="center" wrapText="1"/>
    </xf>
    <xf numFmtId="165" fontId="32" fillId="0" borderId="19" xfId="1" applyFont="1" applyBorder="1" applyAlignment="1">
      <alignment vertical="center"/>
    </xf>
    <xf numFmtId="165" fontId="32" fillId="0" borderId="18" xfId="1" applyFont="1" applyBorder="1" applyAlignment="1">
      <alignment vertical="center"/>
    </xf>
    <xf numFmtId="165" fontId="32" fillId="8" borderId="11" xfId="1" applyFont="1" applyFill="1" applyBorder="1" applyAlignment="1">
      <alignment vertical="center"/>
    </xf>
    <xf numFmtId="165" fontId="32" fillId="8" borderId="23" xfId="1" applyFont="1" applyFill="1" applyBorder="1" applyAlignment="1">
      <alignment vertical="center"/>
    </xf>
    <xf numFmtId="165" fontId="5" fillId="0" borderId="27" xfId="1" applyFont="1" applyFill="1" applyBorder="1" applyAlignment="1">
      <alignment horizontal="center" vertical="center"/>
    </xf>
    <xf numFmtId="165" fontId="5" fillId="0" borderId="22" xfId="1" applyFont="1" applyFill="1" applyBorder="1" applyAlignment="1">
      <alignment vertical="center"/>
    </xf>
    <xf numFmtId="165" fontId="5" fillId="0" borderId="0" xfId="1" applyFont="1" applyFill="1" applyBorder="1" applyAlignment="1">
      <alignment vertical="center"/>
    </xf>
    <xf numFmtId="165" fontId="5" fillId="0" borderId="20" xfId="1" applyFont="1" applyFill="1" applyBorder="1" applyAlignment="1">
      <alignment vertical="center"/>
    </xf>
    <xf numFmtId="165" fontId="5" fillId="5" borderId="69" xfId="1" applyFont="1" applyFill="1" applyBorder="1" applyAlignment="1">
      <alignment horizontal="center" vertical="center"/>
    </xf>
    <xf numFmtId="165" fontId="5" fillId="5" borderId="62" xfId="1" applyFont="1" applyFill="1" applyBorder="1" applyAlignment="1">
      <alignment vertical="center"/>
    </xf>
    <xf numFmtId="165" fontId="5" fillId="5" borderId="63" xfId="1" applyFont="1" applyFill="1" applyBorder="1" applyAlignment="1">
      <alignment vertical="center"/>
    </xf>
    <xf numFmtId="165" fontId="4" fillId="0" borderId="22" xfId="1" applyFont="1" applyFill="1" applyBorder="1" applyAlignment="1">
      <alignment vertical="center"/>
    </xf>
    <xf numFmtId="165" fontId="4" fillId="0" borderId="0" xfId="1" applyFont="1" applyFill="1" applyBorder="1" applyAlignment="1">
      <alignment vertical="center"/>
    </xf>
    <xf numFmtId="165" fontId="4" fillId="0" borderId="20" xfId="1" applyFont="1" applyFill="1" applyBorder="1" applyAlignment="1">
      <alignment vertical="center"/>
    </xf>
    <xf numFmtId="165" fontId="4" fillId="2" borderId="70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165" fontId="5" fillId="2" borderId="34" xfId="1" applyFont="1" applyFill="1" applyBorder="1" applyAlignment="1">
      <alignment horizontal="center" vertical="center"/>
    </xf>
    <xf numFmtId="165" fontId="5" fillId="2" borderId="71" xfId="1" applyFont="1" applyFill="1" applyBorder="1" applyAlignment="1">
      <alignment horizontal="center" vertical="center"/>
    </xf>
    <xf numFmtId="165" fontId="4" fillId="0" borderId="0" xfId="1" applyFont="1" applyFill="1" applyAlignment="1">
      <alignment horizontal="left"/>
    </xf>
    <xf numFmtId="165" fontId="4" fillId="0" borderId="70" xfId="1" applyFont="1" applyFill="1" applyBorder="1" applyAlignment="1">
      <alignment horizontal="center" vertical="center"/>
    </xf>
    <xf numFmtId="165" fontId="4" fillId="0" borderId="34" xfId="1" applyFont="1" applyFill="1" applyBorder="1" applyAlignment="1">
      <alignment horizontal="center" vertical="center"/>
    </xf>
    <xf numFmtId="166" fontId="4" fillId="0" borderId="34" xfId="1" applyNumberFormat="1" applyFont="1" applyFill="1" applyBorder="1" applyAlignment="1">
      <alignment horizontal="center" vertical="center"/>
    </xf>
    <xf numFmtId="165" fontId="4" fillId="0" borderId="71" xfId="1" applyFont="1" applyFill="1" applyBorder="1" applyAlignment="1">
      <alignment horizontal="center" vertical="center"/>
    </xf>
    <xf numFmtId="165" fontId="4" fillId="0" borderId="22" xfId="1" applyFont="1" applyFill="1" applyBorder="1" applyAlignment="1">
      <alignment horizontal="center" vertical="center"/>
    </xf>
    <xf numFmtId="165" fontId="4" fillId="0" borderId="2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indent="1"/>
    </xf>
    <xf numFmtId="0" fontId="4" fillId="0" borderId="0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5" fontId="4" fillId="0" borderId="0" xfId="1" applyFont="1" applyFill="1" applyBorder="1" applyAlignment="1">
      <alignment horizontal="center" vertical="center"/>
    </xf>
    <xf numFmtId="165" fontId="5" fillId="0" borderId="0" xfId="1" applyFont="1" applyFill="1" applyBorder="1" applyAlignment="1">
      <alignment horizontal="center" vertical="center"/>
    </xf>
    <xf numFmtId="165" fontId="4" fillId="2" borderId="33" xfId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left" vertical="center" wrapText="1"/>
    </xf>
    <xf numFmtId="0" fontId="33" fillId="0" borderId="33" xfId="1" applyNumberFormat="1" applyFont="1" applyFill="1" applyBorder="1" applyAlignment="1">
      <alignment horizontal="center" vertical="center" wrapText="1"/>
    </xf>
    <xf numFmtId="0" fontId="33" fillId="0" borderId="34" xfId="1" applyNumberFormat="1" applyFont="1" applyFill="1" applyBorder="1" applyAlignment="1">
      <alignment horizontal="center" vertical="center" wrapText="1"/>
    </xf>
    <xf numFmtId="0" fontId="4" fillId="0" borderId="34" xfId="1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165" fontId="4" fillId="0" borderId="72" xfId="1" applyFont="1" applyFill="1" applyBorder="1" applyAlignment="1">
      <alignment horizontal="center" vertical="center"/>
    </xf>
    <xf numFmtId="0" fontId="4" fillId="0" borderId="33" xfId="1" applyNumberFormat="1" applyFont="1" applyFill="1" applyBorder="1" applyAlignment="1">
      <alignment horizontal="left" vertical="center" wrapText="1"/>
    </xf>
    <xf numFmtId="165" fontId="34" fillId="0" borderId="34" xfId="1" applyFont="1" applyFill="1" applyBorder="1" applyAlignment="1">
      <alignment horizontal="center" vertical="center"/>
    </xf>
    <xf numFmtId="166" fontId="34" fillId="0" borderId="34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3" fillId="0" borderId="45" xfId="1" applyNumberFormat="1" applyFont="1" applyFill="1" applyBorder="1" applyAlignment="1">
      <alignment horizontal="center" vertical="center" wrapText="1"/>
    </xf>
    <xf numFmtId="165" fontId="4" fillId="0" borderId="32" xfId="1" applyFont="1" applyFill="1" applyBorder="1" applyAlignment="1">
      <alignment horizontal="center" vertical="center"/>
    </xf>
    <xf numFmtId="0" fontId="33" fillId="0" borderId="0" xfId="1" applyNumberFormat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4" fontId="23" fillId="4" borderId="29" xfId="16" applyNumberFormat="1" applyFont="1" applyFill="1" applyBorder="1" applyAlignment="1">
      <alignment horizontal="right" vertical="center" indent="1"/>
    </xf>
    <xf numFmtId="1" fontId="4" fillId="0" borderId="0" xfId="18" applyNumberFormat="1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right" vertical="center" indent="1"/>
    </xf>
    <xf numFmtId="4" fontId="23" fillId="4" borderId="1" xfId="16" applyNumberFormat="1" applyFont="1" applyFill="1" applyBorder="1" applyAlignment="1">
      <alignment horizontal="right" vertical="center" indent="1"/>
    </xf>
    <xf numFmtId="164" fontId="24" fillId="4" borderId="59" xfId="2" applyFont="1" applyFill="1" applyBorder="1" applyAlignment="1">
      <alignment horizontal="right" vertical="center" indent="1"/>
    </xf>
    <xf numFmtId="0" fontId="23" fillId="0" borderId="0" xfId="16" applyFont="1" applyBorder="1" applyAlignment="1">
      <alignment horizontal="left" vertical="center" wrapText="1"/>
    </xf>
    <xf numFmtId="4" fontId="23" fillId="4" borderId="31" xfId="16" applyNumberFormat="1" applyFont="1" applyFill="1" applyBorder="1" applyAlignment="1">
      <alignment horizontal="right" vertical="center" indent="1"/>
    </xf>
    <xf numFmtId="4" fontId="23" fillId="4" borderId="55" xfId="16" applyNumberFormat="1" applyFont="1" applyFill="1" applyBorder="1" applyAlignment="1">
      <alignment horizontal="right" vertical="center" indent="1"/>
    </xf>
    <xf numFmtId="164" fontId="24" fillId="4" borderId="16" xfId="2" applyFont="1" applyFill="1" applyBorder="1" applyAlignment="1">
      <alignment horizontal="right" vertical="center" indent="1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49" fontId="5" fillId="4" borderId="16" xfId="19" applyNumberFormat="1" applyFont="1" applyFill="1" applyBorder="1" applyAlignment="1">
      <alignment vertical="center"/>
    </xf>
    <xf numFmtId="0" fontId="5" fillId="4" borderId="16" xfId="19" applyFont="1" applyFill="1" applyBorder="1" applyAlignment="1">
      <alignment vertical="center"/>
    </xf>
    <xf numFmtId="4" fontId="23" fillId="0" borderId="58" xfId="17" applyNumberFormat="1" applyFon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/>
    </xf>
    <xf numFmtId="0" fontId="18" fillId="0" borderId="0" xfId="0" applyFont="1" applyAlignment="1">
      <alignment wrapText="1"/>
    </xf>
    <xf numFmtId="0" fontId="23" fillId="0" borderId="58" xfId="17" applyFont="1" applyBorder="1" applyAlignment="1">
      <alignment horizontal="left" vertical="center" wrapText="1"/>
    </xf>
    <xf numFmtId="0" fontId="23" fillId="0" borderId="0" xfId="17" applyFont="1" applyBorder="1" applyAlignment="1">
      <alignment horizontal="left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21" xfId="19" applyNumberFormat="1" applyFont="1" applyBorder="1" applyAlignment="1">
      <alignment horizontal="center" vertical="center" wrapText="1"/>
    </xf>
    <xf numFmtId="1" fontId="4" fillId="0" borderId="6" xfId="18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23" fillId="0" borderId="16" xfId="1" applyNumberFormat="1" applyFont="1" applyFill="1" applyBorder="1" applyAlignment="1">
      <alignment horizontal="center" vertical="center" wrapText="1"/>
    </xf>
    <xf numFmtId="1" fontId="23" fillId="0" borderId="59" xfId="18" applyNumberFormat="1" applyFont="1" applyFill="1" applyBorder="1" applyAlignment="1">
      <alignment horizontal="center" vertical="center" wrapText="1"/>
    </xf>
    <xf numFmtId="1" fontId="23" fillId="0" borderId="16" xfId="18" applyNumberFormat="1" applyFont="1" applyFill="1" applyBorder="1" applyAlignment="1">
      <alignment horizontal="center" vertical="center" wrapText="1"/>
    </xf>
    <xf numFmtId="4" fontId="23" fillId="4" borderId="31" xfId="16" applyNumberFormat="1" applyFont="1" applyFill="1" applyBorder="1" applyAlignment="1">
      <alignment horizontal="right" vertical="center" wrapText="1" indent="1"/>
    </xf>
    <xf numFmtId="0" fontId="28" fillId="0" borderId="59" xfId="14" applyFont="1" applyBorder="1" applyAlignment="1">
      <alignment horizontal="left" vertical="center" wrapText="1"/>
    </xf>
    <xf numFmtId="1" fontId="4" fillId="0" borderId="55" xfId="18" applyNumberFormat="1" applyFont="1" applyFill="1" applyBorder="1" applyAlignment="1">
      <alignment horizontal="center" vertical="center" wrapText="1"/>
    </xf>
    <xf numFmtId="49" fontId="23" fillId="4" borderId="21" xfId="1" applyNumberFormat="1" applyFont="1" applyFill="1" applyBorder="1" applyAlignment="1">
      <alignment horizontal="center" vertical="center" wrapText="1"/>
    </xf>
    <xf numFmtId="1" fontId="23" fillId="4" borderId="16" xfId="18" applyNumberFormat="1" applyFont="1" applyFill="1" applyBorder="1" applyAlignment="1">
      <alignment horizontal="center" vertical="center" wrapText="1"/>
    </xf>
    <xf numFmtId="49" fontId="23" fillId="0" borderId="21" xfId="18" applyNumberFormat="1" applyFont="1" applyFill="1" applyBorder="1" applyAlignment="1">
      <alignment horizontal="center" vertical="center" wrapText="1"/>
    </xf>
    <xf numFmtId="1" fontId="23" fillId="0" borderId="21" xfId="18" applyNumberFormat="1" applyFont="1" applyFill="1" applyBorder="1" applyAlignment="1">
      <alignment horizontal="center" vertical="center" wrapText="1"/>
    </xf>
    <xf numFmtId="0" fontId="23" fillId="0" borderId="16" xfId="13" applyFont="1" applyBorder="1" applyAlignment="1">
      <alignment horizontal="left" vertical="center" wrapText="1"/>
    </xf>
    <xf numFmtId="0" fontId="23" fillId="0" borderId="16" xfId="13" applyFont="1" applyBorder="1" applyAlignment="1">
      <alignment horizontal="center" vertical="center"/>
    </xf>
    <xf numFmtId="4" fontId="29" fillId="4" borderId="0" xfId="16" applyNumberFormat="1" applyFont="1" applyFill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35" fillId="0" borderId="16" xfId="0" applyFont="1" applyBorder="1" applyAlignment="1">
      <alignment horizontal="center" vertical="center"/>
    </xf>
    <xf numFmtId="0" fontId="37" fillId="0" borderId="5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7" fillId="0" borderId="4" xfId="4" applyFont="1" applyBorder="1" applyAlignment="1">
      <alignment horizontal="center"/>
    </xf>
    <xf numFmtId="0" fontId="39" fillId="7" borderId="16" xfId="4" applyFont="1" applyFill="1" applyBorder="1" applyAlignment="1" applyProtection="1">
      <alignment horizontal="center" vertical="center" wrapText="1"/>
      <protection locked="0"/>
    </xf>
    <xf numFmtId="0" fontId="39" fillId="0" borderId="59" xfId="4" applyFont="1" applyFill="1" applyBorder="1" applyAlignment="1">
      <alignment horizontal="center" vertical="center" wrapText="1"/>
    </xf>
    <xf numFmtId="0" fontId="39" fillId="0" borderId="2" xfId="4" applyFont="1" applyFill="1" applyBorder="1" applyAlignment="1">
      <alignment horizontal="center" vertical="center" wrapText="1"/>
    </xf>
    <xf numFmtId="0" fontId="39" fillId="0" borderId="31" xfId="4" applyFont="1" applyFill="1" applyBorder="1" applyAlignment="1" applyProtection="1">
      <alignment horizontal="center" vertical="center" wrapText="1"/>
      <protection locked="0"/>
    </xf>
    <xf numFmtId="0" fontId="39" fillId="0" borderId="55" xfId="4" applyFont="1" applyFill="1" applyBorder="1" applyAlignment="1" applyProtection="1">
      <alignment horizontal="center" vertical="center" wrapText="1"/>
      <protection locked="0"/>
    </xf>
    <xf numFmtId="0" fontId="24" fillId="4" borderId="16" xfId="16" applyFont="1" applyFill="1" applyBorder="1" applyAlignment="1">
      <alignment horizontal="right" vertical="center" wrapText="1" indent="1"/>
    </xf>
    <xf numFmtId="0" fontId="24" fillId="4" borderId="29" xfId="16" applyFont="1" applyFill="1" applyBorder="1" applyAlignment="1">
      <alignment vertical="distributed" wrapText="1"/>
    </xf>
    <xf numFmtId="0" fontId="24" fillId="4" borderId="31" xfId="16" applyFont="1" applyFill="1" applyBorder="1" applyAlignment="1">
      <alignment vertical="distributed" wrapText="1"/>
    </xf>
    <xf numFmtId="164" fontId="24" fillId="4" borderId="16" xfId="2" applyFont="1" applyFill="1" applyBorder="1" applyAlignment="1">
      <alignment vertical="distributed" wrapText="1"/>
    </xf>
    <xf numFmtId="0" fontId="23" fillId="4" borderId="16" xfId="16" applyFont="1" applyFill="1" applyBorder="1" applyAlignment="1">
      <alignment horizontal="center" vertical="center" wrapText="1"/>
    </xf>
    <xf numFmtId="0" fontId="23" fillId="4" borderId="16" xfId="16" applyFont="1" applyFill="1" applyBorder="1" applyAlignment="1">
      <alignment horizontal="left" vertical="distributed" wrapText="1"/>
    </xf>
    <xf numFmtId="4" fontId="23" fillId="4" borderId="16" xfId="16" applyNumberFormat="1" applyFont="1" applyFill="1" applyBorder="1" applyAlignment="1">
      <alignment horizontal="center" vertical="center" wrapText="1"/>
    </xf>
    <xf numFmtId="0" fontId="23" fillId="4" borderId="16" xfId="16" applyFont="1" applyFill="1" applyBorder="1" applyAlignment="1">
      <alignment horizontal="left" vertical="center" wrapText="1"/>
    </xf>
    <xf numFmtId="0" fontId="23" fillId="4" borderId="59" xfId="16" applyFont="1" applyFill="1" applyBorder="1" applyAlignment="1">
      <alignment horizontal="center" vertical="center" wrapText="1"/>
    </xf>
    <xf numFmtId="0" fontId="23" fillId="4" borderId="3" xfId="16" applyFont="1" applyFill="1" applyBorder="1" applyAlignment="1">
      <alignment horizontal="left" vertical="center" wrapText="1"/>
    </xf>
    <xf numFmtId="0" fontId="23" fillId="4" borderId="2" xfId="16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center" vertical="center" wrapText="1"/>
    </xf>
    <xf numFmtId="4" fontId="23" fillId="4" borderId="2" xfId="16" applyNumberFormat="1" applyFont="1" applyFill="1" applyBorder="1" applyAlignment="1">
      <alignment horizontal="right" vertical="center" wrapText="1" indent="1"/>
    </xf>
    <xf numFmtId="0" fontId="24" fillId="4" borderId="59" xfId="16" applyFont="1" applyFill="1" applyBorder="1" applyAlignment="1">
      <alignment horizontal="right" vertical="center" wrapText="1" indent="1"/>
    </xf>
    <xf numFmtId="0" fontId="24" fillId="4" borderId="3" xfId="16" applyFont="1" applyFill="1" applyBorder="1" applyAlignment="1">
      <alignment vertical="distributed" wrapText="1"/>
    </xf>
    <xf numFmtId="0" fontId="24" fillId="4" borderId="2" xfId="16" applyFont="1" applyFill="1" applyBorder="1" applyAlignment="1">
      <alignment vertical="distributed" wrapText="1"/>
    </xf>
    <xf numFmtId="0" fontId="23" fillId="0" borderId="53" xfId="16" applyFont="1" applyBorder="1" applyAlignment="1">
      <alignment horizontal="center" vertical="center" wrapText="1"/>
    </xf>
    <xf numFmtId="0" fontId="23" fillId="0" borderId="0" xfId="16" applyFont="1" applyBorder="1" applyAlignment="1">
      <alignment horizontal="center" vertical="center" wrapText="1"/>
    </xf>
    <xf numFmtId="4" fontId="23" fillId="4" borderId="31" xfId="16" applyNumberFormat="1" applyFont="1" applyFill="1" applyBorder="1" applyAlignment="1">
      <alignment horizontal="center" vertical="center" wrapText="1"/>
    </xf>
    <xf numFmtId="0" fontId="29" fillId="4" borderId="31" xfId="16" applyFont="1" applyFill="1" applyBorder="1" applyAlignment="1">
      <alignment vertical="distributed" wrapText="1"/>
    </xf>
    <xf numFmtId="49" fontId="23" fillId="4" borderId="16" xfId="18" applyNumberFormat="1" applyFont="1" applyFill="1" applyBorder="1" applyAlignment="1">
      <alignment horizontal="center" vertical="center" wrapText="1"/>
    </xf>
    <xf numFmtId="166" fontId="23" fillId="4" borderId="16" xfId="18" applyFont="1" applyFill="1" applyBorder="1" applyAlignment="1">
      <alignment vertical="center"/>
    </xf>
    <xf numFmtId="0" fontId="24" fillId="4" borderId="55" xfId="16" applyFont="1" applyFill="1" applyBorder="1" applyAlignment="1">
      <alignment vertical="distributed" wrapText="1"/>
    </xf>
    <xf numFmtId="0" fontId="23" fillId="0" borderId="58" xfId="16" applyFont="1" applyBorder="1" applyAlignment="1">
      <alignment horizontal="left" vertical="center" wrapText="1"/>
    </xf>
    <xf numFmtId="0" fontId="23" fillId="0" borderId="58" xfId="16" applyFont="1" applyBorder="1" applyAlignment="1">
      <alignment horizontal="center" vertical="center" wrapText="1"/>
    </xf>
    <xf numFmtId="0" fontId="23" fillId="0" borderId="56" xfId="16" applyFont="1" applyBorder="1" applyAlignment="1">
      <alignment horizontal="left" vertical="center" wrapText="1"/>
    </xf>
    <xf numFmtId="0" fontId="23" fillId="0" borderId="56" xfId="16" applyFont="1" applyBorder="1" applyAlignment="1">
      <alignment horizontal="center" vertical="center" wrapText="1"/>
    </xf>
    <xf numFmtId="49" fontId="23" fillId="0" borderId="16" xfId="18" applyNumberFormat="1" applyFont="1" applyFill="1" applyBorder="1" applyAlignment="1">
      <alignment horizontal="center" vertical="center" wrapText="1"/>
    </xf>
    <xf numFmtId="166" fontId="23" fillId="0" borderId="16" xfId="18" applyFont="1" applyFill="1" applyBorder="1" applyAlignment="1">
      <alignment vertical="center"/>
    </xf>
    <xf numFmtId="0" fontId="23" fillId="4" borderId="31" xfId="16" applyFont="1" applyFill="1" applyBorder="1" applyAlignment="1">
      <alignment vertical="distributed" wrapText="1"/>
    </xf>
    <xf numFmtId="0" fontId="23" fillId="0" borderId="0" xfId="17" applyFont="1" applyBorder="1" applyAlignment="1">
      <alignment horizontal="center" vertical="center" wrapText="1"/>
    </xf>
    <xf numFmtId="4" fontId="23" fillId="0" borderId="31" xfId="17" applyNumberFormat="1" applyFont="1" applyBorder="1" applyAlignment="1">
      <alignment horizontal="center" vertical="center" wrapText="1"/>
    </xf>
    <xf numFmtId="4" fontId="23" fillId="0" borderId="0" xfId="17" applyNumberFormat="1" applyFont="1" applyBorder="1" applyAlignment="1">
      <alignment horizontal="center" vertical="center" wrapText="1"/>
    </xf>
    <xf numFmtId="0" fontId="23" fillId="0" borderId="56" xfId="17" applyFont="1" applyBorder="1" applyAlignment="1">
      <alignment horizontal="center" vertical="center" wrapText="1"/>
    </xf>
    <xf numFmtId="4" fontId="23" fillId="0" borderId="56" xfId="17" applyNumberFormat="1" applyFont="1" applyBorder="1" applyAlignment="1">
      <alignment horizontal="center" vertical="center" wrapText="1"/>
    </xf>
    <xf numFmtId="4" fontId="23" fillId="4" borderId="21" xfId="16" applyNumberFormat="1" applyFont="1" applyFill="1" applyBorder="1" applyAlignment="1">
      <alignment horizontal="right" vertical="center" wrapText="1" indent="1"/>
    </xf>
    <xf numFmtId="0" fontId="24" fillId="4" borderId="59" xfId="16" applyFont="1" applyFill="1" applyBorder="1" applyAlignment="1">
      <alignment horizontal="justify" vertical="distributed" wrapText="1"/>
    </xf>
    <xf numFmtId="0" fontId="23" fillId="0" borderId="16" xfId="17" applyFont="1" applyBorder="1" applyAlignment="1">
      <alignment horizontal="left" vertical="center" wrapText="1"/>
    </xf>
    <xf numFmtId="0" fontId="23" fillId="0" borderId="50" xfId="17" applyFont="1" applyBorder="1" applyAlignment="1">
      <alignment horizontal="left" vertical="center" wrapText="1"/>
    </xf>
    <xf numFmtId="0" fontId="23" fillId="0" borderId="51" xfId="17" applyFont="1" applyBorder="1" applyAlignment="1">
      <alignment horizontal="center" vertical="center" wrapText="1"/>
    </xf>
    <xf numFmtId="0" fontId="23" fillId="4" borderId="2" xfId="16" applyFont="1" applyFill="1" applyBorder="1" applyAlignment="1">
      <alignment vertical="distributed" wrapText="1"/>
    </xf>
    <xf numFmtId="0" fontId="24" fillId="4" borderId="16" xfId="16" applyFont="1" applyFill="1" applyBorder="1" applyAlignment="1">
      <alignment vertical="distributed" wrapText="1"/>
    </xf>
    <xf numFmtId="0" fontId="23" fillId="4" borderId="16" xfId="16" applyFont="1" applyFill="1" applyBorder="1" applyAlignment="1">
      <alignment vertical="distributed" wrapText="1"/>
    </xf>
    <xf numFmtId="0" fontId="23" fillId="0" borderId="29" xfId="17" applyFont="1" applyBorder="1" applyAlignment="1">
      <alignment horizontal="left" vertical="center" wrapText="1"/>
    </xf>
    <xf numFmtId="0" fontId="23" fillId="0" borderId="31" xfId="17" applyFont="1" applyBorder="1" applyAlignment="1">
      <alignment horizontal="center" vertical="center" wrapText="1"/>
    </xf>
    <xf numFmtId="0" fontId="23" fillId="0" borderId="59" xfId="17" applyFont="1" applyBorder="1" applyAlignment="1">
      <alignment horizontal="left" vertical="center" wrapText="1"/>
    </xf>
    <xf numFmtId="0" fontId="23" fillId="0" borderId="3" xfId="13" applyFont="1" applyBorder="1" applyAlignment="1">
      <alignment horizontal="left" vertical="center" wrapText="1"/>
    </xf>
    <xf numFmtId="0" fontId="23" fillId="0" borderId="4" xfId="13" applyFont="1" applyBorder="1" applyAlignment="1">
      <alignment horizontal="center" vertical="center"/>
    </xf>
    <xf numFmtId="1" fontId="23" fillId="0" borderId="0" xfId="18" applyNumberFormat="1" applyFont="1" applyFill="1" applyBorder="1" applyAlignment="1">
      <alignment horizontal="center" vertical="center" wrapText="1"/>
    </xf>
    <xf numFmtId="0" fontId="23" fillId="0" borderId="2" xfId="13" applyFont="1" applyBorder="1" applyAlignment="1">
      <alignment horizontal="center" vertical="center"/>
    </xf>
    <xf numFmtId="4" fontId="23" fillId="0" borderId="2" xfId="17" applyNumberFormat="1" applyFont="1" applyBorder="1" applyAlignment="1">
      <alignment horizontal="center" vertical="center" wrapText="1"/>
    </xf>
    <xf numFmtId="165" fontId="23" fillId="4" borderId="1" xfId="1" applyFont="1" applyFill="1" applyBorder="1" applyAlignment="1">
      <alignment horizontal="right" vertical="center" indent="1"/>
    </xf>
    <xf numFmtId="0" fontId="23" fillId="4" borderId="16" xfId="16" applyFont="1" applyFill="1" applyBorder="1" applyAlignment="1">
      <alignment horizontal="left" vertical="center" wrapText="1" indent="1"/>
    </xf>
    <xf numFmtId="165" fontId="4" fillId="0" borderId="0" xfId="21" applyFont="1" applyFill="1" applyBorder="1" applyAlignment="1">
      <alignment horizontal="left" vertical="center"/>
    </xf>
    <xf numFmtId="165" fontId="4" fillId="0" borderId="0" xfId="21" applyFont="1" applyFill="1" applyBorder="1" applyAlignment="1">
      <alignment vertical="center"/>
    </xf>
    <xf numFmtId="165" fontId="4" fillId="0" borderId="0" xfId="21" applyFont="1" applyFill="1" applyBorder="1" applyAlignment="1">
      <alignment horizontal="center" vertical="center"/>
    </xf>
    <xf numFmtId="165" fontId="5" fillId="0" borderId="34" xfId="1" applyFont="1" applyFill="1" applyBorder="1" applyAlignment="1">
      <alignment horizontal="center" vertical="center"/>
    </xf>
    <xf numFmtId="165" fontId="4" fillId="0" borderId="70" xfId="21" applyFont="1" applyFill="1" applyBorder="1" applyAlignment="1">
      <alignment horizontal="center" vertical="center"/>
    </xf>
    <xf numFmtId="165" fontId="4" fillId="0" borderId="34" xfId="21" applyFont="1" applyFill="1" applyBorder="1" applyAlignment="1">
      <alignment horizontal="center" vertical="center"/>
    </xf>
    <xf numFmtId="166" fontId="4" fillId="0" borderId="34" xfId="21" applyNumberFormat="1" applyFont="1" applyFill="1" applyBorder="1" applyAlignment="1">
      <alignment horizontal="center" vertical="center"/>
    </xf>
    <xf numFmtId="165" fontId="4" fillId="0" borderId="22" xfId="21" applyFont="1" applyFill="1" applyBorder="1" applyAlignment="1">
      <alignment horizontal="center" vertical="center"/>
    </xf>
    <xf numFmtId="0" fontId="4" fillId="0" borderId="34" xfId="21" applyNumberFormat="1" applyFont="1" applyFill="1" applyBorder="1" applyAlignment="1">
      <alignment horizontal="left" vertical="center" wrapText="1"/>
    </xf>
    <xf numFmtId="0" fontId="33" fillId="0" borderId="33" xfId="21" applyNumberFormat="1" applyFont="1" applyFill="1" applyBorder="1" applyAlignment="1">
      <alignment horizontal="center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4" fillId="0" borderId="0" xfId="21" applyNumberFormat="1" applyFont="1" applyFill="1" applyBorder="1" applyAlignment="1">
      <alignment horizontal="center" vertical="center" wrapText="1"/>
    </xf>
    <xf numFmtId="165" fontId="5" fillId="0" borderId="71" xfId="1" applyFont="1" applyFill="1" applyBorder="1" applyAlignment="1">
      <alignment horizontal="center" vertical="center"/>
    </xf>
    <xf numFmtId="166" fontId="4" fillId="0" borderId="0" xfId="21" applyNumberFormat="1" applyFont="1" applyFill="1" applyBorder="1" applyAlignment="1">
      <alignment horizontal="center" vertical="center"/>
    </xf>
    <xf numFmtId="165" fontId="4" fillId="9" borderId="34" xfId="1" applyFont="1" applyFill="1" applyBorder="1" applyAlignment="1">
      <alignment horizontal="center" vertical="center"/>
    </xf>
    <xf numFmtId="166" fontId="4" fillId="9" borderId="34" xfId="1" applyNumberFormat="1" applyFont="1" applyFill="1" applyBorder="1" applyAlignment="1">
      <alignment horizontal="center" vertical="center"/>
    </xf>
    <xf numFmtId="165" fontId="4" fillId="9" borderId="34" xfId="21" applyFont="1" applyFill="1" applyBorder="1" applyAlignment="1">
      <alignment horizontal="center" vertical="center"/>
    </xf>
    <xf numFmtId="166" fontId="4" fillId="9" borderId="34" xfId="21" applyNumberFormat="1" applyFont="1" applyFill="1" applyBorder="1" applyAlignment="1">
      <alignment horizontal="center" vertical="center"/>
    </xf>
    <xf numFmtId="0" fontId="41" fillId="9" borderId="34" xfId="21" applyNumberFormat="1" applyFont="1" applyFill="1" applyBorder="1" applyAlignment="1">
      <alignment horizontal="left" vertical="center" wrapText="1"/>
    </xf>
    <xf numFmtId="0" fontId="41" fillId="9" borderId="33" xfId="21" applyNumberFormat="1" applyFont="1" applyFill="1" applyBorder="1" applyAlignment="1">
      <alignment horizontal="left" vertical="center" wrapText="1"/>
    </xf>
    <xf numFmtId="165" fontId="41" fillId="9" borderId="34" xfId="21" applyFont="1" applyFill="1" applyBorder="1" applyAlignment="1">
      <alignment horizontal="center" vertical="center"/>
    </xf>
    <xf numFmtId="166" fontId="41" fillId="9" borderId="34" xfId="21" applyNumberFormat="1" applyFont="1" applyFill="1" applyBorder="1" applyAlignment="1">
      <alignment horizontal="center" vertical="center"/>
    </xf>
    <xf numFmtId="165" fontId="4" fillId="0" borderId="74" xfId="1" applyFont="1" applyFill="1" applyBorder="1" applyAlignment="1">
      <alignment horizontal="center" vertical="center"/>
    </xf>
    <xf numFmtId="165" fontId="4" fillId="2" borderId="75" xfId="1" applyFont="1" applyFill="1" applyBorder="1" applyAlignment="1">
      <alignment vertical="center"/>
    </xf>
    <xf numFmtId="165" fontId="4" fillId="2" borderId="45" xfId="1" applyFont="1" applyFill="1" applyBorder="1" applyAlignment="1">
      <alignment vertical="center"/>
    </xf>
    <xf numFmtId="165" fontId="5" fillId="2" borderId="75" xfId="1" applyFont="1" applyFill="1" applyBorder="1" applyAlignment="1">
      <alignment horizontal="center" vertical="center"/>
    </xf>
    <xf numFmtId="165" fontId="4" fillId="0" borderId="16" xfId="1" applyFont="1" applyFill="1" applyBorder="1" applyAlignment="1">
      <alignment horizontal="center" vertical="center"/>
    </xf>
    <xf numFmtId="166" fontId="4" fillId="0" borderId="16" xfId="1" applyNumberFormat="1" applyFont="1" applyFill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left" vertical="center" wrapText="1"/>
    </xf>
    <xf numFmtId="0" fontId="33" fillId="0" borderId="16" xfId="1" applyNumberFormat="1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center" vertical="center" wrapText="1"/>
    </xf>
    <xf numFmtId="165" fontId="5" fillId="5" borderId="69" xfId="21" applyFont="1" applyFill="1" applyBorder="1" applyAlignment="1">
      <alignment horizontal="center" vertical="center"/>
    </xf>
    <xf numFmtId="165" fontId="5" fillId="5" borderId="62" xfId="21" applyFont="1" applyFill="1" applyBorder="1" applyAlignment="1">
      <alignment vertical="center"/>
    </xf>
    <xf numFmtId="165" fontId="5" fillId="5" borderId="63" xfId="21" applyFont="1" applyFill="1" applyBorder="1" applyAlignment="1">
      <alignment vertical="center"/>
    </xf>
    <xf numFmtId="165" fontId="5" fillId="0" borderId="22" xfId="21" applyFont="1" applyFill="1" applyBorder="1" applyAlignment="1">
      <alignment horizontal="center" vertical="center"/>
    </xf>
    <xf numFmtId="165" fontId="5" fillId="0" borderId="0" xfId="21" applyFont="1" applyFill="1" applyBorder="1" applyAlignment="1">
      <alignment vertical="center"/>
    </xf>
    <xf numFmtId="165" fontId="5" fillId="0" borderId="20" xfId="21" applyFont="1" applyFill="1" applyBorder="1" applyAlignment="1">
      <alignment vertical="center"/>
    </xf>
    <xf numFmtId="165" fontId="4" fillId="2" borderId="70" xfId="21" applyFont="1" applyFill="1" applyBorder="1" applyAlignment="1">
      <alignment horizontal="center" vertical="center"/>
    </xf>
    <xf numFmtId="165" fontId="5" fillId="2" borderId="34" xfId="21" applyFont="1" applyFill="1" applyBorder="1" applyAlignment="1">
      <alignment horizontal="center" vertical="center"/>
    </xf>
    <xf numFmtId="165" fontId="5" fillId="2" borderId="71" xfId="21" applyFont="1" applyFill="1" applyBorder="1" applyAlignment="1">
      <alignment horizontal="center" vertical="center"/>
    </xf>
    <xf numFmtId="165" fontId="4" fillId="0" borderId="71" xfId="21" applyFont="1" applyFill="1" applyBorder="1" applyAlignment="1">
      <alignment horizontal="center" vertical="center"/>
    </xf>
    <xf numFmtId="165" fontId="4" fillId="0" borderId="20" xfId="21" applyFont="1" applyFill="1" applyBorder="1" applyAlignment="1">
      <alignment horizontal="center" vertical="center"/>
    </xf>
    <xf numFmtId="165" fontId="3" fillId="0" borderId="22" xfId="21" applyFont="1" applyBorder="1" applyAlignment="1">
      <alignment horizontal="left"/>
    </xf>
    <xf numFmtId="165" fontId="34" fillId="0" borderId="34" xfId="21" applyFont="1" applyFill="1" applyBorder="1" applyAlignment="1">
      <alignment horizontal="center" vertical="center"/>
    </xf>
    <xf numFmtId="166" fontId="34" fillId="0" borderId="34" xfId="21" applyNumberFormat="1" applyFont="1" applyFill="1" applyBorder="1" applyAlignment="1">
      <alignment horizontal="center" vertical="center"/>
    </xf>
    <xf numFmtId="0" fontId="34" fillId="0" borderId="34" xfId="21" applyNumberFormat="1" applyFont="1" applyFill="1" applyBorder="1" applyAlignment="1">
      <alignment horizontal="left" vertical="center" wrapText="1"/>
    </xf>
    <xf numFmtId="0" fontId="34" fillId="0" borderId="33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center" vertical="center" wrapText="1"/>
    </xf>
    <xf numFmtId="0" fontId="4" fillId="0" borderId="33" xfId="21" applyNumberFormat="1" applyFont="1" applyFill="1" applyBorder="1" applyAlignment="1">
      <alignment horizontal="center" vertical="center" wrapText="1"/>
    </xf>
    <xf numFmtId="0" fontId="43" fillId="0" borderId="16" xfId="16" applyFont="1" applyBorder="1" applyAlignment="1">
      <alignment horizontal="center" vertical="center"/>
    </xf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0" xfId="0" applyFont="1"/>
    <xf numFmtId="0" fontId="4" fillId="0" borderId="16" xfId="4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165" fontId="4" fillId="0" borderId="74" xfId="21" applyFont="1" applyFill="1" applyBorder="1" applyAlignment="1">
      <alignment horizontal="center" vertical="center"/>
    </xf>
    <xf numFmtId="165" fontId="4" fillId="0" borderId="75" xfId="21" applyFont="1" applyFill="1" applyBorder="1" applyAlignment="1">
      <alignment horizontal="center" vertical="center"/>
    </xf>
    <xf numFmtId="166" fontId="4" fillId="0" borderId="75" xfId="21" applyNumberFormat="1" applyFont="1" applyFill="1" applyBorder="1" applyAlignment="1">
      <alignment horizontal="center" vertical="center"/>
    </xf>
    <xf numFmtId="166" fontId="4" fillId="0" borderId="16" xfId="21" applyNumberFormat="1" applyFont="1" applyFill="1" applyBorder="1" applyAlignment="1">
      <alignment horizontal="center" vertical="center"/>
    </xf>
    <xf numFmtId="0" fontId="33" fillId="0" borderId="16" xfId="21" applyNumberFormat="1" applyFont="1" applyFill="1" applyBorder="1" applyAlignment="1">
      <alignment horizontal="center" vertical="center" wrapText="1"/>
    </xf>
    <xf numFmtId="0" fontId="4" fillId="0" borderId="16" xfId="21" applyNumberFormat="1" applyFont="1" applyFill="1" applyBorder="1" applyAlignment="1">
      <alignment horizontal="left" vertical="center" wrapText="1"/>
    </xf>
    <xf numFmtId="165" fontId="4" fillId="0" borderId="16" xfId="21" applyFont="1" applyBorder="1" applyAlignment="1">
      <alignment horizontal="left"/>
    </xf>
    <xf numFmtId="2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/>
    <xf numFmtId="165" fontId="4" fillId="0" borderId="16" xfId="21" applyFont="1" applyBorder="1" applyAlignment="1">
      <alignment horizontal="center" vertical="center"/>
    </xf>
    <xf numFmtId="165" fontId="4" fillId="9" borderId="70" xfId="21" applyFont="1" applyFill="1" applyBorder="1" applyAlignment="1">
      <alignment horizontal="center" vertical="center"/>
    </xf>
    <xf numFmtId="165" fontId="42" fillId="9" borderId="34" xfId="21" applyFont="1" applyFill="1" applyBorder="1" applyAlignment="1">
      <alignment horizontal="center" vertical="center"/>
    </xf>
    <xf numFmtId="0" fontId="22" fillId="0" borderId="16" xfId="16" applyBorder="1"/>
    <xf numFmtId="0" fontId="44" fillId="0" borderId="29" xfId="16" applyFont="1" applyBorder="1" applyAlignment="1">
      <alignment horizontal="center" vertical="center"/>
    </xf>
    <xf numFmtId="0" fontId="44" fillId="0" borderId="55" xfId="16" applyFont="1" applyBorder="1" applyAlignment="1">
      <alignment horizontal="center" vertical="center"/>
    </xf>
    <xf numFmtId="2" fontId="44" fillId="0" borderId="16" xfId="16" applyNumberFormat="1" applyFont="1" applyBorder="1" applyAlignment="1">
      <alignment horizontal="center" vertical="center"/>
    </xf>
    <xf numFmtId="0" fontId="44" fillId="0" borderId="16" xfId="16" applyFont="1" applyBorder="1" applyAlignment="1">
      <alignment horizontal="center" vertical="center"/>
    </xf>
    <xf numFmtId="165" fontId="44" fillId="0" borderId="16" xfId="21" applyFont="1" applyBorder="1" applyAlignment="1">
      <alignment horizontal="center" vertical="center"/>
    </xf>
    <xf numFmtId="0" fontId="4" fillId="0" borderId="0" xfId="21" applyNumberFormat="1" applyFont="1" applyFill="1" applyBorder="1" applyAlignment="1">
      <alignment horizontal="left" vertical="center" wrapText="1"/>
    </xf>
    <xf numFmtId="0" fontId="4" fillId="0" borderId="16" xfId="16" applyFont="1" applyBorder="1" applyAlignment="1">
      <alignment vertical="center"/>
    </xf>
    <xf numFmtId="0" fontId="22" fillId="0" borderId="0" xfId="16"/>
    <xf numFmtId="2" fontId="43" fillId="0" borderId="0" xfId="16" applyNumberFormat="1" applyFont="1" applyBorder="1" applyAlignment="1">
      <alignment horizontal="center" vertical="center"/>
    </xf>
    <xf numFmtId="0" fontId="43" fillId="0" borderId="0" xfId="16" applyFont="1" applyBorder="1" applyAlignment="1">
      <alignment horizontal="center" vertical="center"/>
    </xf>
    <xf numFmtId="0" fontId="4" fillId="0" borderId="0" xfId="16" applyFont="1" applyAlignment="1">
      <alignment vertical="center"/>
    </xf>
    <xf numFmtId="2" fontId="4" fillId="0" borderId="0" xfId="16" applyNumberFormat="1" applyFont="1" applyBorder="1" applyAlignment="1">
      <alignment horizontal="center" vertical="center"/>
    </xf>
    <xf numFmtId="0" fontId="4" fillId="0" borderId="0" xfId="16" applyFont="1" applyBorder="1" applyAlignment="1">
      <alignment horizontal="center" vertical="center"/>
    </xf>
    <xf numFmtId="0" fontId="41" fillId="0" borderId="0" xfId="21" applyNumberFormat="1" applyFont="1" applyFill="1" applyBorder="1" applyAlignment="1">
      <alignment horizontal="left" vertical="center" wrapText="1"/>
    </xf>
    <xf numFmtId="165" fontId="41" fillId="0" borderId="0" xfId="21" applyFont="1" applyFill="1" applyBorder="1" applyAlignment="1">
      <alignment horizontal="center" vertical="center"/>
    </xf>
    <xf numFmtId="166" fontId="41" fillId="0" borderId="0" xfId="21" applyNumberFormat="1" applyFont="1" applyFill="1" applyBorder="1" applyAlignment="1">
      <alignment horizontal="center" vertical="center"/>
    </xf>
    <xf numFmtId="0" fontId="43" fillId="0" borderId="0" xfId="16" applyFont="1" applyBorder="1" applyAlignment="1">
      <alignment horizontal="left" vertical="center"/>
    </xf>
    <xf numFmtId="0" fontId="44" fillId="0" borderId="0" xfId="16" applyFont="1" applyBorder="1" applyAlignment="1">
      <alignment horizontal="center" vertical="center"/>
    </xf>
    <xf numFmtId="2" fontId="44" fillId="0" borderId="0" xfId="16" applyNumberFormat="1" applyFont="1" applyBorder="1" applyAlignment="1">
      <alignment horizontal="center" vertical="center"/>
    </xf>
    <xf numFmtId="165" fontId="44" fillId="0" borderId="0" xfId="21" applyFont="1" applyBorder="1" applyAlignment="1">
      <alignment horizontal="center" vertical="center"/>
    </xf>
    <xf numFmtId="0" fontId="44" fillId="0" borderId="0" xfId="16" applyFont="1" applyAlignment="1">
      <alignment vertical="center"/>
    </xf>
    <xf numFmtId="0" fontId="21" fillId="0" borderId="0" xfId="0" applyFont="1"/>
    <xf numFmtId="0" fontId="23" fillId="0" borderId="59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6" xfId="14" applyFont="1" applyBorder="1" applyAlignment="1">
      <alignment horizontal="left" vertical="center" wrapText="1"/>
    </xf>
    <xf numFmtId="2" fontId="22" fillId="0" borderId="0" xfId="16" applyNumberFormat="1" applyFont="1" applyBorder="1" applyAlignment="1">
      <alignment horizontal="center" vertical="center"/>
    </xf>
    <xf numFmtId="0" fontId="22" fillId="0" borderId="0" xfId="16" applyFont="1" applyBorder="1" applyAlignment="1">
      <alignment horizontal="center" vertical="center"/>
    </xf>
    <xf numFmtId="165" fontId="4" fillId="0" borderId="75" xfId="1" applyFont="1" applyFill="1" applyBorder="1" applyAlignment="1">
      <alignment horizontal="center" vertical="center"/>
    </xf>
    <xf numFmtId="166" fontId="4" fillId="0" borderId="75" xfId="1" applyNumberFormat="1" applyFont="1" applyFill="1" applyBorder="1" applyAlignment="1">
      <alignment horizontal="center" vertical="center"/>
    </xf>
    <xf numFmtId="0" fontId="44" fillId="0" borderId="16" xfId="16" applyFont="1" applyBorder="1" applyAlignment="1">
      <alignment vertical="center"/>
    </xf>
    <xf numFmtId="0" fontId="21" fillId="0" borderId="16" xfId="0" applyFont="1" applyBorder="1"/>
    <xf numFmtId="2" fontId="4" fillId="0" borderId="16" xfId="21" applyNumberFormat="1" applyFont="1" applyFill="1" applyBorder="1" applyAlignment="1">
      <alignment horizontal="center" vertical="center"/>
    </xf>
    <xf numFmtId="2" fontId="44" fillId="0" borderId="16" xfId="21" applyNumberFormat="1" applyFont="1" applyBorder="1" applyAlignment="1">
      <alignment horizontal="center" vertical="center"/>
    </xf>
    <xf numFmtId="2" fontId="44" fillId="0" borderId="16" xfId="16" applyNumberFormat="1" applyFont="1" applyFill="1" applyBorder="1" applyAlignment="1">
      <alignment horizontal="center" vertical="center"/>
    </xf>
    <xf numFmtId="2" fontId="44" fillId="0" borderId="16" xfId="21" applyNumberFormat="1" applyFont="1" applyFill="1" applyBorder="1" applyAlignment="1">
      <alignment horizontal="center" vertical="center"/>
    </xf>
    <xf numFmtId="2" fontId="21" fillId="0" borderId="16" xfId="0" applyNumberFormat="1" applyFont="1" applyFill="1" applyBorder="1" applyAlignment="1">
      <alignment horizontal="center"/>
    </xf>
    <xf numFmtId="0" fontId="22" fillId="0" borderId="0" xfId="16" applyFont="1" applyBorder="1" applyAlignment="1">
      <alignment horizontal="left" vertical="center"/>
    </xf>
    <xf numFmtId="0" fontId="21" fillId="0" borderId="16" xfId="0" applyFont="1" applyBorder="1" applyAlignment="1">
      <alignment horizontal="center"/>
    </xf>
    <xf numFmtId="165" fontId="45" fillId="0" borderId="16" xfId="22" applyFont="1" applyBorder="1"/>
    <xf numFmtId="0" fontId="21" fillId="0" borderId="59" xfId="14" applyFont="1" applyBorder="1" applyAlignment="1">
      <alignment horizontal="left" vertical="center" wrapText="1"/>
    </xf>
    <xf numFmtId="165" fontId="5" fillId="2" borderId="75" xfId="22" applyFont="1" applyFill="1" applyBorder="1" applyAlignment="1">
      <alignment horizontal="center" vertical="center"/>
    </xf>
    <xf numFmtId="0" fontId="23" fillId="0" borderId="80" xfId="17" applyFont="1" applyBorder="1" applyAlignment="1">
      <alignment horizontal="left" vertical="center" wrapText="1"/>
    </xf>
    <xf numFmtId="0" fontId="18" fillId="3" borderId="21" xfId="26" applyFont="1" applyFill="1" applyBorder="1" applyAlignment="1">
      <alignment horizontal="center" vertical="center" wrapText="1"/>
    </xf>
    <xf numFmtId="0" fontId="18" fillId="3" borderId="21" xfId="26" applyFont="1" applyFill="1" applyBorder="1" applyAlignment="1">
      <alignment horizontal="center" vertical="center"/>
    </xf>
    <xf numFmtId="4" fontId="18" fillId="3" borderId="21" xfId="26" applyNumberFormat="1" applyFont="1" applyFill="1" applyBorder="1" applyAlignment="1">
      <alignment horizontal="center" vertical="center" wrapText="1"/>
    </xf>
    <xf numFmtId="0" fontId="20" fillId="3" borderId="21" xfId="26" applyFont="1" applyFill="1" applyBorder="1" applyAlignment="1">
      <alignment horizontal="center" vertical="center" wrapText="1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0" fontId="21" fillId="0" borderId="16" xfId="27" applyFont="1" applyBorder="1" applyAlignment="1">
      <alignment horizontal="center" vertical="center" wrapText="1"/>
    </xf>
    <xf numFmtId="0" fontId="21" fillId="0" borderId="16" xfId="28" applyFont="1" applyBorder="1" applyAlignment="1">
      <alignment horizontal="center" vertical="center"/>
    </xf>
    <xf numFmtId="0" fontId="21" fillId="0" borderId="16" xfId="26" applyFont="1" applyBorder="1" applyAlignment="1">
      <alignment horizontal="center" vertical="center" wrapText="1"/>
    </xf>
    <xf numFmtId="0" fontId="21" fillId="10" borderId="16" xfId="14" applyFont="1" applyFill="1" applyBorder="1" applyAlignment="1">
      <alignment horizontal="center" vertical="center" wrapText="1"/>
    </xf>
    <xf numFmtId="164" fontId="21" fillId="10" borderId="16" xfId="23" applyFont="1" applyFill="1" applyBorder="1" applyAlignment="1">
      <alignment horizontal="center" vertical="center" wrapText="1"/>
    </xf>
    <xf numFmtId="164" fontId="21" fillId="0" borderId="16" xfId="23" applyFont="1" applyBorder="1" applyAlignment="1">
      <alignment horizontal="center" vertical="center"/>
    </xf>
    <xf numFmtId="0" fontId="30" fillId="0" borderId="16" xfId="27" applyFont="1" applyBorder="1" applyAlignment="1">
      <alignment horizontal="center" vertical="center" wrapText="1"/>
    </xf>
    <xf numFmtId="0" fontId="21" fillId="10" borderId="16" xfId="14" applyFont="1" applyFill="1" applyBorder="1" applyAlignment="1">
      <alignment horizontal="left" vertical="center" wrapText="1"/>
    </xf>
    <xf numFmtId="0" fontId="21" fillId="0" borderId="16" xfId="28" applyFont="1" applyBorder="1" applyAlignment="1">
      <alignment horizontal="left" vertical="center"/>
    </xf>
    <xf numFmtId="0" fontId="21" fillId="10" borderId="16" xfId="0" applyFont="1" applyFill="1" applyBorder="1" applyAlignment="1">
      <alignment horizontal="left" vertical="center" wrapText="1"/>
    </xf>
    <xf numFmtId="165" fontId="4" fillId="0" borderId="16" xfId="22" applyFont="1" applyFill="1" applyBorder="1" applyAlignment="1">
      <alignment horizontal="center" vertical="center"/>
    </xf>
    <xf numFmtId="165" fontId="4" fillId="2" borderId="72" xfId="22" applyFont="1" applyFill="1" applyBorder="1" applyAlignment="1">
      <alignment horizontal="center" vertical="center"/>
    </xf>
    <xf numFmtId="0" fontId="4" fillId="0" borderId="16" xfId="22" applyNumberFormat="1" applyFont="1" applyFill="1" applyBorder="1" applyAlignment="1">
      <alignment horizontal="left" vertical="center" wrapText="1"/>
    </xf>
    <xf numFmtId="165" fontId="5" fillId="2" borderId="81" xfId="22" applyFont="1" applyFill="1" applyBorder="1" applyAlignment="1">
      <alignment horizontal="center" vertical="center"/>
    </xf>
    <xf numFmtId="165" fontId="4" fillId="0" borderId="78" xfId="1" applyFont="1" applyFill="1" applyBorder="1" applyAlignment="1">
      <alignment horizontal="center" vertical="center"/>
    </xf>
    <xf numFmtId="166" fontId="4" fillId="0" borderId="16" xfId="22" applyNumberFormat="1" applyFont="1" applyFill="1" applyBorder="1" applyAlignment="1">
      <alignment horizontal="center" vertical="center"/>
    </xf>
    <xf numFmtId="0" fontId="45" fillId="0" borderId="16" xfId="0" applyFont="1" applyBorder="1"/>
    <xf numFmtId="0" fontId="4" fillId="0" borderId="16" xfId="22" applyNumberFormat="1" applyFont="1" applyFill="1" applyBorder="1" applyAlignment="1">
      <alignment vertical="center" wrapText="1"/>
    </xf>
    <xf numFmtId="4" fontId="23" fillId="4" borderId="16" xfId="16" applyNumberFormat="1" applyFont="1" applyFill="1" applyBorder="1" applyAlignment="1">
      <alignment horizontal="right" vertical="center" indent="1"/>
    </xf>
    <xf numFmtId="0" fontId="23" fillId="0" borderId="16" xfId="27" applyFont="1" applyBorder="1" applyAlignment="1">
      <alignment horizontal="center" vertical="center" wrapText="1"/>
    </xf>
    <xf numFmtId="4" fontId="23" fillId="0" borderId="16" xfId="27" applyNumberFormat="1" applyFont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1" fontId="23" fillId="0" borderId="16" xfId="18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3" fillId="4" borderId="0" xfId="27" applyFont="1" applyFill="1" applyBorder="1" applyAlignment="1">
      <alignment horizontal="left" vertical="center" wrapText="1"/>
    </xf>
    <xf numFmtId="1" fontId="4" fillId="0" borderId="16" xfId="18" applyNumberFormat="1" applyFont="1" applyFill="1" applyBorder="1" applyAlignment="1">
      <alignment horizontal="center" vertical="center" wrapText="1"/>
    </xf>
    <xf numFmtId="4" fontId="23" fillId="4" borderId="55" xfId="16" applyNumberFormat="1" applyFont="1" applyFill="1" applyBorder="1" applyAlignment="1">
      <alignment horizontal="right" vertical="center" indent="1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3" fillId="4" borderId="59" xfId="16" applyNumberFormat="1" applyFont="1" applyFill="1" applyBorder="1" applyAlignment="1">
      <alignment horizontal="right" vertical="center" wrapText="1" indent="1"/>
    </xf>
    <xf numFmtId="4" fontId="23" fillId="4" borderId="31" xfId="16" applyNumberFormat="1" applyFont="1" applyFill="1" applyBorder="1" applyAlignment="1">
      <alignment horizontal="right" vertical="center" wrapText="1" indent="1"/>
    </xf>
    <xf numFmtId="0" fontId="35" fillId="0" borderId="16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4" fillId="0" borderId="77" xfId="1" applyFont="1" applyFill="1" applyBorder="1" applyAlignment="1">
      <alignment horizontal="center" vertical="center"/>
    </xf>
    <xf numFmtId="166" fontId="4" fillId="0" borderId="77" xfId="1" applyNumberFormat="1" applyFont="1" applyFill="1" applyBorder="1" applyAlignment="1">
      <alignment horizontal="center" vertical="center"/>
    </xf>
    <xf numFmtId="4" fontId="23" fillId="4" borderId="31" xfId="16" applyNumberFormat="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 wrapText="1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165" fontId="4" fillId="2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4" fillId="2" borderId="16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/>
    <xf numFmtId="2" fontId="4" fillId="0" borderId="16" xfId="16" applyNumberFormat="1" applyFont="1" applyBorder="1" applyAlignment="1">
      <alignment horizontal="center" vertical="center"/>
    </xf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16" xfId="16" applyFont="1" applyFill="1" applyBorder="1"/>
    <xf numFmtId="4" fontId="23" fillId="4" borderId="16" xfId="16" applyNumberFormat="1" applyFont="1" applyFill="1" applyBorder="1" applyAlignment="1">
      <alignment horizontal="right" vertical="center" indent="1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left" vertical="center" wrapText="1"/>
    </xf>
    <xf numFmtId="165" fontId="5" fillId="2" borderId="77" xfId="21" applyFont="1" applyFill="1" applyBorder="1" applyAlignment="1">
      <alignment horizontal="center" vertical="center"/>
    </xf>
    <xf numFmtId="165" fontId="5" fillId="2" borderId="82" xfId="21" applyFont="1" applyFill="1" applyBorder="1" applyAlignment="1">
      <alignment horizontal="center" vertical="center"/>
    </xf>
    <xf numFmtId="0" fontId="4" fillId="0" borderId="0" xfId="16" applyFont="1" applyBorder="1"/>
    <xf numFmtId="49" fontId="4" fillId="0" borderId="4" xfId="19" applyNumberFormat="1" applyFont="1" applyBorder="1" applyAlignment="1">
      <alignment horizontal="center" vertical="center" wrapText="1"/>
    </xf>
    <xf numFmtId="0" fontId="27" fillId="4" borderId="59" xfId="27" applyFont="1" applyFill="1" applyBorder="1" applyAlignment="1">
      <alignment horizontal="left" vertical="center" wrapText="1"/>
    </xf>
    <xf numFmtId="0" fontId="4" fillId="0" borderId="0" xfId="22" applyNumberFormat="1" applyFont="1" applyFill="1" applyBorder="1" applyAlignment="1">
      <alignment horizontal="left" vertical="center" wrapText="1"/>
    </xf>
    <xf numFmtId="0" fontId="4" fillId="0" borderId="77" xfId="22" applyNumberFormat="1" applyFont="1" applyFill="1" applyBorder="1" applyAlignment="1">
      <alignment horizontal="left" vertical="center" wrapText="1"/>
    </xf>
    <xf numFmtId="165" fontId="4" fillId="0" borderId="16" xfId="22" applyFont="1" applyFill="1" applyBorder="1" applyAlignment="1">
      <alignment vertical="center"/>
    </xf>
    <xf numFmtId="2" fontId="4" fillId="0" borderId="16" xfId="16" applyNumberFormat="1" applyFont="1" applyBorder="1" applyAlignment="1">
      <alignment vertical="center"/>
    </xf>
    <xf numFmtId="165" fontId="45" fillId="0" borderId="0" xfId="22" applyFont="1" applyBorder="1"/>
    <xf numFmtId="166" fontId="4" fillId="0" borderId="16" xfId="21" applyNumberFormat="1" applyFont="1" applyFill="1" applyBorder="1" applyAlignment="1">
      <alignment vertical="center"/>
    </xf>
    <xf numFmtId="166" fontId="4" fillId="0" borderId="78" xfId="22" applyNumberFormat="1" applyFont="1" applyFill="1" applyBorder="1" applyAlignment="1">
      <alignment horizontal="center" vertical="center"/>
    </xf>
    <xf numFmtId="165" fontId="4" fillId="0" borderId="78" xfId="22" applyFont="1" applyFill="1" applyBorder="1" applyAlignment="1">
      <alignment horizontal="center" vertical="center"/>
    </xf>
    <xf numFmtId="0" fontId="4" fillId="0" borderId="78" xfId="22" applyNumberFormat="1" applyFont="1" applyFill="1" applyBorder="1" applyAlignment="1">
      <alignment horizontal="left" vertical="center" wrapText="1"/>
    </xf>
    <xf numFmtId="165" fontId="4" fillId="0" borderId="77" xfId="22" applyFont="1" applyFill="1" applyBorder="1" applyAlignment="1">
      <alignment horizontal="center" vertical="center"/>
    </xf>
    <xf numFmtId="165" fontId="4" fillId="0" borderId="0" xfId="22" applyFont="1" applyFill="1" applyBorder="1" applyAlignment="1">
      <alignment vertical="center"/>
    </xf>
    <xf numFmtId="165" fontId="45" fillId="0" borderId="0" xfId="22" applyFont="1"/>
    <xf numFmtId="4" fontId="23" fillId="4" borderId="0" xfId="16" applyNumberFormat="1" applyFont="1" applyFill="1" applyBorder="1" applyAlignment="1">
      <alignment horizontal="right" vertical="center" indent="1"/>
    </xf>
    <xf numFmtId="4" fontId="27" fillId="0" borderId="59" xfId="27" applyNumberFormat="1" applyFont="1" applyBorder="1" applyAlignment="1">
      <alignment horizontal="center" vertical="center" wrapText="1"/>
    </xf>
    <xf numFmtId="165" fontId="4" fillId="0" borderId="16" xfId="21" applyFont="1" applyFill="1" applyBorder="1" applyAlignment="1">
      <alignment vertical="center"/>
    </xf>
    <xf numFmtId="0" fontId="27" fillId="0" borderId="3" xfId="27" applyFont="1" applyBorder="1" applyAlignment="1">
      <alignment horizontal="left" vertical="center" wrapText="1"/>
    </xf>
    <xf numFmtId="4" fontId="27" fillId="0" borderId="2" xfId="27" applyNumberFormat="1" applyFont="1" applyBorder="1" applyAlignment="1">
      <alignment horizontal="center" vertical="center" wrapText="1"/>
    </xf>
    <xf numFmtId="0" fontId="27" fillId="0" borderId="2" xfId="27" applyFont="1" applyBorder="1" applyAlignment="1">
      <alignment horizontal="center" vertical="center" wrapText="1"/>
    </xf>
    <xf numFmtId="4" fontId="23" fillId="4" borderId="3" xfId="16" applyNumberFormat="1" applyFont="1" applyFill="1" applyBorder="1" applyAlignment="1">
      <alignment horizontal="right" vertical="center" indent="1"/>
    </xf>
    <xf numFmtId="0" fontId="23" fillId="4" borderId="0" xfId="16" applyFont="1" applyFill="1" applyAlignment="1">
      <alignment vertical="center"/>
    </xf>
    <xf numFmtId="4" fontId="23" fillId="4" borderId="0" xfId="16" applyNumberFormat="1" applyFont="1" applyFill="1" applyAlignment="1">
      <alignment vertical="center"/>
    </xf>
    <xf numFmtId="4" fontId="23" fillId="4" borderId="16" xfId="16" applyNumberFormat="1" applyFont="1" applyFill="1" applyBorder="1" applyAlignment="1">
      <alignment horizontal="right" vertical="center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4" fontId="27" fillId="0" borderId="16" xfId="27" applyNumberFormat="1" applyFont="1" applyBorder="1" applyAlignment="1">
      <alignment horizontal="center" vertical="center" wrapText="1"/>
    </xf>
    <xf numFmtId="0" fontId="27" fillId="0" borderId="16" xfId="27" applyFont="1" applyBorder="1" applyAlignment="1">
      <alignment horizontal="center" vertical="center" wrapText="1"/>
    </xf>
    <xf numFmtId="0" fontId="27" fillId="0" borderId="16" xfId="27" applyFont="1" applyBorder="1" applyAlignment="1">
      <alignment horizontal="left" vertical="center" wrapText="1"/>
    </xf>
    <xf numFmtId="1" fontId="4" fillId="0" borderId="16" xfId="18" applyNumberFormat="1" applyFont="1" applyFill="1" applyBorder="1" applyAlignment="1">
      <alignment horizontal="center" vertical="center" wrapText="1"/>
    </xf>
    <xf numFmtId="49" fontId="4" fillId="0" borderId="16" xfId="19" applyNumberFormat="1" applyFont="1" applyBorder="1" applyAlignment="1">
      <alignment horizontal="center" vertical="center" wrapText="1"/>
    </xf>
    <xf numFmtId="4" fontId="23" fillId="4" borderId="59" xfId="16" applyNumberFormat="1" applyFont="1" applyFill="1" applyBorder="1" applyAlignment="1">
      <alignment horizontal="right" vertical="center" indent="1"/>
    </xf>
    <xf numFmtId="165" fontId="4" fillId="0" borderId="0" xfId="22" applyFont="1" applyFill="1" applyBorder="1" applyAlignment="1">
      <alignment vertical="center"/>
    </xf>
    <xf numFmtId="165" fontId="4" fillId="0" borderId="0" xfId="22" applyFont="1" applyFill="1" applyBorder="1" applyAlignment="1">
      <alignment horizontal="center" vertical="center"/>
    </xf>
    <xf numFmtId="4" fontId="23" fillId="4" borderId="29" xfId="16" applyNumberFormat="1" applyFont="1" applyFill="1" applyBorder="1" applyAlignment="1">
      <alignment horizontal="right" vertical="center" indent="1"/>
    </xf>
    <xf numFmtId="1" fontId="4" fillId="0" borderId="0" xfId="18" applyNumberFormat="1" applyFont="1" applyFill="1" applyBorder="1" applyAlignment="1">
      <alignment horizontal="center" vertical="center" wrapText="1"/>
    </xf>
    <xf numFmtId="4" fontId="27" fillId="4" borderId="2" xfId="16" applyNumberFormat="1" applyFont="1" applyFill="1" applyBorder="1" applyAlignment="1">
      <alignment horizontal="right" vertical="center" wrapText="1" indent="1"/>
    </xf>
    <xf numFmtId="165" fontId="4" fillId="2" borderId="70" xfId="21" applyFont="1" applyFill="1" applyBorder="1" applyAlignment="1">
      <alignment horizontal="center" vertical="center"/>
    </xf>
    <xf numFmtId="165" fontId="4" fillId="0" borderId="16" xfId="21" applyFont="1" applyFill="1" applyBorder="1" applyAlignment="1">
      <alignment horizontal="center" vertical="center"/>
    </xf>
    <xf numFmtId="166" fontId="4" fillId="0" borderId="16" xfId="21" applyNumberFormat="1" applyFont="1" applyFill="1" applyBorder="1" applyAlignment="1">
      <alignment horizontal="center" vertical="center"/>
    </xf>
    <xf numFmtId="165" fontId="3" fillId="0" borderId="16" xfId="22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165" fontId="4" fillId="0" borderId="16" xfId="22" applyFont="1" applyFill="1" applyBorder="1"/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165" fontId="3" fillId="0" borderId="16" xfId="1" applyFont="1" applyBorder="1" applyAlignment="1">
      <alignment horizontal="left"/>
    </xf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0" xfId="16" applyFont="1" applyBorder="1"/>
    <xf numFmtId="0" fontId="4" fillId="0" borderId="0" xfId="16" applyFont="1" applyBorder="1" applyAlignment="1">
      <alignment horizontal="left" vertical="center"/>
    </xf>
    <xf numFmtId="0" fontId="4" fillId="0" borderId="0" xfId="16" applyFont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right" vertical="center" wrapText="1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4" fontId="27" fillId="4" borderId="16" xfId="16" applyNumberFormat="1" applyFont="1" applyFill="1" applyBorder="1" applyAlignment="1">
      <alignment horizontal="right" vertical="center" wrapText="1" indent="1"/>
    </xf>
    <xf numFmtId="0" fontId="4" fillId="0" borderId="16" xfId="16" applyFont="1" applyBorder="1"/>
    <xf numFmtId="165" fontId="4" fillId="0" borderId="32" xfId="21" applyFont="1" applyFill="1" applyBorder="1" applyAlignment="1">
      <alignment horizontal="center" vertical="center"/>
    </xf>
    <xf numFmtId="166" fontId="4" fillId="0" borderId="32" xfId="21" applyNumberFormat="1" applyFont="1" applyFill="1" applyBorder="1" applyAlignment="1">
      <alignment horizontal="center" vertical="center"/>
    </xf>
    <xf numFmtId="165" fontId="3" fillId="0" borderId="0" xfId="21" applyFont="1" applyAlignment="1">
      <alignment horizontal="left"/>
    </xf>
    <xf numFmtId="165" fontId="4" fillId="2" borderId="70" xfId="21" applyFont="1" applyFill="1" applyBorder="1" applyAlignment="1">
      <alignment horizontal="center" vertical="center"/>
    </xf>
    <xf numFmtId="165" fontId="5" fillId="2" borderId="34" xfId="21" applyFont="1" applyFill="1" applyBorder="1" applyAlignment="1">
      <alignment horizontal="center" vertical="center"/>
    </xf>
    <xf numFmtId="165" fontId="5" fillId="2" borderId="71" xfId="21" applyFont="1" applyFill="1" applyBorder="1" applyAlignment="1">
      <alignment horizontal="center" vertical="center"/>
    </xf>
    <xf numFmtId="165" fontId="4" fillId="0" borderId="70" xfId="21" applyFont="1" applyFill="1" applyBorder="1" applyAlignment="1">
      <alignment horizontal="center" vertical="center"/>
    </xf>
    <xf numFmtId="165" fontId="4" fillId="0" borderId="34" xfId="21" applyFont="1" applyFill="1" applyBorder="1" applyAlignment="1">
      <alignment horizontal="center" vertical="center"/>
    </xf>
    <xf numFmtId="166" fontId="4" fillId="0" borderId="34" xfId="21" applyNumberFormat="1" applyFont="1" applyFill="1" applyBorder="1" applyAlignment="1">
      <alignment horizontal="center" vertical="center"/>
    </xf>
    <xf numFmtId="166" fontId="4" fillId="0" borderId="0" xfId="21" applyNumberFormat="1" applyFont="1" applyFill="1" applyBorder="1" applyAlignment="1">
      <alignment horizontal="center" vertical="center"/>
    </xf>
    <xf numFmtId="165" fontId="4" fillId="0" borderId="0" xfId="21" applyFont="1" applyFill="1" applyBorder="1" applyAlignment="1">
      <alignment horizontal="center" vertical="center"/>
    </xf>
    <xf numFmtId="0" fontId="4" fillId="0" borderId="0" xfId="21" applyNumberFormat="1" applyFont="1" applyFill="1" applyBorder="1" applyAlignment="1">
      <alignment horizontal="left" vertical="center" wrapText="1"/>
    </xf>
    <xf numFmtId="0" fontId="4" fillId="0" borderId="34" xfId="21" applyNumberFormat="1" applyFont="1" applyFill="1" applyBorder="1" applyAlignment="1">
      <alignment horizontal="left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3" fillId="0" borderId="16" xfId="0" applyFont="1" applyBorder="1"/>
    <xf numFmtId="165" fontId="4" fillId="0" borderId="16" xfId="21" applyFont="1" applyFill="1" applyBorder="1" applyAlignment="1">
      <alignment horizontal="center" vertical="center"/>
    </xf>
    <xf numFmtId="165" fontId="4" fillId="0" borderId="16" xfId="22" applyFont="1" applyBorder="1"/>
    <xf numFmtId="0" fontId="4" fillId="0" borderId="16" xfId="16" applyFont="1" applyBorder="1"/>
    <xf numFmtId="0" fontId="4" fillId="0" borderId="16" xfId="16" applyFont="1" applyBorder="1" applyAlignment="1">
      <alignment horizontal="center" vertical="center"/>
    </xf>
    <xf numFmtId="0" fontId="4" fillId="0" borderId="16" xfId="16" applyFont="1" applyBorder="1"/>
    <xf numFmtId="165" fontId="4" fillId="0" borderId="16" xfId="21" applyFont="1" applyBorder="1" applyAlignment="1">
      <alignment horizontal="center" vertical="center"/>
    </xf>
    <xf numFmtId="0" fontId="4" fillId="0" borderId="16" xfId="16" applyFont="1" applyBorder="1" applyAlignment="1">
      <alignment horizontal="left" vertical="center"/>
    </xf>
    <xf numFmtId="165" fontId="3" fillId="0" borderId="16" xfId="22" applyFont="1" applyBorder="1" applyAlignment="1">
      <alignment horizontal="left"/>
    </xf>
    <xf numFmtId="0" fontId="0" fillId="0" borderId="0" xfId="0"/>
    <xf numFmtId="165" fontId="4" fillId="2" borderId="70" xfId="22" applyFont="1" applyFill="1" applyBorder="1" applyAlignment="1">
      <alignment horizontal="center" vertical="center"/>
    </xf>
    <xf numFmtId="165" fontId="5" fillId="2" borderId="34" xfId="22" applyFont="1" applyFill="1" applyBorder="1" applyAlignment="1">
      <alignment horizontal="center" vertical="center"/>
    </xf>
    <xf numFmtId="165" fontId="5" fillId="2" borderId="71" xfId="22" applyFont="1" applyFill="1" applyBorder="1" applyAlignment="1">
      <alignment horizontal="center" vertical="center"/>
    </xf>
    <xf numFmtId="4" fontId="23" fillId="4" borderId="16" xfId="16" applyNumberFormat="1" applyFont="1" applyFill="1" applyBorder="1" applyAlignment="1">
      <alignment horizontal="right" vertical="center" wrapText="1" indent="1"/>
    </xf>
    <xf numFmtId="0" fontId="5" fillId="5" borderId="16" xfId="21" applyNumberFormat="1" applyFont="1" applyFill="1" applyBorder="1" applyAlignment="1">
      <alignment horizontal="center" vertical="center"/>
    </xf>
    <xf numFmtId="0" fontId="46" fillId="0" borderId="16" xfId="16" applyFont="1" applyBorder="1" applyAlignment="1">
      <alignment horizontal="center" vertical="center"/>
    </xf>
    <xf numFmtId="2" fontId="46" fillId="0" borderId="16" xfId="16" applyNumberFormat="1" applyFont="1" applyBorder="1" applyAlignment="1">
      <alignment horizontal="center" vertical="center"/>
    </xf>
    <xf numFmtId="165" fontId="4" fillId="0" borderId="16" xfId="22" applyNumberFormat="1" applyFont="1" applyBorder="1"/>
    <xf numFmtId="165" fontId="4" fillId="0" borderId="16" xfId="22" applyNumberFormat="1" applyFont="1" applyFill="1" applyBorder="1"/>
    <xf numFmtId="165" fontId="4" fillId="0" borderId="16" xfId="0" applyNumberFormat="1" applyFont="1" applyBorder="1"/>
    <xf numFmtId="0" fontId="3" fillId="0" borderId="16" xfId="0" applyFont="1" applyBorder="1" applyAlignment="1">
      <alignment horizontal="left" vertical="center"/>
    </xf>
    <xf numFmtId="165" fontId="3" fillId="0" borderId="16" xfId="22" applyFont="1" applyBorder="1" applyAlignment="1">
      <alignment horizontal="center" vertical="center"/>
    </xf>
    <xf numFmtId="0" fontId="21" fillId="0" borderId="16" xfId="28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165" fontId="3" fillId="0" borderId="0" xfId="22" applyFont="1" applyBorder="1" applyAlignment="1">
      <alignment horizontal="center" vertical="center"/>
    </xf>
    <xf numFmtId="165" fontId="3" fillId="0" borderId="0" xfId="22" applyFont="1" applyBorder="1" applyAlignment="1">
      <alignment horizontal="left"/>
    </xf>
    <xf numFmtId="166" fontId="4" fillId="0" borderId="0" xfId="22" applyNumberFormat="1" applyFont="1" applyFill="1" applyBorder="1" applyAlignment="1">
      <alignment horizontal="center" vertical="center"/>
    </xf>
    <xf numFmtId="0" fontId="37" fillId="0" borderId="0" xfId="4" applyFont="1" applyFill="1" applyAlignment="1">
      <alignment horizontal="center"/>
    </xf>
    <xf numFmtId="4" fontId="24" fillId="0" borderId="31" xfId="16" applyNumberFormat="1" applyFont="1" applyFill="1" applyBorder="1" applyAlignment="1">
      <alignment vertical="distributed" wrapText="1"/>
    </xf>
    <xf numFmtId="4" fontId="23" fillId="0" borderId="16" xfId="16" applyNumberFormat="1" applyFont="1" applyFill="1" applyBorder="1" applyAlignment="1">
      <alignment horizontal="center" vertical="center" wrapText="1"/>
    </xf>
    <xf numFmtId="4" fontId="23" fillId="0" borderId="2" xfId="16" applyNumberFormat="1" applyFont="1" applyFill="1" applyBorder="1" applyAlignment="1">
      <alignment horizontal="center" vertical="center" wrapText="1"/>
    </xf>
    <xf numFmtId="0" fontId="24" fillId="0" borderId="2" xfId="16" applyFont="1" applyFill="1" applyBorder="1" applyAlignment="1">
      <alignment vertical="distributed" wrapText="1"/>
    </xf>
    <xf numFmtId="4" fontId="23" fillId="0" borderId="31" xfId="16" applyNumberFormat="1" applyFont="1" applyFill="1" applyBorder="1" applyAlignment="1">
      <alignment horizontal="center" vertical="center" wrapText="1"/>
    </xf>
    <xf numFmtId="0" fontId="24" fillId="0" borderId="31" xfId="16" applyFont="1" applyFill="1" applyBorder="1" applyAlignment="1">
      <alignment vertical="distributed" wrapText="1"/>
    </xf>
    <xf numFmtId="4" fontId="23" fillId="0" borderId="58" xfId="17" applyNumberFormat="1" applyFont="1" applyFill="1" applyBorder="1" applyAlignment="1">
      <alignment horizontal="center" vertical="center" wrapText="1"/>
    </xf>
    <xf numFmtId="4" fontId="23" fillId="0" borderId="16" xfId="17" applyNumberFormat="1" applyFont="1" applyFill="1" applyBorder="1" applyAlignment="1">
      <alignment horizontal="center" vertical="center" wrapText="1"/>
    </xf>
    <xf numFmtId="4" fontId="23" fillId="0" borderId="31" xfId="17" applyNumberFormat="1" applyFont="1" applyFill="1" applyBorder="1" applyAlignment="1">
      <alignment horizontal="center" vertical="center" wrapText="1"/>
    </xf>
    <xf numFmtId="4" fontId="23" fillId="0" borderId="0" xfId="17" applyNumberFormat="1" applyFont="1" applyFill="1" applyBorder="1" applyAlignment="1">
      <alignment horizontal="center" vertical="center" wrapText="1"/>
    </xf>
    <xf numFmtId="4" fontId="23" fillId="0" borderId="57" xfId="17" applyNumberFormat="1" applyFont="1" applyFill="1" applyBorder="1" applyAlignment="1">
      <alignment horizontal="center" vertical="center" wrapText="1"/>
    </xf>
    <xf numFmtId="4" fontId="23" fillId="0" borderId="59" xfId="17" applyNumberFormat="1" applyFont="1" applyFill="1" applyBorder="1" applyAlignment="1">
      <alignment horizontal="center" vertical="center" wrapText="1"/>
    </xf>
    <xf numFmtId="4" fontId="23" fillId="0" borderId="16" xfId="16" applyNumberFormat="1" applyFont="1" applyFill="1" applyBorder="1" applyAlignment="1">
      <alignment horizontal="right" vertical="center" wrapText="1" indent="1"/>
    </xf>
    <xf numFmtId="4" fontId="23" fillId="0" borderId="59" xfId="16" applyNumberFormat="1" applyFont="1" applyFill="1" applyBorder="1" applyAlignment="1">
      <alignment horizontal="center" vertical="center" wrapText="1"/>
    </xf>
    <xf numFmtId="4" fontId="27" fillId="0" borderId="16" xfId="16" applyNumberFormat="1" applyFont="1" applyFill="1" applyBorder="1" applyAlignment="1">
      <alignment horizontal="right" vertical="center" wrapText="1" indent="1"/>
    </xf>
    <xf numFmtId="4" fontId="27" fillId="0" borderId="2" xfId="16" applyNumberFormat="1" applyFont="1" applyFill="1" applyBorder="1" applyAlignment="1">
      <alignment horizontal="right" vertical="center" wrapText="1" indent="1"/>
    </xf>
    <xf numFmtId="0" fontId="24" fillId="0" borderId="16" xfId="16" applyFont="1" applyFill="1" applyBorder="1" applyAlignment="1">
      <alignment vertical="distributed" wrapText="1"/>
    </xf>
    <xf numFmtId="4" fontId="23" fillId="0" borderId="2" xfId="17" applyNumberFormat="1" applyFont="1" applyFill="1" applyBorder="1" applyAlignment="1">
      <alignment horizontal="center" vertical="center" wrapText="1"/>
    </xf>
    <xf numFmtId="0" fontId="23" fillId="0" borderId="0" xfId="16" applyFont="1" applyFill="1" applyAlignment="1">
      <alignment vertical="center"/>
    </xf>
    <xf numFmtId="165" fontId="5" fillId="0" borderId="27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2" applyFont="1"/>
    <xf numFmtId="10" fontId="0" fillId="0" borderId="0" xfId="20" applyNumberFormat="1" applyFont="1"/>
    <xf numFmtId="10" fontId="0" fillId="0" borderId="0" xfId="0" applyNumberFormat="1"/>
    <xf numFmtId="164" fontId="23" fillId="4" borderId="0" xfId="2" applyFont="1" applyFill="1" applyAlignment="1">
      <alignment vertical="center"/>
    </xf>
    <xf numFmtId="0" fontId="23" fillId="4" borderId="16" xfId="16" applyFont="1" applyFill="1" applyBorder="1" applyAlignment="1">
      <alignment horizontal="center" vertical="center"/>
    </xf>
    <xf numFmtId="0" fontId="23" fillId="4" borderId="16" xfId="16" applyFont="1" applyFill="1" applyBorder="1" applyAlignment="1">
      <alignment horizontal="justify" vertical="distributed"/>
    </xf>
    <xf numFmtId="0" fontId="23" fillId="4" borderId="16" xfId="16" applyFont="1" applyFill="1" applyBorder="1" applyAlignment="1">
      <alignment vertical="center"/>
    </xf>
    <xf numFmtId="4" fontId="23" fillId="4" borderId="16" xfId="16" applyNumberFormat="1" applyFont="1" applyFill="1" applyBorder="1" applyAlignment="1">
      <alignment vertical="center"/>
    </xf>
    <xf numFmtId="164" fontId="24" fillId="4" borderId="16" xfId="2" applyFont="1" applyFill="1" applyBorder="1" applyAlignment="1">
      <alignment vertical="center"/>
    </xf>
    <xf numFmtId="0" fontId="24" fillId="4" borderId="16" xfId="16" applyFont="1" applyFill="1" applyBorder="1" applyAlignment="1">
      <alignment horizontal="center" vertical="center"/>
    </xf>
    <xf numFmtId="0" fontId="24" fillId="4" borderId="16" xfId="16" applyFont="1" applyFill="1" applyBorder="1" applyAlignment="1">
      <alignment horizontal="justify" vertical="distributed"/>
    </xf>
    <xf numFmtId="0" fontId="24" fillId="4" borderId="16" xfId="16" applyFont="1" applyFill="1" applyBorder="1" applyAlignment="1">
      <alignment vertical="center"/>
    </xf>
    <xf numFmtId="4" fontId="24" fillId="4" borderId="16" xfId="16" applyNumberFormat="1" applyFont="1" applyFill="1" applyBorder="1" applyAlignment="1">
      <alignment horizontal="center" vertical="center"/>
    </xf>
    <xf numFmtId="4" fontId="24" fillId="4" borderId="16" xfId="16" applyNumberFormat="1" applyFont="1" applyFill="1" applyBorder="1" applyAlignment="1">
      <alignment horizontal="right" vertical="center" indent="1"/>
    </xf>
    <xf numFmtId="10" fontId="23" fillId="4" borderId="16" xfId="0" applyNumberFormat="1" applyFont="1" applyFill="1" applyBorder="1" applyAlignment="1">
      <alignment horizontal="right" vertical="center" indent="1"/>
    </xf>
    <xf numFmtId="0" fontId="23" fillId="0" borderId="5" xfId="0" applyFont="1" applyBorder="1" applyAlignment="1">
      <alignment vertical="distributed"/>
    </xf>
    <xf numFmtId="0" fontId="23" fillId="0" borderId="0" xfId="0" applyFont="1" applyBorder="1" applyAlignment="1">
      <alignment vertical="distributed"/>
    </xf>
    <xf numFmtId="0" fontId="23" fillId="0" borderId="0" xfId="0" applyFont="1" applyAlignment="1">
      <alignment horizontal="justify" vertical="distributed"/>
    </xf>
    <xf numFmtId="0" fontId="23" fillId="0" borderId="0" xfId="0" applyFont="1" applyBorder="1" applyAlignment="1">
      <alignment horizontal="center" vertical="distributed"/>
    </xf>
    <xf numFmtId="0" fontId="23" fillId="0" borderId="3" xfId="0" applyFont="1" applyBorder="1" applyAlignment="1">
      <alignment vertical="distributed"/>
    </xf>
    <xf numFmtId="10" fontId="23" fillId="11" borderId="59" xfId="0" applyNumberFormat="1" applyFont="1" applyFill="1" applyBorder="1" applyAlignment="1">
      <alignment horizontal="left" vertical="distributed"/>
    </xf>
    <xf numFmtId="4" fontId="23" fillId="11" borderId="16" xfId="0" applyNumberFormat="1" applyFont="1" applyFill="1" applyBorder="1" applyAlignment="1">
      <alignment horizontal="left" vertical="distributed"/>
    </xf>
    <xf numFmtId="10" fontId="23" fillId="11" borderId="16" xfId="0" applyNumberFormat="1" applyFont="1" applyFill="1" applyBorder="1" applyAlignment="1">
      <alignment horizontal="left" vertical="distributed"/>
    </xf>
    <xf numFmtId="0" fontId="24" fillId="11" borderId="16" xfId="0" applyFont="1" applyFill="1" applyBorder="1" applyAlignment="1">
      <alignment horizontal="center" vertical="center" wrapText="1"/>
    </xf>
    <xf numFmtId="4" fontId="24" fillId="11" borderId="16" xfId="0" applyNumberFormat="1" applyFont="1" applyFill="1" applyBorder="1" applyAlignment="1">
      <alignment horizontal="center" vertical="center" wrapText="1"/>
    </xf>
    <xf numFmtId="4" fontId="27" fillId="4" borderId="16" xfId="0" applyNumberFormat="1" applyFont="1" applyFill="1" applyBorder="1" applyAlignment="1">
      <alignment horizontal="right" vertical="center" wrapText="1" indent="1"/>
    </xf>
    <xf numFmtId="164" fontId="23" fillId="4" borderId="16" xfId="2" applyFont="1" applyFill="1" applyBorder="1" applyAlignment="1">
      <alignment vertical="center"/>
    </xf>
    <xf numFmtId="164" fontId="24" fillId="4" borderId="16" xfId="16" applyNumberFormat="1" applyFont="1" applyFill="1" applyBorder="1" applyAlignment="1">
      <alignment vertical="center"/>
    </xf>
    <xf numFmtId="164" fontId="0" fillId="0" borderId="0" xfId="31" applyFont="1"/>
    <xf numFmtId="164" fontId="0" fillId="0" borderId="0" xfId="0" applyNumberFormat="1"/>
    <xf numFmtId="164" fontId="26" fillId="5" borderId="63" xfId="2" applyFont="1" applyFill="1" applyBorder="1" applyAlignment="1">
      <alignment vertical="center"/>
    </xf>
    <xf numFmtId="164" fontId="26" fillId="5" borderId="69" xfId="2" applyFont="1" applyFill="1" applyBorder="1" applyAlignment="1">
      <alignment vertical="center"/>
    </xf>
    <xf numFmtId="165" fontId="7" fillId="0" borderId="14" xfId="1" applyFont="1" applyFill="1" applyBorder="1" applyAlignment="1">
      <alignment horizontal="center" vertical="center"/>
    </xf>
    <xf numFmtId="165" fontId="7" fillId="0" borderId="13" xfId="1" applyFont="1" applyFill="1" applyBorder="1" applyAlignment="1">
      <alignment horizontal="center" vertical="center"/>
    </xf>
    <xf numFmtId="165" fontId="7" fillId="0" borderId="12" xfId="1" applyFont="1" applyFill="1" applyBorder="1" applyAlignment="1">
      <alignment horizontal="center" vertical="center"/>
    </xf>
    <xf numFmtId="165" fontId="7" fillId="0" borderId="17" xfId="1" applyFont="1" applyFill="1" applyBorder="1" applyAlignment="1">
      <alignment horizontal="center" vertical="center"/>
    </xf>
    <xf numFmtId="165" fontId="7" fillId="0" borderId="16" xfId="1" applyFont="1" applyFill="1" applyBorder="1" applyAlignment="1">
      <alignment horizontal="center" vertical="center"/>
    </xf>
    <xf numFmtId="165" fontId="7" fillId="0" borderId="15" xfId="1" applyFont="1" applyFill="1" applyBorder="1" applyAlignment="1">
      <alignment horizontal="center" vertical="center"/>
    </xf>
    <xf numFmtId="165" fontId="7" fillId="0" borderId="26" xfId="1" applyFont="1" applyFill="1" applyBorder="1" applyAlignment="1">
      <alignment horizontal="center" vertical="center"/>
    </xf>
    <xf numFmtId="165" fontId="7" fillId="0" borderId="27" xfId="1" applyFont="1" applyFill="1" applyBorder="1" applyAlignment="1">
      <alignment horizontal="center" vertical="center"/>
    </xf>
    <xf numFmtId="165" fontId="7" fillId="0" borderId="28" xfId="1" applyFont="1" applyFill="1" applyBorder="1" applyAlignment="1">
      <alignment horizontal="center" vertical="center"/>
    </xf>
    <xf numFmtId="165" fontId="8" fillId="0" borderId="19" xfId="1" applyFont="1" applyFill="1" applyBorder="1" applyAlignment="1">
      <alignment horizontal="center" vertical="center"/>
    </xf>
    <xf numFmtId="165" fontId="8" fillId="0" borderId="9" xfId="1" applyFont="1" applyFill="1" applyBorder="1" applyAlignment="1">
      <alignment horizontal="center" vertical="center"/>
    </xf>
    <xf numFmtId="165" fontId="8" fillId="0" borderId="18" xfId="1" applyFont="1" applyFill="1" applyBorder="1" applyAlignment="1">
      <alignment horizontal="center" vertical="center"/>
    </xf>
    <xf numFmtId="165" fontId="8" fillId="0" borderId="37" xfId="1" applyFont="1" applyFill="1" applyBorder="1" applyAlignment="1">
      <alignment horizontal="center" vertical="center"/>
    </xf>
    <xf numFmtId="165" fontId="8" fillId="0" borderId="2" xfId="1" applyFont="1" applyFill="1" applyBorder="1" applyAlignment="1">
      <alignment horizontal="center" vertical="center"/>
    </xf>
    <xf numFmtId="165" fontId="8" fillId="0" borderId="25" xfId="1" applyFont="1" applyFill="1" applyBorder="1" applyAlignment="1">
      <alignment horizontal="center" vertical="center"/>
    </xf>
    <xf numFmtId="165" fontId="9" fillId="0" borderId="49" xfId="1" applyFont="1" applyFill="1" applyBorder="1" applyAlignment="1">
      <alignment horizontal="left" vertical="top"/>
    </xf>
    <xf numFmtId="165" fontId="9" fillId="0" borderId="40" xfId="1" applyFont="1" applyFill="1" applyBorder="1" applyAlignment="1">
      <alignment horizontal="left" vertical="top"/>
    </xf>
    <xf numFmtId="165" fontId="9" fillId="0" borderId="41" xfId="1" applyFont="1" applyFill="1" applyBorder="1" applyAlignment="1">
      <alignment horizontal="left" vertical="top"/>
    </xf>
    <xf numFmtId="165" fontId="9" fillId="0" borderId="42" xfId="1" applyFont="1" applyFill="1" applyBorder="1" applyAlignment="1">
      <alignment horizontal="left" vertical="top"/>
    </xf>
    <xf numFmtId="165" fontId="9" fillId="0" borderId="43" xfId="1" applyFont="1" applyFill="1" applyBorder="1" applyAlignment="1">
      <alignment horizontal="left" vertical="top"/>
    </xf>
    <xf numFmtId="165" fontId="8" fillId="0" borderId="22" xfId="1" applyFont="1" applyFill="1" applyBorder="1" applyAlignment="1">
      <alignment horizontal="left" vertical="center"/>
    </xf>
    <xf numFmtId="165" fontId="8" fillId="0" borderId="0" xfId="1" applyFont="1" applyFill="1" applyBorder="1" applyAlignment="1">
      <alignment horizontal="left" vertical="center"/>
    </xf>
    <xf numFmtId="165" fontId="8" fillId="0" borderId="4" xfId="1" applyFont="1" applyFill="1" applyBorder="1" applyAlignment="1">
      <alignment horizontal="left" vertical="center"/>
    </xf>
    <xf numFmtId="165" fontId="8" fillId="0" borderId="37" xfId="1" applyFont="1" applyFill="1" applyBorder="1" applyAlignment="1">
      <alignment horizontal="left" vertical="center"/>
    </xf>
    <xf numFmtId="165" fontId="8" fillId="0" borderId="2" xfId="1" applyFont="1" applyFill="1" applyBorder="1" applyAlignment="1">
      <alignment horizontal="left" vertical="center"/>
    </xf>
    <xf numFmtId="165" fontId="8" fillId="0" borderId="1" xfId="1" applyFont="1" applyFill="1" applyBorder="1" applyAlignment="1">
      <alignment horizontal="left" vertical="center"/>
    </xf>
    <xf numFmtId="165" fontId="8" fillId="0" borderId="44" xfId="1" applyFont="1" applyFill="1" applyBorder="1" applyAlignment="1">
      <alignment horizontal="left" vertical="center"/>
    </xf>
    <xf numFmtId="165" fontId="8" fillId="0" borderId="45" xfId="1" applyFont="1" applyFill="1" applyBorder="1" applyAlignment="1">
      <alignment horizontal="left" vertical="center"/>
    </xf>
    <xf numFmtId="165" fontId="8" fillId="0" borderId="46" xfId="1" applyFont="1" applyFill="1" applyBorder="1" applyAlignment="1">
      <alignment horizontal="left" vertical="center"/>
    </xf>
    <xf numFmtId="165" fontId="8" fillId="0" borderId="3" xfId="1" applyFont="1" applyFill="1" applyBorder="1" applyAlignment="1">
      <alignment horizontal="left" vertical="center"/>
    </xf>
    <xf numFmtId="165" fontId="8" fillId="0" borderId="25" xfId="1" applyFont="1" applyFill="1" applyBorder="1" applyAlignment="1">
      <alignment horizontal="left" vertical="center"/>
    </xf>
    <xf numFmtId="165" fontId="9" fillId="0" borderId="8" xfId="1" applyFont="1" applyFill="1" applyBorder="1" applyAlignment="1">
      <alignment horizontal="left" vertical="top"/>
    </xf>
    <xf numFmtId="165" fontId="9" fillId="0" borderId="7" xfId="1" applyFont="1" applyFill="1" applyBorder="1" applyAlignment="1">
      <alignment horizontal="left" vertical="top"/>
    </xf>
    <xf numFmtId="165" fontId="9" fillId="0" borderId="38" xfId="1" applyFont="1" applyFill="1" applyBorder="1" applyAlignment="1">
      <alignment horizontal="left" vertical="top"/>
    </xf>
    <xf numFmtId="165" fontId="8" fillId="0" borderId="11" xfId="1" applyFont="1" applyFill="1" applyBorder="1" applyAlignment="1">
      <alignment horizontal="left" vertical="center"/>
    </xf>
    <xf numFmtId="165" fontId="8" fillId="0" borderId="10" xfId="1" applyFont="1" applyFill="1" applyBorder="1" applyAlignment="1">
      <alignment horizontal="left" vertical="center"/>
    </xf>
    <xf numFmtId="165" fontId="8" fillId="0" borderId="35" xfId="1" applyFont="1" applyFill="1" applyBorder="1" applyAlignment="1">
      <alignment horizontal="left" vertical="center"/>
    </xf>
    <xf numFmtId="165" fontId="8" fillId="0" borderId="23" xfId="1" applyFont="1" applyFill="1" applyBorder="1" applyAlignment="1">
      <alignment horizontal="left" vertical="center"/>
    </xf>
    <xf numFmtId="0" fontId="7" fillId="0" borderId="31" xfId="1" applyNumberFormat="1" applyFont="1" applyFill="1" applyBorder="1" applyAlignment="1">
      <alignment horizontal="center" vertical="center"/>
    </xf>
    <xf numFmtId="0" fontId="7" fillId="0" borderId="24" xfId="1" applyNumberFormat="1" applyFont="1" applyFill="1" applyBorder="1" applyAlignment="1">
      <alignment horizontal="center" vertical="center"/>
    </xf>
    <xf numFmtId="0" fontId="7" fillId="0" borderId="16" xfId="1" applyNumberFormat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center" vertical="center"/>
    </xf>
    <xf numFmtId="0" fontId="17" fillId="0" borderId="19" xfId="1" applyNumberFormat="1" applyFont="1" applyFill="1" applyBorder="1" applyAlignment="1">
      <alignment horizontal="center" vertical="center"/>
    </xf>
    <xf numFmtId="0" fontId="17" fillId="0" borderId="9" xfId="1" applyNumberFormat="1" applyFont="1" applyFill="1" applyBorder="1" applyAlignment="1">
      <alignment horizontal="center" vertical="center"/>
    </xf>
    <xf numFmtId="0" fontId="17" fillId="0" borderId="22" xfId="1" applyNumberFormat="1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>
      <alignment horizontal="center" vertical="center"/>
    </xf>
    <xf numFmtId="0" fontId="7" fillId="0" borderId="13" xfId="1" applyNumberFormat="1" applyFont="1" applyFill="1" applyBorder="1" applyAlignment="1">
      <alignment horizontal="center" vertical="center"/>
    </xf>
    <xf numFmtId="0" fontId="7" fillId="0" borderId="12" xfId="1" applyNumberFormat="1" applyFon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center" vertical="center"/>
    </xf>
    <xf numFmtId="0" fontId="7" fillId="0" borderId="14" xfId="1" applyNumberFormat="1" applyFont="1" applyFill="1" applyBorder="1" applyAlignment="1">
      <alignment horizontal="center" vertical="center"/>
    </xf>
    <xf numFmtId="0" fontId="7" fillId="0" borderId="19" xfId="1" applyNumberFormat="1" applyFont="1" applyFill="1" applyBorder="1" applyAlignment="1">
      <alignment horizontal="center" vertical="center"/>
    </xf>
    <xf numFmtId="0" fontId="7" fillId="0" borderId="9" xfId="1" applyNumberFormat="1" applyFont="1" applyFill="1" applyBorder="1" applyAlignment="1">
      <alignment horizontal="center" vertical="center"/>
    </xf>
    <xf numFmtId="0" fontId="7" fillId="0" borderId="18" xfId="1" applyNumberFormat="1" applyFont="1" applyFill="1" applyBorder="1" applyAlignment="1">
      <alignment horizontal="center" vertical="center"/>
    </xf>
    <xf numFmtId="164" fontId="7" fillId="0" borderId="16" xfId="1" applyNumberFormat="1" applyFont="1" applyFill="1" applyBorder="1" applyAlignment="1">
      <alignment horizontal="center" vertical="center"/>
    </xf>
    <xf numFmtId="164" fontId="7" fillId="0" borderId="15" xfId="1" applyNumberFormat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left" vertical="center" wrapText="1"/>
    </xf>
    <xf numFmtId="0" fontId="7" fillId="0" borderId="16" xfId="1" applyNumberFormat="1" applyFont="1" applyFill="1" applyBorder="1" applyAlignment="1">
      <alignment horizontal="left" vertical="center" wrapText="1"/>
    </xf>
    <xf numFmtId="0" fontId="16" fillId="0" borderId="16" xfId="14" applyNumberFormat="1" applyFill="1" applyBorder="1" applyAlignment="1">
      <alignment horizontal="center" vertical="center" wrapText="1"/>
    </xf>
    <xf numFmtId="0" fontId="7" fillId="0" borderId="16" xfId="1" applyNumberFormat="1" applyFont="1" applyFill="1" applyBorder="1" applyAlignment="1">
      <alignment horizontal="center" vertical="center" wrapText="1"/>
    </xf>
    <xf numFmtId="0" fontId="17" fillId="0" borderId="17" xfId="1" applyNumberFormat="1" applyFont="1" applyFill="1" applyBorder="1" applyAlignment="1">
      <alignment horizontal="center" vertical="center"/>
    </xf>
    <xf numFmtId="0" fontId="17" fillId="0" borderId="16" xfId="1" applyNumberFormat="1" applyFont="1" applyFill="1" applyBorder="1" applyAlignment="1">
      <alignment horizontal="center" vertical="center"/>
    </xf>
    <xf numFmtId="0" fontId="7" fillId="0" borderId="29" xfId="1" applyNumberFormat="1" applyFont="1" applyFill="1" applyBorder="1" applyAlignment="1">
      <alignment horizontal="left" vertical="center" wrapText="1"/>
    </xf>
    <xf numFmtId="0" fontId="7" fillId="0" borderId="31" xfId="1" applyNumberFormat="1" applyFont="1" applyFill="1" applyBorder="1" applyAlignment="1">
      <alignment horizontal="left" vertical="center" wrapText="1"/>
    </xf>
    <xf numFmtId="0" fontId="7" fillId="0" borderId="24" xfId="1" applyNumberFormat="1" applyFont="1" applyFill="1" applyBorder="1" applyAlignment="1">
      <alignment horizontal="left" vertical="center" wrapText="1"/>
    </xf>
    <xf numFmtId="0" fontId="16" fillId="0" borderId="16" xfId="14" applyNumberFormat="1" applyFill="1" applyBorder="1" applyAlignment="1">
      <alignment horizontal="center" vertical="center"/>
    </xf>
    <xf numFmtId="0" fontId="7" fillId="0" borderId="15" xfId="1" applyNumberFormat="1" applyFont="1" applyFill="1" applyBorder="1" applyAlignment="1">
      <alignment horizontal="left" vertical="center" wrapText="1"/>
    </xf>
    <xf numFmtId="0" fontId="17" fillId="0" borderId="73" xfId="1" applyNumberFormat="1" applyFont="1" applyFill="1" applyBorder="1" applyAlignment="1">
      <alignment horizontal="center" vertical="center"/>
    </xf>
    <xf numFmtId="0" fontId="17" fillId="0" borderId="55" xfId="1" applyNumberFormat="1" applyFont="1" applyFill="1" applyBorder="1" applyAlignment="1">
      <alignment horizontal="center" vertical="center"/>
    </xf>
    <xf numFmtId="0" fontId="17" fillId="0" borderId="29" xfId="1" applyNumberFormat="1" applyFont="1" applyFill="1" applyBorder="1" applyAlignment="1">
      <alignment horizontal="left" vertical="center" wrapText="1"/>
    </xf>
    <xf numFmtId="0" fontId="17" fillId="0" borderId="31" xfId="1" applyNumberFormat="1" applyFont="1" applyFill="1" applyBorder="1" applyAlignment="1">
      <alignment horizontal="left" vertical="center" wrapText="1"/>
    </xf>
    <xf numFmtId="0" fontId="17" fillId="0" borderId="24" xfId="1" applyNumberFormat="1" applyFont="1" applyFill="1" applyBorder="1" applyAlignment="1">
      <alignment horizontal="left" vertical="center" wrapText="1"/>
    </xf>
    <xf numFmtId="0" fontId="7" fillId="0" borderId="73" xfId="1" applyNumberFormat="1" applyFont="1" applyFill="1" applyBorder="1" applyAlignment="1">
      <alignment horizontal="left" vertical="center" wrapText="1"/>
    </xf>
    <xf numFmtId="0" fontId="7" fillId="0" borderId="55" xfId="1" applyNumberFormat="1" applyFont="1" applyFill="1" applyBorder="1" applyAlignment="1">
      <alignment horizontal="left" vertical="center" wrapText="1"/>
    </xf>
    <xf numFmtId="0" fontId="7" fillId="0" borderId="29" xfId="1" applyNumberFormat="1" applyFont="1" applyFill="1" applyBorder="1" applyAlignment="1">
      <alignment horizontal="center" vertical="center"/>
    </xf>
    <xf numFmtId="0" fontId="7" fillId="0" borderId="55" xfId="1" applyNumberFormat="1" applyFont="1" applyFill="1" applyBorder="1" applyAlignment="1">
      <alignment horizontal="center" vertical="center"/>
    </xf>
    <xf numFmtId="164" fontId="7" fillId="0" borderId="29" xfId="1" applyNumberFormat="1" applyFont="1" applyFill="1" applyBorder="1" applyAlignment="1">
      <alignment horizontal="center" vertical="center"/>
    </xf>
    <xf numFmtId="164" fontId="7" fillId="0" borderId="31" xfId="1" applyNumberFormat="1" applyFont="1" applyFill="1" applyBorder="1" applyAlignment="1">
      <alignment horizontal="center" vertical="center"/>
    </xf>
    <xf numFmtId="164" fontId="7" fillId="0" borderId="24" xfId="1" applyNumberFormat="1" applyFont="1" applyFill="1" applyBorder="1" applyAlignment="1">
      <alignment horizontal="center" vertical="center"/>
    </xf>
    <xf numFmtId="0" fontId="7" fillId="0" borderId="73" xfId="1" applyNumberFormat="1" applyFont="1" applyFill="1" applyBorder="1" applyAlignment="1">
      <alignment horizontal="center" vertical="center"/>
    </xf>
    <xf numFmtId="165" fontId="7" fillId="0" borderId="21" xfId="1" applyFont="1" applyFill="1" applyBorder="1" applyAlignment="1">
      <alignment horizontal="center" vertical="center"/>
    </xf>
    <xf numFmtId="165" fontId="7" fillId="0" borderId="36" xfId="1" applyFont="1" applyFill="1" applyBorder="1" applyAlignment="1">
      <alignment horizontal="center" vertical="center"/>
    </xf>
    <xf numFmtId="165" fontId="17" fillId="0" borderId="16" xfId="1" applyFont="1" applyFill="1" applyBorder="1" applyAlignment="1">
      <alignment horizontal="center" vertical="center"/>
    </xf>
    <xf numFmtId="165" fontId="17" fillId="0" borderId="15" xfId="1" applyFont="1" applyFill="1" applyBorder="1" applyAlignment="1">
      <alignment horizontal="center" vertical="center"/>
    </xf>
    <xf numFmtId="0" fontId="17" fillId="0" borderId="39" xfId="1" applyNumberFormat="1" applyFont="1" applyFill="1" applyBorder="1" applyAlignment="1">
      <alignment horizontal="center" vertical="center"/>
    </xf>
    <xf numFmtId="0" fontId="17" fillId="0" borderId="21" xfId="1" applyNumberFormat="1" applyFont="1" applyFill="1" applyBorder="1" applyAlignment="1">
      <alignment horizontal="center" vertical="center"/>
    </xf>
    <xf numFmtId="165" fontId="17" fillId="0" borderId="21" xfId="1" applyFont="1" applyFill="1" applyBorder="1" applyAlignment="1">
      <alignment horizontal="left" vertical="center" wrapText="1"/>
    </xf>
    <xf numFmtId="165" fontId="17" fillId="0" borderId="36" xfId="1" applyFont="1" applyFill="1" applyBorder="1" applyAlignment="1">
      <alignment horizontal="left" vertical="center" wrapText="1"/>
    </xf>
    <xf numFmtId="0" fontId="7" fillId="0" borderId="39" xfId="1" applyNumberFormat="1" applyFont="1" applyFill="1" applyBorder="1" applyAlignment="1">
      <alignment horizontal="left" vertical="center" wrapText="1"/>
    </xf>
    <xf numFmtId="0" fontId="7" fillId="0" borderId="21" xfId="1" applyNumberFormat="1" applyFont="1" applyFill="1" applyBorder="1" applyAlignment="1">
      <alignment horizontal="left" vertical="center" wrapText="1"/>
    </xf>
    <xf numFmtId="0" fontId="7" fillId="0" borderId="21" xfId="1" applyNumberFormat="1" applyFont="1" applyFill="1" applyBorder="1" applyAlignment="1">
      <alignment horizontal="center" vertical="center"/>
    </xf>
    <xf numFmtId="164" fontId="7" fillId="0" borderId="21" xfId="1" applyNumberFormat="1" applyFont="1" applyFill="1" applyBorder="1" applyAlignment="1">
      <alignment horizontal="center" vertical="center"/>
    </xf>
    <xf numFmtId="164" fontId="7" fillId="0" borderId="36" xfId="1" applyNumberFormat="1" applyFont="1" applyFill="1" applyBorder="1" applyAlignment="1">
      <alignment horizontal="center" vertical="center"/>
    </xf>
    <xf numFmtId="0" fontId="7" fillId="0" borderId="39" xfId="1" applyNumberFormat="1" applyFont="1" applyFill="1" applyBorder="1" applyAlignment="1">
      <alignment horizontal="center" vertical="center"/>
    </xf>
    <xf numFmtId="165" fontId="7" fillId="0" borderId="73" xfId="1" applyFont="1" applyFill="1" applyBorder="1" applyAlignment="1">
      <alignment horizontal="center" vertical="center" wrapText="1"/>
    </xf>
    <xf numFmtId="165" fontId="7" fillId="0" borderId="31" xfId="1" applyFont="1" applyFill="1" applyBorder="1" applyAlignment="1">
      <alignment horizontal="center" vertical="center" wrapText="1"/>
    </xf>
    <xf numFmtId="165" fontId="7" fillId="0" borderId="55" xfId="1" applyFont="1" applyFill="1" applyBorder="1" applyAlignment="1">
      <alignment horizontal="center" vertical="center" wrapText="1"/>
    </xf>
    <xf numFmtId="165" fontId="7" fillId="0" borderId="29" xfId="1" applyFont="1" applyFill="1" applyBorder="1" applyAlignment="1">
      <alignment horizontal="center" vertical="center"/>
    </xf>
    <xf numFmtId="165" fontId="7" fillId="0" borderId="31" xfId="1" applyFont="1" applyFill="1" applyBorder="1" applyAlignment="1">
      <alignment horizontal="center" vertical="center"/>
    </xf>
    <xf numFmtId="165" fontId="7" fillId="0" borderId="55" xfId="1" applyFont="1" applyFill="1" applyBorder="1" applyAlignment="1">
      <alignment horizontal="center" vertical="center"/>
    </xf>
    <xf numFmtId="165" fontId="7" fillId="0" borderId="39" xfId="1" applyFont="1" applyFill="1" applyBorder="1" applyAlignment="1">
      <alignment horizontal="center" vertical="center" wrapText="1"/>
    </xf>
    <xf numFmtId="165" fontId="7" fillId="0" borderId="21" xfId="1" applyFont="1" applyFill="1" applyBorder="1" applyAlignment="1">
      <alignment horizontal="center" vertical="center" wrapText="1"/>
    </xf>
    <xf numFmtId="0" fontId="17" fillId="0" borderId="26" xfId="1" applyNumberFormat="1" applyFont="1" applyFill="1" applyBorder="1" applyAlignment="1">
      <alignment horizontal="center" vertical="center"/>
    </xf>
    <xf numFmtId="0" fontId="17" fillId="0" borderId="27" xfId="1" applyNumberFormat="1" applyFont="1" applyFill="1" applyBorder="1" applyAlignment="1">
      <alignment horizontal="center" vertical="center"/>
    </xf>
    <xf numFmtId="165" fontId="17" fillId="0" borderId="27" xfId="1" applyFont="1" applyFill="1" applyBorder="1" applyAlignment="1">
      <alignment horizontal="center" vertical="center"/>
    </xf>
    <xf numFmtId="165" fontId="17" fillId="0" borderId="28" xfId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164" fontId="7" fillId="0" borderId="27" xfId="1" applyNumberFormat="1" applyFont="1" applyFill="1" applyBorder="1" applyAlignment="1">
      <alignment horizontal="center" vertical="center"/>
    </xf>
    <xf numFmtId="164" fontId="7" fillId="0" borderId="28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>
      <alignment horizontal="left" vertical="top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>
      <alignment horizontal="center" vertical="top"/>
    </xf>
    <xf numFmtId="10" fontId="40" fillId="5" borderId="16" xfId="20" applyNumberFormat="1" applyFont="1" applyFill="1" applyBorder="1" applyAlignment="1">
      <alignment horizontal="center"/>
    </xf>
    <xf numFmtId="0" fontId="29" fillId="5" borderId="29" xfId="16" applyFont="1" applyFill="1" applyBorder="1" applyAlignment="1">
      <alignment horizontal="right" vertical="center" wrapText="1"/>
    </xf>
    <xf numFmtId="0" fontId="29" fillId="5" borderId="31" xfId="16" applyFont="1" applyFill="1" applyBorder="1" applyAlignment="1">
      <alignment horizontal="right" vertical="center" wrapText="1"/>
    </xf>
    <xf numFmtId="0" fontId="29" fillId="5" borderId="55" xfId="16" applyFont="1" applyFill="1" applyBorder="1" applyAlignment="1">
      <alignment horizontal="right" vertical="center" wrapText="1"/>
    </xf>
    <xf numFmtId="0" fontId="11" fillId="0" borderId="21" xfId="4" applyFont="1" applyFill="1" applyBorder="1" applyAlignment="1">
      <alignment horizontal="center" vertical="center" wrapText="1"/>
    </xf>
    <xf numFmtId="0" fontId="11" fillId="0" borderId="59" xfId="4" applyFont="1" applyFill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" fontId="40" fillId="5" borderId="16" xfId="4" applyNumberFormat="1" applyFont="1" applyFill="1" applyBorder="1" applyAlignment="1">
      <alignment horizontal="center"/>
    </xf>
    <xf numFmtId="0" fontId="36" fillId="0" borderId="8" xfId="4" applyFont="1" applyBorder="1" applyAlignment="1">
      <alignment horizontal="center"/>
    </xf>
    <xf numFmtId="0" fontId="36" fillId="0" borderId="7" xfId="4" applyFont="1" applyBorder="1" applyAlignment="1">
      <alignment horizontal="center"/>
    </xf>
    <xf numFmtId="0" fontId="36" fillId="0" borderId="6" xfId="4" applyFont="1" applyBorder="1" applyAlignment="1">
      <alignment horizontal="center"/>
    </xf>
    <xf numFmtId="0" fontId="36" fillId="0" borderId="5" xfId="4" applyFont="1" applyBorder="1" applyAlignment="1">
      <alignment horizontal="center"/>
    </xf>
    <xf numFmtId="0" fontId="36" fillId="0" borderId="0" xfId="4" applyFont="1" applyAlignment="1">
      <alignment horizontal="center"/>
    </xf>
    <xf numFmtId="0" fontId="36" fillId="0" borderId="4" xfId="4" applyFont="1" applyBorder="1" applyAlignment="1">
      <alignment horizontal="center"/>
    </xf>
    <xf numFmtId="0" fontId="24" fillId="4" borderId="29" xfId="16" applyFont="1" applyFill="1" applyBorder="1" applyAlignment="1">
      <alignment horizontal="center" vertical="center" wrapText="1"/>
    </xf>
    <xf numFmtId="0" fontId="24" fillId="4" borderId="31" xfId="16" applyFont="1" applyFill="1" applyBorder="1" applyAlignment="1">
      <alignment horizontal="center" vertical="center" wrapText="1"/>
    </xf>
    <xf numFmtId="0" fontId="24" fillId="4" borderId="55" xfId="16" applyFont="1" applyFill="1" applyBorder="1" applyAlignment="1">
      <alignment horizontal="center" vertical="center" wrapText="1"/>
    </xf>
    <xf numFmtId="0" fontId="11" fillId="7" borderId="29" xfId="4" applyFont="1" applyFill="1" applyBorder="1" applyAlignment="1">
      <alignment horizontal="center" vertical="center" wrapText="1"/>
    </xf>
    <xf numFmtId="0" fontId="11" fillId="7" borderId="31" xfId="4" applyFont="1" applyFill="1" applyBorder="1" applyAlignment="1">
      <alignment horizontal="center" vertical="center" wrapText="1"/>
    </xf>
    <xf numFmtId="0" fontId="11" fillId="7" borderId="55" xfId="4" applyFont="1" applyFill="1" applyBorder="1" applyAlignment="1">
      <alignment horizontal="center" vertical="center" wrapText="1"/>
    </xf>
    <xf numFmtId="0" fontId="37" fillId="0" borderId="5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7" fillId="0" borderId="4" xfId="4" applyFont="1" applyBorder="1" applyAlignment="1">
      <alignment horizontal="center"/>
    </xf>
    <xf numFmtId="0" fontId="38" fillId="6" borderId="29" xfId="4" applyFont="1" applyFill="1" applyBorder="1" applyAlignment="1" applyProtection="1">
      <alignment horizontal="center" vertical="top" wrapText="1"/>
      <protection locked="0"/>
    </xf>
    <xf numFmtId="0" fontId="38" fillId="6" borderId="31" xfId="4" applyFont="1" applyFill="1" applyBorder="1" applyAlignment="1" applyProtection="1">
      <alignment horizontal="center" vertical="top" wrapText="1"/>
      <protection locked="0"/>
    </xf>
    <xf numFmtId="0" fontId="38" fillId="6" borderId="55" xfId="4" applyFont="1" applyFill="1" applyBorder="1" applyAlignment="1" applyProtection="1">
      <alignment horizontal="center" vertical="top" wrapText="1"/>
      <protection locked="0"/>
    </xf>
    <xf numFmtId="0" fontId="39" fillId="7" borderId="21" xfId="4" applyFont="1" applyFill="1" applyBorder="1" applyAlignment="1">
      <alignment horizontal="center" vertical="center" wrapText="1"/>
    </xf>
    <xf numFmtId="0" fontId="39" fillId="7" borderId="59" xfId="4" applyFont="1" applyFill="1" applyBorder="1" applyAlignment="1">
      <alignment horizontal="center" vertical="center" wrapText="1"/>
    </xf>
    <xf numFmtId="0" fontId="11" fillId="7" borderId="21" xfId="4" applyFont="1" applyFill="1" applyBorder="1" applyAlignment="1">
      <alignment horizontal="center" vertical="center" wrapText="1"/>
    </xf>
    <xf numFmtId="0" fontId="11" fillId="7" borderId="59" xfId="4" applyFont="1" applyFill="1" applyBorder="1" applyAlignment="1">
      <alignment horizontal="center" vertical="center" wrapText="1"/>
    </xf>
    <xf numFmtId="0" fontId="18" fillId="0" borderId="16" xfId="26" applyFont="1" applyBorder="1" applyAlignment="1">
      <alignment horizontal="center" vertical="center"/>
    </xf>
    <xf numFmtId="4" fontId="18" fillId="0" borderId="16" xfId="26" applyNumberFormat="1" applyFont="1" applyBorder="1" applyAlignment="1">
      <alignment horizontal="center" vertical="center"/>
    </xf>
    <xf numFmtId="10" fontId="18" fillId="0" borderId="16" xfId="26" applyNumberFormat="1" applyFont="1" applyBorder="1" applyAlignment="1">
      <alignment horizontal="center" vertical="center"/>
    </xf>
    <xf numFmtId="0" fontId="19" fillId="0" borderId="16" xfId="26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16" xfId="16" applyFont="1" applyBorder="1" applyAlignment="1">
      <alignment horizontal="left" vertical="center"/>
    </xf>
    <xf numFmtId="165" fontId="4" fillId="2" borderId="16" xfId="21" applyFont="1" applyFill="1" applyBorder="1" applyAlignment="1">
      <alignment horizontal="left" vertical="center" wrapText="1"/>
    </xf>
    <xf numFmtId="0" fontId="4" fillId="9" borderId="34" xfId="1" applyNumberFormat="1" applyFont="1" applyFill="1" applyBorder="1" applyAlignment="1">
      <alignment horizontal="left" vertical="center" wrapText="1"/>
    </xf>
    <xf numFmtId="0" fontId="4" fillId="9" borderId="33" xfId="1" applyNumberFormat="1" applyFont="1" applyFill="1" applyBorder="1" applyAlignment="1">
      <alignment horizontal="left" vertical="center" wrapText="1"/>
    </xf>
    <xf numFmtId="0" fontId="4" fillId="9" borderId="34" xfId="21" applyNumberFormat="1" applyFont="1" applyFill="1" applyBorder="1" applyAlignment="1">
      <alignment horizontal="left" vertical="center" wrapText="1"/>
    </xf>
    <xf numFmtId="0" fontId="4" fillId="9" borderId="33" xfId="21" applyNumberFormat="1" applyFont="1" applyFill="1" applyBorder="1" applyAlignment="1">
      <alignment horizontal="left" vertical="center" wrapText="1"/>
    </xf>
    <xf numFmtId="0" fontId="4" fillId="0" borderId="8" xfId="16" applyFont="1" applyBorder="1" applyAlignment="1">
      <alignment horizontal="center" vertical="center"/>
    </xf>
    <xf numFmtId="0" fontId="4" fillId="0" borderId="6" xfId="16" applyFont="1" applyBorder="1" applyAlignment="1">
      <alignment horizontal="center" vertical="center"/>
    </xf>
    <xf numFmtId="0" fontId="4" fillId="0" borderId="5" xfId="16" applyFont="1" applyBorder="1" applyAlignment="1">
      <alignment horizontal="center" vertical="center"/>
    </xf>
    <xf numFmtId="0" fontId="4" fillId="0" borderId="4" xfId="16" applyFont="1" applyBorder="1" applyAlignment="1">
      <alignment horizontal="center" vertical="center"/>
    </xf>
    <xf numFmtId="0" fontId="4" fillId="0" borderId="3" xfId="16" applyFont="1" applyBorder="1" applyAlignment="1">
      <alignment horizontal="center" vertical="center"/>
    </xf>
    <xf numFmtId="0" fontId="4" fillId="0" borderId="1" xfId="16" applyFont="1" applyBorder="1" applyAlignment="1">
      <alignment horizontal="center" vertical="center"/>
    </xf>
    <xf numFmtId="165" fontId="5" fillId="5" borderId="16" xfId="21" applyFont="1" applyFill="1" applyBorder="1" applyAlignment="1">
      <alignment horizontal="left" vertical="top"/>
    </xf>
    <xf numFmtId="0" fontId="3" fillId="0" borderId="2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44" fillId="0" borderId="16" xfId="16" applyFont="1" applyBorder="1" applyAlignment="1">
      <alignment horizontal="left" vertical="center"/>
    </xf>
    <xf numFmtId="0" fontId="44" fillId="0" borderId="16" xfId="16" applyFont="1" applyFill="1" applyBorder="1" applyAlignment="1">
      <alignment horizontal="left" vertical="center"/>
    </xf>
    <xf numFmtId="0" fontId="4" fillId="0" borderId="16" xfId="16" applyFont="1" applyBorder="1" applyAlignment="1">
      <alignment horizontal="center" vertical="center"/>
    </xf>
    <xf numFmtId="0" fontId="4" fillId="0" borderId="34" xfId="1" applyNumberFormat="1" applyFont="1" applyFill="1" applyBorder="1" applyAlignment="1">
      <alignment horizontal="left" vertical="center" wrapText="1"/>
    </xf>
    <xf numFmtId="0" fontId="4" fillId="0" borderId="33" xfId="1" applyNumberFormat="1" applyFont="1" applyFill="1" applyBorder="1" applyAlignment="1">
      <alignment horizontal="left" vertical="center" wrapText="1"/>
    </xf>
    <xf numFmtId="0" fontId="4" fillId="0" borderId="29" xfId="16" applyFont="1" applyBorder="1" applyAlignment="1">
      <alignment horizontal="left" vertical="center"/>
    </xf>
    <xf numFmtId="0" fontId="4" fillId="0" borderId="55" xfId="16" applyFont="1" applyBorder="1" applyAlignment="1">
      <alignment horizontal="left" vertical="center"/>
    </xf>
    <xf numFmtId="165" fontId="4" fillId="2" borderId="34" xfId="21" applyFont="1" applyFill="1" applyBorder="1" applyAlignment="1">
      <alignment horizontal="left" vertical="center" wrapText="1"/>
    </xf>
    <xf numFmtId="165" fontId="4" fillId="2" borderId="32" xfId="21" applyFont="1" applyFill="1" applyBorder="1" applyAlignment="1">
      <alignment horizontal="left" vertical="center" wrapText="1"/>
    </xf>
    <xf numFmtId="165" fontId="4" fillId="2" borderId="33" xfId="21" applyFont="1" applyFill="1" applyBorder="1" applyAlignment="1">
      <alignment horizontal="left" vertical="center" wrapText="1"/>
    </xf>
    <xf numFmtId="0" fontId="4" fillId="0" borderId="16" xfId="21" applyNumberFormat="1" applyFont="1" applyFill="1" applyBorder="1" applyAlignment="1">
      <alignment horizontal="left" vertical="center" wrapText="1"/>
    </xf>
    <xf numFmtId="165" fontId="4" fillId="2" borderId="75" xfId="22" applyFont="1" applyFill="1" applyBorder="1" applyAlignment="1">
      <alignment horizontal="left" vertical="center" wrapText="1"/>
    </xf>
    <xf numFmtId="165" fontId="4" fillId="2" borderId="45" xfId="22" applyFont="1" applyFill="1" applyBorder="1" applyAlignment="1">
      <alignment horizontal="left" vertical="center" wrapText="1"/>
    </xf>
    <xf numFmtId="165" fontId="4" fillId="2" borderId="76" xfId="22" applyFont="1" applyFill="1" applyBorder="1" applyAlignment="1">
      <alignment horizontal="left" vertical="center" wrapText="1"/>
    </xf>
    <xf numFmtId="0" fontId="44" fillId="0" borderId="29" xfId="16" applyFont="1" applyBorder="1" applyAlignment="1">
      <alignment horizontal="left" vertical="center"/>
    </xf>
    <xf numFmtId="0" fontId="44" fillId="0" borderId="55" xfId="16" applyFont="1" applyBorder="1" applyAlignment="1">
      <alignment horizontal="left" vertical="center"/>
    </xf>
    <xf numFmtId="0" fontId="44" fillId="0" borderId="29" xfId="16" applyFont="1" applyBorder="1" applyAlignment="1">
      <alignment horizontal="center" vertical="center"/>
    </xf>
    <xf numFmtId="0" fontId="44" fillId="0" borderId="55" xfId="16" applyFont="1" applyBorder="1" applyAlignment="1">
      <alignment horizontal="center" vertical="center"/>
    </xf>
    <xf numFmtId="0" fontId="4" fillId="0" borderId="34" xfId="21" applyNumberFormat="1" applyFont="1" applyFill="1" applyBorder="1" applyAlignment="1">
      <alignment horizontal="left" vertical="center" wrapText="1"/>
    </xf>
    <xf numFmtId="0" fontId="4" fillId="0" borderId="33" xfId="21" applyNumberFormat="1" applyFont="1" applyFill="1" applyBorder="1" applyAlignment="1">
      <alignment horizontal="left" vertical="center" wrapText="1"/>
    </xf>
    <xf numFmtId="0" fontId="33" fillId="0" borderId="16" xfId="21" applyNumberFormat="1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left" vertical="center" wrapText="1"/>
    </xf>
    <xf numFmtId="0" fontId="4" fillId="0" borderId="16" xfId="1" applyNumberFormat="1" applyFont="1" applyFill="1" applyBorder="1" applyAlignment="1">
      <alignment horizontal="center" vertical="center" wrapText="1"/>
    </xf>
    <xf numFmtId="0" fontId="4" fillId="0" borderId="29" xfId="1" applyNumberFormat="1" applyFont="1" applyFill="1" applyBorder="1" applyAlignment="1">
      <alignment horizontal="left" vertical="center" wrapText="1"/>
    </xf>
    <xf numFmtId="0" fontId="4" fillId="0" borderId="55" xfId="1" applyNumberFormat="1" applyFont="1" applyFill="1" applyBorder="1" applyAlignment="1">
      <alignment horizontal="left" vertical="center" wrapText="1"/>
    </xf>
    <xf numFmtId="0" fontId="33" fillId="0" borderId="34" xfId="1" applyNumberFormat="1" applyFont="1" applyFill="1" applyBorder="1" applyAlignment="1">
      <alignment horizontal="center" vertical="center" wrapText="1"/>
    </xf>
    <xf numFmtId="0" fontId="33" fillId="0" borderId="33" xfId="1" applyNumberFormat="1" applyFont="1" applyFill="1" applyBorder="1" applyAlignment="1">
      <alignment horizontal="center" vertical="center" wrapText="1"/>
    </xf>
    <xf numFmtId="0" fontId="4" fillId="0" borderId="34" xfId="1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165" fontId="5" fillId="0" borderId="14" xfId="1" applyFont="1" applyFill="1" applyBorder="1" applyAlignment="1">
      <alignment horizontal="center" vertical="center"/>
    </xf>
    <xf numFmtId="165" fontId="5" fillId="0" borderId="26" xfId="1" applyFont="1" applyFill="1" applyBorder="1" applyAlignment="1">
      <alignment horizontal="center" vertical="center"/>
    </xf>
    <xf numFmtId="165" fontId="5" fillId="0" borderId="30" xfId="1" applyFont="1" applyFill="1" applyBorder="1" applyAlignment="1">
      <alignment horizontal="center" vertical="center"/>
    </xf>
    <xf numFmtId="165" fontId="5" fillId="0" borderId="64" xfId="1" applyFont="1" applyFill="1" applyBorder="1" applyAlignment="1">
      <alignment horizontal="center" vertical="center"/>
    </xf>
    <xf numFmtId="165" fontId="5" fillId="0" borderId="35" xfId="1" applyFont="1" applyFill="1" applyBorder="1" applyAlignment="1">
      <alignment horizontal="center" vertical="center"/>
    </xf>
    <xf numFmtId="165" fontId="5" fillId="0" borderId="68" xfId="1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5" fontId="5" fillId="0" borderId="27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horizontal="left" vertical="center" wrapText="1"/>
    </xf>
    <xf numFmtId="165" fontId="4" fillId="2" borderId="32" xfId="1" applyFont="1" applyFill="1" applyBorder="1" applyAlignment="1">
      <alignment horizontal="left" vertical="center" wrapText="1"/>
    </xf>
    <xf numFmtId="165" fontId="4" fillId="2" borderId="33" xfId="1" applyFont="1" applyFill="1" applyBorder="1" applyAlignment="1">
      <alignment horizontal="left" vertical="center" wrapText="1"/>
    </xf>
    <xf numFmtId="0" fontId="33" fillId="0" borderId="34" xfId="21" applyNumberFormat="1" applyFont="1" applyFill="1" applyBorder="1" applyAlignment="1">
      <alignment horizontal="center" vertical="center" wrapText="1"/>
    </xf>
    <xf numFmtId="0" fontId="33" fillId="0" borderId="33" xfId="21" applyNumberFormat="1" applyFont="1" applyFill="1" applyBorder="1" applyAlignment="1">
      <alignment horizontal="center" vertical="center" wrapText="1"/>
    </xf>
    <xf numFmtId="165" fontId="5" fillId="0" borderId="65" xfId="1" applyFont="1" applyFill="1" applyBorder="1" applyAlignment="1">
      <alignment horizontal="center" vertical="center"/>
    </xf>
    <xf numFmtId="165" fontId="5" fillId="0" borderId="66" xfId="1" applyFont="1" applyFill="1" applyBorder="1" applyAlignment="1">
      <alignment horizontal="center" vertical="center"/>
    </xf>
    <xf numFmtId="165" fontId="5" fillId="0" borderId="67" xfId="1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horizontal="left" vertical="center" wrapText="1" shrinkToFit="1"/>
    </xf>
    <xf numFmtId="165" fontId="4" fillId="2" borderId="32" xfId="1" applyFont="1" applyFill="1" applyBorder="1" applyAlignment="1">
      <alignment horizontal="left" vertical="center" wrapText="1" shrinkToFit="1"/>
    </xf>
    <xf numFmtId="165" fontId="4" fillId="2" borderId="33" xfId="1" applyFont="1" applyFill="1" applyBorder="1" applyAlignment="1">
      <alignment horizontal="left" vertical="center" wrapText="1" shrinkToFit="1"/>
    </xf>
    <xf numFmtId="165" fontId="5" fillId="0" borderId="12" xfId="1" applyFont="1" applyFill="1" applyBorder="1" applyAlignment="1">
      <alignment horizontal="center" vertical="center"/>
    </xf>
    <xf numFmtId="165" fontId="5" fillId="0" borderId="28" xfId="1" applyFont="1" applyFill="1" applyBorder="1" applyAlignment="1">
      <alignment horizontal="center" vertical="center"/>
    </xf>
    <xf numFmtId="165" fontId="3" fillId="0" borderId="19" xfId="1" applyFont="1" applyBorder="1" applyAlignment="1">
      <alignment horizontal="center"/>
    </xf>
    <xf numFmtId="165" fontId="3" fillId="0" borderId="18" xfId="1" applyFont="1" applyBorder="1" applyAlignment="1">
      <alignment horizontal="center"/>
    </xf>
    <xf numFmtId="165" fontId="3" fillId="0" borderId="22" xfId="1" applyFont="1" applyBorder="1" applyAlignment="1">
      <alignment horizontal="center"/>
    </xf>
    <xf numFmtId="165" fontId="3" fillId="0" borderId="20" xfId="1" applyFont="1" applyBorder="1" applyAlignment="1">
      <alignment horizontal="center"/>
    </xf>
    <xf numFmtId="165" fontId="3" fillId="0" borderId="11" xfId="1" applyFont="1" applyBorder="1" applyAlignment="1">
      <alignment horizontal="center"/>
    </xf>
    <xf numFmtId="165" fontId="3" fillId="0" borderId="23" xfId="1" applyFont="1" applyBorder="1" applyAlignment="1">
      <alignment horizontal="center"/>
    </xf>
    <xf numFmtId="165" fontId="31" fillId="0" borderId="61" xfId="1" applyFont="1" applyBorder="1" applyAlignment="1">
      <alignment horizontal="center" vertical="center" wrapText="1"/>
    </xf>
    <xf numFmtId="165" fontId="31" fillId="0" borderId="62" xfId="1" applyFont="1" applyBorder="1" applyAlignment="1">
      <alignment horizontal="center" vertical="center" wrapText="1"/>
    </xf>
    <xf numFmtId="165" fontId="31" fillId="0" borderId="63" xfId="1" applyFont="1" applyBorder="1" applyAlignment="1">
      <alignment horizontal="center" vertical="center" wrapText="1"/>
    </xf>
    <xf numFmtId="165" fontId="3" fillId="0" borderId="19" xfId="1" applyFont="1" applyBorder="1" applyAlignment="1">
      <alignment horizontal="left"/>
    </xf>
    <xf numFmtId="165" fontId="3" fillId="0" borderId="9" xfId="1" applyFont="1" applyBorder="1" applyAlignment="1">
      <alignment horizontal="left"/>
    </xf>
    <xf numFmtId="165" fontId="3" fillId="0" borderId="18" xfId="1" applyFont="1" applyBorder="1" applyAlignment="1">
      <alignment horizontal="left"/>
    </xf>
    <xf numFmtId="165" fontId="32" fillId="8" borderId="11" xfId="1" applyFont="1" applyFill="1" applyBorder="1" applyAlignment="1">
      <alignment horizontal="left" wrapText="1"/>
    </xf>
    <xf numFmtId="165" fontId="32" fillId="8" borderId="10" xfId="1" applyFont="1" applyFill="1" applyBorder="1" applyAlignment="1">
      <alignment horizontal="left"/>
    </xf>
    <xf numFmtId="165" fontId="32" fillId="8" borderId="23" xfId="1" applyFont="1" applyFill="1" applyBorder="1" applyAlignment="1">
      <alignment horizontal="left"/>
    </xf>
    <xf numFmtId="165" fontId="32" fillId="8" borderId="11" xfId="1" applyFont="1" applyFill="1" applyBorder="1" applyAlignment="1">
      <alignment horizontal="left"/>
    </xf>
    <xf numFmtId="165" fontId="3" fillId="0" borderId="19" xfId="1" applyFont="1" applyBorder="1" applyAlignment="1">
      <alignment horizontal="left" vertical="center"/>
    </xf>
    <xf numFmtId="165" fontId="3" fillId="0" borderId="9" xfId="1" applyFont="1" applyBorder="1" applyAlignment="1">
      <alignment horizontal="left" vertical="center"/>
    </xf>
    <xf numFmtId="165" fontId="3" fillId="0" borderId="18" xfId="1" applyFont="1" applyBorder="1" applyAlignment="1">
      <alignment horizontal="left" vertical="center"/>
    </xf>
    <xf numFmtId="165" fontId="32" fillId="8" borderId="11" xfId="1" applyFont="1" applyFill="1" applyBorder="1" applyAlignment="1">
      <alignment horizontal="left" vertical="top" wrapText="1"/>
    </xf>
    <xf numFmtId="165" fontId="32" fillId="8" borderId="10" xfId="1" applyFont="1" applyFill="1" applyBorder="1" applyAlignment="1">
      <alignment horizontal="left" vertical="top" wrapText="1"/>
    </xf>
    <xf numFmtId="165" fontId="32" fillId="8" borderId="23" xfId="1" applyFont="1" applyFill="1" applyBorder="1" applyAlignment="1">
      <alignment horizontal="left" vertical="top" wrapText="1"/>
    </xf>
    <xf numFmtId="165" fontId="32" fillId="8" borderId="11" xfId="1" applyFont="1" applyFill="1" applyBorder="1" applyAlignment="1">
      <alignment horizontal="left" vertical="center" wrapText="1"/>
    </xf>
    <xf numFmtId="165" fontId="32" fillId="8" borderId="10" xfId="1" applyFont="1" applyFill="1" applyBorder="1" applyAlignment="1">
      <alignment horizontal="left" vertical="center" wrapText="1"/>
    </xf>
    <xf numFmtId="165" fontId="32" fillId="8" borderId="23" xfId="1" applyFont="1" applyFill="1" applyBorder="1" applyAlignment="1">
      <alignment horizontal="left" vertical="center" wrapText="1"/>
    </xf>
    <xf numFmtId="0" fontId="4" fillId="0" borderId="75" xfId="21" applyNumberFormat="1" applyFont="1" applyFill="1" applyBorder="1" applyAlignment="1">
      <alignment horizontal="left" vertical="center" wrapText="1"/>
    </xf>
    <xf numFmtId="0" fontId="4" fillId="0" borderId="76" xfId="21" applyNumberFormat="1" applyFont="1" applyFill="1" applyBorder="1" applyAlignment="1">
      <alignment horizontal="left" vertical="center" wrapText="1"/>
    </xf>
    <xf numFmtId="0" fontId="4" fillId="0" borderId="45" xfId="1" applyNumberFormat="1" applyFont="1" applyFill="1" applyBorder="1" applyAlignment="1">
      <alignment horizontal="left" vertical="center" wrapText="1"/>
    </xf>
    <xf numFmtId="0" fontId="34" fillId="0" borderId="45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16" xfId="16" applyFont="1" applyBorder="1" applyAlignment="1">
      <alignment horizontal="center"/>
    </xf>
    <xf numFmtId="165" fontId="4" fillId="2" borderId="77" xfId="21" applyFont="1" applyFill="1" applyBorder="1" applyAlignment="1">
      <alignment horizontal="left" vertical="center" wrapText="1"/>
    </xf>
    <xf numFmtId="165" fontId="4" fillId="2" borderId="78" xfId="21" applyFont="1" applyFill="1" applyBorder="1" applyAlignment="1">
      <alignment horizontal="left" vertical="center" wrapText="1"/>
    </xf>
    <xf numFmtId="165" fontId="4" fillId="2" borderId="79" xfId="21" applyFont="1" applyFill="1" applyBorder="1" applyAlignment="1">
      <alignment horizontal="left" vertical="center" wrapText="1"/>
    </xf>
    <xf numFmtId="165" fontId="4" fillId="0" borderId="29" xfId="21" applyFont="1" applyFill="1" applyBorder="1" applyAlignment="1">
      <alignment horizontal="center" vertical="center" wrapText="1"/>
    </xf>
    <xf numFmtId="165" fontId="4" fillId="0" borderId="55" xfId="21" applyFont="1" applyFill="1" applyBorder="1" applyAlignment="1">
      <alignment horizontal="center" vertical="center" wrapText="1"/>
    </xf>
    <xf numFmtId="0" fontId="4" fillId="0" borderId="16" xfId="24" applyFont="1" applyBorder="1" applyAlignment="1">
      <alignment horizontal="center"/>
    </xf>
    <xf numFmtId="165" fontId="4" fillId="0" borderId="16" xfId="21" applyFont="1" applyFill="1" applyBorder="1" applyAlignment="1">
      <alignment horizontal="left" vertical="center"/>
    </xf>
    <xf numFmtId="0" fontId="4" fillId="0" borderId="16" xfId="16" applyFont="1" applyBorder="1" applyAlignment="1">
      <alignment horizontal="left"/>
    </xf>
    <xf numFmtId="0" fontId="5" fillId="0" borderId="16" xfId="21" applyNumberFormat="1" applyFont="1" applyFill="1" applyBorder="1" applyAlignment="1">
      <alignment horizontal="left" vertical="center" wrapText="1"/>
    </xf>
    <xf numFmtId="0" fontId="4" fillId="0" borderId="16" xfId="22" applyNumberFormat="1" applyFont="1" applyFill="1" applyBorder="1" applyAlignment="1">
      <alignment horizontal="left" vertical="center" wrapText="1"/>
    </xf>
    <xf numFmtId="165" fontId="4" fillId="2" borderId="34" xfId="22" applyFont="1" applyFill="1" applyBorder="1" applyAlignment="1">
      <alignment horizontal="left" vertical="center" wrapText="1"/>
    </xf>
    <xf numFmtId="165" fontId="4" fillId="2" borderId="32" xfId="22" applyFont="1" applyFill="1" applyBorder="1" applyAlignment="1">
      <alignment horizontal="left" vertical="center" wrapText="1"/>
    </xf>
    <xf numFmtId="165" fontId="4" fillId="2" borderId="33" xfId="22" applyFont="1" applyFill="1" applyBorder="1" applyAlignment="1">
      <alignment horizontal="left" vertical="center" wrapText="1"/>
    </xf>
    <xf numFmtId="0" fontId="24" fillId="4" borderId="0" xfId="16" applyFont="1" applyFill="1" applyAlignment="1">
      <alignment horizontal="left" vertical="center"/>
    </xf>
    <xf numFmtId="4" fontId="23" fillId="4" borderId="0" xfId="16" applyNumberFormat="1" applyFont="1" applyFill="1" applyAlignment="1">
      <alignment horizontal="center" vertical="center"/>
    </xf>
    <xf numFmtId="0" fontId="23" fillId="4" borderId="29" xfId="16" applyFont="1" applyFill="1" applyBorder="1" applyAlignment="1">
      <alignment horizontal="center" vertical="center"/>
    </xf>
    <xf numFmtId="0" fontId="23" fillId="4" borderId="31" xfId="16" applyFont="1" applyFill="1" applyBorder="1" applyAlignment="1">
      <alignment horizontal="center" vertical="center"/>
    </xf>
    <xf numFmtId="0" fontId="23" fillId="4" borderId="55" xfId="16" applyFont="1" applyFill="1" applyBorder="1" applyAlignment="1">
      <alignment horizontal="center" vertical="center"/>
    </xf>
    <xf numFmtId="0" fontId="24" fillId="5" borderId="61" xfId="0" applyFont="1" applyFill="1" applyBorder="1" applyAlignment="1">
      <alignment horizontal="center" vertical="center" wrapText="1"/>
    </xf>
    <xf numFmtId="0" fontId="24" fillId="5" borderId="62" xfId="0" applyFont="1" applyFill="1" applyBorder="1" applyAlignment="1">
      <alignment horizontal="center" vertical="center" wrapText="1"/>
    </xf>
    <xf numFmtId="0" fontId="24" fillId="4" borderId="29" xfId="16" applyFont="1" applyFill="1" applyBorder="1" applyAlignment="1">
      <alignment horizontal="center" vertical="center"/>
    </xf>
    <xf numFmtId="0" fontId="24" fillId="4" borderId="31" xfId="16" applyFont="1" applyFill="1" applyBorder="1" applyAlignment="1">
      <alignment horizontal="center" vertical="center"/>
    </xf>
    <xf numFmtId="0" fontId="24" fillId="4" borderId="55" xfId="16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distributed"/>
    </xf>
    <xf numFmtId="0" fontId="24" fillId="11" borderId="16" xfId="0" applyFont="1" applyFill="1" applyBorder="1" applyAlignment="1">
      <alignment horizontal="center" vertical="center"/>
    </xf>
    <xf numFmtId="0" fontId="24" fillId="11" borderId="16" xfId="0" applyFont="1" applyFill="1" applyBorder="1" applyAlignment="1">
      <alignment horizontal="center" vertical="center" wrapText="1"/>
    </xf>
    <xf numFmtId="4" fontId="24" fillId="11" borderId="16" xfId="0" applyNumberFormat="1" applyFont="1" applyFill="1" applyBorder="1" applyAlignment="1">
      <alignment horizontal="center" vertical="center"/>
    </xf>
    <xf numFmtId="10" fontId="24" fillId="11" borderId="16" xfId="0" applyNumberFormat="1" applyFont="1" applyFill="1" applyBorder="1" applyAlignment="1">
      <alignment horizontal="center" vertical="center"/>
    </xf>
    <xf numFmtId="0" fontId="23" fillId="11" borderId="16" xfId="0" applyFont="1" applyFill="1" applyBorder="1" applyAlignment="1">
      <alignment horizontal="left" vertical="distributed"/>
    </xf>
    <xf numFmtId="4" fontId="24" fillId="11" borderId="16" xfId="0" applyNumberFormat="1" applyFont="1" applyFill="1" applyBorder="1" applyAlignment="1">
      <alignment horizontal="left" vertical="distributed"/>
    </xf>
    <xf numFmtId="4" fontId="23" fillId="11" borderId="16" xfId="0" applyNumberFormat="1" applyFont="1" applyFill="1" applyBorder="1" applyAlignment="1">
      <alignment horizontal="left" vertical="distributed"/>
    </xf>
    <xf numFmtId="0" fontId="23" fillId="0" borderId="16" xfId="0" applyFont="1" applyBorder="1" applyAlignment="1">
      <alignment horizontal="left" vertical="distributed"/>
    </xf>
    <xf numFmtId="168" fontId="23" fillId="0" borderId="8" xfId="0" applyNumberFormat="1" applyFont="1" applyBorder="1" applyAlignment="1">
      <alignment horizontal="left" vertical="distributed"/>
    </xf>
    <xf numFmtId="168" fontId="23" fillId="0" borderId="6" xfId="0" applyNumberFormat="1" applyFont="1" applyBorder="1" applyAlignment="1">
      <alignment horizontal="left" vertical="distributed"/>
    </xf>
    <xf numFmtId="168" fontId="23" fillId="0" borderId="3" xfId="0" applyNumberFormat="1" applyFont="1" applyBorder="1" applyAlignment="1">
      <alignment horizontal="left" vertical="distributed"/>
    </xf>
    <xf numFmtId="168" fontId="23" fillId="0" borderId="1" xfId="0" applyNumberFormat="1" applyFont="1" applyBorder="1" applyAlignment="1">
      <alignment horizontal="left" vertical="distributed"/>
    </xf>
    <xf numFmtId="168" fontId="29" fillId="0" borderId="16" xfId="0" applyNumberFormat="1" applyFont="1" applyBorder="1" applyAlignment="1">
      <alignment horizontal="left" vertical="distributed"/>
    </xf>
    <xf numFmtId="14" fontId="23" fillId="0" borderId="16" xfId="0" applyNumberFormat="1" applyFont="1" applyBorder="1" applyAlignment="1">
      <alignment horizontal="left" vertical="distributed"/>
    </xf>
    <xf numFmtId="0" fontId="47" fillId="0" borderId="0" xfId="0" applyFont="1" applyBorder="1" applyAlignment="1">
      <alignment horizontal="center" vertical="distributed"/>
    </xf>
    <xf numFmtId="0" fontId="47" fillId="0" borderId="4" xfId="0" applyFont="1" applyBorder="1" applyAlignment="1">
      <alignment horizontal="center" vertical="distributed"/>
    </xf>
    <xf numFmtId="0" fontId="47" fillId="0" borderId="2" xfId="0" applyFont="1" applyBorder="1" applyAlignment="1">
      <alignment horizontal="center" vertical="distributed"/>
    </xf>
    <xf numFmtId="0" fontId="47" fillId="0" borderId="1" xfId="0" applyFont="1" applyBorder="1" applyAlignment="1">
      <alignment horizontal="center" vertical="distributed"/>
    </xf>
    <xf numFmtId="0" fontId="23" fillId="11" borderId="29" xfId="0" applyFont="1" applyFill="1" applyBorder="1" applyAlignment="1">
      <alignment horizontal="left" vertical="distributed"/>
    </xf>
    <xf numFmtId="0" fontId="23" fillId="11" borderId="31" xfId="0" applyFont="1" applyFill="1" applyBorder="1" applyAlignment="1">
      <alignment horizontal="left" vertical="distributed"/>
    </xf>
    <xf numFmtId="0" fontId="23" fillId="11" borderId="55" xfId="0" applyFont="1" applyFill="1" applyBorder="1" applyAlignment="1">
      <alignment horizontal="left" vertical="distributed"/>
    </xf>
    <xf numFmtId="4" fontId="23" fillId="11" borderId="29" xfId="0" applyNumberFormat="1" applyFont="1" applyFill="1" applyBorder="1" applyAlignment="1">
      <alignment horizontal="left" vertical="distributed"/>
    </xf>
    <xf numFmtId="4" fontId="23" fillId="11" borderId="31" xfId="0" applyNumberFormat="1" applyFont="1" applyFill="1" applyBorder="1" applyAlignment="1">
      <alignment horizontal="left" vertical="distributed"/>
    </xf>
    <xf numFmtId="4" fontId="23" fillId="11" borderId="55" xfId="0" applyNumberFormat="1" applyFont="1" applyFill="1" applyBorder="1" applyAlignment="1">
      <alignment horizontal="left" vertical="distributed"/>
    </xf>
    <xf numFmtId="0" fontId="23" fillId="0" borderId="8" xfId="0" applyFont="1" applyBorder="1" applyAlignment="1">
      <alignment horizontal="left" vertical="distributed"/>
    </xf>
    <xf numFmtId="0" fontId="23" fillId="0" borderId="7" xfId="0" applyFont="1" applyBorder="1" applyAlignment="1">
      <alignment horizontal="left" vertical="distributed"/>
    </xf>
    <xf numFmtId="0" fontId="23" fillId="0" borderId="6" xfId="0" applyFont="1" applyBorder="1" applyAlignment="1">
      <alignment horizontal="left" vertical="distributed"/>
    </xf>
    <xf numFmtId="0" fontId="23" fillId="0" borderId="3" xfId="0" applyFont="1" applyBorder="1" applyAlignment="1">
      <alignment horizontal="left" vertical="distributed"/>
    </xf>
    <xf numFmtId="0" fontId="23" fillId="0" borderId="2" xfId="0" applyFont="1" applyBorder="1" applyAlignment="1">
      <alignment horizontal="left" vertical="distributed"/>
    </xf>
    <xf numFmtId="0" fontId="23" fillId="0" borderId="1" xfId="0" applyFont="1" applyBorder="1" applyAlignment="1">
      <alignment horizontal="left" vertical="distributed"/>
    </xf>
    <xf numFmtId="49" fontId="23" fillId="0" borderId="21" xfId="0" applyNumberFormat="1" applyFont="1" applyBorder="1" applyAlignment="1">
      <alignment horizontal="center" vertical="distributed"/>
    </xf>
    <xf numFmtId="49" fontId="23" fillId="0" borderId="59" xfId="0" applyNumberFormat="1" applyFont="1" applyBorder="1" applyAlignment="1">
      <alignment horizontal="center" vertical="distributed"/>
    </xf>
    <xf numFmtId="0" fontId="3" fillId="0" borderId="29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165" fontId="3" fillId="0" borderId="0" xfId="22" applyFont="1" applyAlignment="1">
      <alignment horizontal="left"/>
    </xf>
    <xf numFmtId="0" fontId="3" fillId="0" borderId="0" xfId="0" applyFont="1" applyBorder="1"/>
    <xf numFmtId="165" fontId="3" fillId="0" borderId="0" xfId="22" applyFont="1" applyBorder="1"/>
    <xf numFmtId="0" fontId="41" fillId="0" borderId="16" xfId="0" applyFont="1" applyBorder="1"/>
    <xf numFmtId="165" fontId="34" fillId="0" borderId="16" xfId="22" applyFont="1" applyBorder="1" applyAlignment="1">
      <alignment horizontal="left"/>
    </xf>
    <xf numFmtId="0" fontId="0" fillId="0" borderId="16" xfId="0" applyBorder="1"/>
    <xf numFmtId="165" fontId="0" fillId="0" borderId="16" xfId="22" applyFont="1" applyBorder="1"/>
    <xf numFmtId="0" fontId="0" fillId="0" borderId="29" xfId="0" applyBorder="1" applyAlignment="1">
      <alignment horizontal="left"/>
    </xf>
    <xf numFmtId="0" fontId="0" fillId="0" borderId="55" xfId="0" applyBorder="1" applyAlignment="1">
      <alignment horizontal="left"/>
    </xf>
  </cellXfs>
  <cellStyles count="32">
    <cellStyle name="Excel Built-in Normal 2 2 2" xfId="8"/>
    <cellStyle name="Excel Built-in Normal 3 6" xfId="12"/>
    <cellStyle name="Excel Built-in Normal_Acompanhamento - CHÃ GRANDE - GABARITO" xfId="11"/>
    <cellStyle name="Excel Built-in Vírgula 2" xfId="9"/>
    <cellStyle name="Hiperlink" xfId="14" builtinId="8"/>
    <cellStyle name="Moeda" xfId="2" builtinId="4"/>
    <cellStyle name="Moeda 2" xfId="23"/>
    <cellStyle name="Moeda 3" xfId="31"/>
    <cellStyle name="Normal" xfId="0" builtinId="0"/>
    <cellStyle name="Normal 186" xfId="15"/>
    <cellStyle name="Normal 186 2" xfId="26"/>
    <cellStyle name="Normal 2" xfId="6"/>
    <cellStyle name="Normal 2 10" xfId="3"/>
    <cellStyle name="Normal 2 2" xfId="17"/>
    <cellStyle name="Normal 2 2 2" xfId="27"/>
    <cellStyle name="Normal 3" xfId="10"/>
    <cellStyle name="Normal 3 2" xfId="30"/>
    <cellStyle name="Normal 3 3" xfId="29"/>
    <cellStyle name="Normal 4" xfId="4"/>
    <cellStyle name="Normal 4 2" xfId="7"/>
    <cellStyle name="Normal 4 3" xfId="24"/>
    <cellStyle name="Normal 5" xfId="13"/>
    <cellStyle name="Normal 5 2" xfId="28"/>
    <cellStyle name="Normal 5 3" xfId="25"/>
    <cellStyle name="Normal 6" xfId="16"/>
    <cellStyle name="Normal_MOD. DE OBRA" xfId="19"/>
    <cellStyle name="Porcentagem" xfId="20" builtinId="5"/>
    <cellStyle name="Separador de milhares 2_ORÇAMENTO matureia corrigido (DEZ 2009)" xfId="5"/>
    <cellStyle name="Separador de milhares_MOD. DE OBRA" xfId="18"/>
    <cellStyle name="Vírgula" xfId="1" builtinId="3"/>
    <cellStyle name="Vírgula 2" xfId="22"/>
    <cellStyle name="Vírgula 2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125507</xdr:colOff>
      <xdr:row>0</xdr:row>
      <xdr:rowOff>55280</xdr:rowOff>
    </xdr:from>
    <xdr:to>
      <xdr:col>7</xdr:col>
      <xdr:colOff>93711</xdr:colOff>
      <xdr:row>7</xdr:row>
      <xdr:rowOff>116540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527" y="55280"/>
          <a:ext cx="1339804" cy="118140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202266</xdr:colOff>
      <xdr:row>0</xdr:row>
      <xdr:rowOff>7284</xdr:rowOff>
    </xdr:from>
    <xdr:to>
      <xdr:col>1</xdr:col>
      <xdr:colOff>752475</xdr:colOff>
      <xdr:row>4</xdr:row>
      <xdr:rowOff>155287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6" y="7284"/>
          <a:ext cx="1007409" cy="852853"/>
        </a:xfrm>
        <a:prstGeom prst="rect">
          <a:avLst/>
        </a:prstGeom>
        <a:ln w="1905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60706</xdr:rowOff>
    </xdr:from>
    <xdr:to>
      <xdr:col>1</xdr:col>
      <xdr:colOff>165652</xdr:colOff>
      <xdr:row>4</xdr:row>
      <xdr:rowOff>110401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06"/>
          <a:ext cx="703534" cy="695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202266</xdr:colOff>
      <xdr:row>0</xdr:row>
      <xdr:rowOff>7284</xdr:rowOff>
    </xdr:from>
    <xdr:to>
      <xdr:col>1</xdr:col>
      <xdr:colOff>752475</xdr:colOff>
      <xdr:row>4</xdr:row>
      <xdr:rowOff>155287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66" y="7284"/>
          <a:ext cx="1022649" cy="864283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iente\Downloads\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n%20Casimiro\Downloads\PLANILHA%20VENCEDORA%20COMPACTO%20CONST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an%20Casimiro\Downloads\2&#170;%20PLANILHA%20ADITIVO%20SECRETARI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QUIVOS\PLANEJ~1\desktop\ARQUIV~1\PREFSO~1\GESTO2~2\OBRASR~1\SECRET~2\REFORM~4\PROJET~1\ORAMEN~1\Planilha%20Or&#231;ament&#225;ria%20Reforma%20Secretaria%20de%20Educa&#231;&#227;o-R4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Downloads\BM_15%20Secretaria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COTAÇÕES"/>
      <sheetName val="COTAÇOES"/>
      <sheetName val="CPU 10"/>
      <sheetName val="MEM coberta"/>
      <sheetName val="SINAPI ANALITICO"/>
      <sheetName val="REPROGRAMAÇÃO"/>
      <sheetName val="Preço novos"/>
      <sheetName val="Memorial"/>
      <sheetName val="Preço novos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1.0</v>
          </cell>
          <cell r="B8" t="str">
            <v>DEMOLIÇÕES/RETIRADAS/SERVIÇOS PRELIMINARES</v>
          </cell>
        </row>
        <row r="13">
          <cell r="C13" t="str">
            <v>m³</v>
          </cell>
        </row>
        <row r="20">
          <cell r="A20" t="str">
            <v>2.0</v>
          </cell>
          <cell r="B20" t="str">
            <v>INFRAESTRUTURA</v>
          </cell>
        </row>
        <row r="21">
          <cell r="A21" t="str">
            <v>2.1</v>
          </cell>
          <cell r="B21" t="str">
            <v>Aterro manual de valas com solo argilo-arenoso e compactação mecanizada</v>
          </cell>
        </row>
        <row r="22">
          <cell r="A22" t="str">
            <v>2.5</v>
          </cell>
          <cell r="B22" t="str">
            <v>Escavação manual para bloco de coroamento ou sapata, com previsão de fôrma</v>
          </cell>
        </row>
        <row r="23">
          <cell r="A23" t="str">
            <v>2.6</v>
          </cell>
          <cell r="B23" t="str">
            <v>Reaterro manual de valas com compactação mecanizada.</v>
          </cell>
        </row>
        <row r="24">
          <cell r="A24" t="str">
            <v>2.7</v>
          </cell>
          <cell r="B24" t="str">
            <v>Lastro de concreto magro, aplicado em pisos, lajes sobre solo ou radiers, espessura de 5 cm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15"/>
      <sheetName val="MEM_CAL BM15"/>
      <sheetName val="medições totais"/>
      <sheetName val="Plan1"/>
    </sheetNames>
    <sheetDataSet>
      <sheetData sheetId="0">
        <row r="259">
          <cell r="J259">
            <v>15851.05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talsaurosousa@hotmail.com" TargetMode="External"/><Relationship Id="rId3" Type="http://schemas.openxmlformats.org/officeDocument/2006/relationships/hyperlink" Target="mailto:metalsaurosousa@hotmail.com" TargetMode="External"/><Relationship Id="rId7" Type="http://schemas.openxmlformats.org/officeDocument/2006/relationships/hyperlink" Target="http://www.americanas.com.br/" TargetMode="External"/><Relationship Id="rId2" Type="http://schemas.openxmlformats.org/officeDocument/2006/relationships/hyperlink" Target="http://www.americanas.com.br/" TargetMode="External"/><Relationship Id="rId1" Type="http://schemas.openxmlformats.org/officeDocument/2006/relationships/hyperlink" Target="http://www.magazineluiza.com.br/" TargetMode="External"/><Relationship Id="rId6" Type="http://schemas.openxmlformats.org/officeDocument/2006/relationships/hyperlink" Target="http://www.americanas.com.br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magazineluiza.com.br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magazineluiza.com.br/" TargetMode="External"/><Relationship Id="rId9" Type="http://schemas.openxmlformats.org/officeDocument/2006/relationships/hyperlink" Target="mailto:metalsaurosousa@hot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rse.cehop.se.gov.br/composicao.asp?font_sg_fonte=ORSE&amp;serv_nr_codigo=8269&amp;peri_nr_ano=2021&amp;peri_nr_mes=9&amp;peri_nr_ordem=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3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7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1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6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1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5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10" Type="http://schemas.openxmlformats.org/officeDocument/2006/relationships/hyperlink" Target="http://orse.cehop.se.gov.br/composicao.asp?font_sg_fonte=ORSE&amp;serv_nr_codigo=9605&amp;peri_nr_ano=2021&amp;peri_nr_mes=9&amp;peri_nr_ordem=1" TargetMode="External"/><Relationship Id="rId4" Type="http://schemas.openxmlformats.org/officeDocument/2006/relationships/hyperlink" Target="http://orse.cehop.se.gov.br/composicao.asp?font_sg_fonte=ORSE&amp;serv_nr_codigo=12953&amp;peri_nr_ano=2021&amp;peri_nr_mes=9&amp;peri_nr_ordem=1" TargetMode="External"/><Relationship Id="rId9" Type="http://schemas.openxmlformats.org/officeDocument/2006/relationships/hyperlink" Target="https://app.orcafascio.com/banco/orse/composicoes/6193ce0be64d1e3aafe77f24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BV34"/>
  <sheetViews>
    <sheetView showGridLines="0" view="pageBreakPreview" zoomScale="85" zoomScaleNormal="100" zoomScaleSheetLayoutView="85" workbookViewId="0">
      <selection activeCell="BU32" sqref="A1:BU32"/>
    </sheetView>
  </sheetViews>
  <sheetFormatPr defaultColWidth="2.28515625" defaultRowHeight="12.6" customHeight="1" x14ac:dyDescent="0.2"/>
  <cols>
    <col min="1" max="1" width="2.28515625" style="1"/>
    <col min="2" max="2" width="4" style="1" customWidth="1"/>
    <col min="3" max="3" width="3.42578125" style="1" customWidth="1"/>
    <col min="4" max="4" width="2.28515625" style="1"/>
    <col min="5" max="5" width="2.85546875" style="1" customWidth="1"/>
    <col min="6" max="6" width="5" style="1" customWidth="1"/>
    <col min="7" max="8" width="2.28515625" style="1"/>
    <col min="9" max="9" width="3.85546875" style="1" customWidth="1"/>
    <col min="10" max="10" width="3.42578125" style="1" customWidth="1"/>
    <col min="11" max="11" width="2.85546875" style="1" customWidth="1"/>
    <col min="12" max="12" width="4.42578125" style="1" customWidth="1"/>
    <col min="13" max="13" width="3.5703125" style="1" customWidth="1"/>
    <col min="14" max="14" width="6.85546875" style="1" customWidth="1"/>
    <col min="15" max="15" width="5.140625" style="1" customWidth="1"/>
    <col min="16" max="16" width="3.140625" style="1" customWidth="1"/>
    <col min="17" max="17" width="2.28515625" style="1"/>
    <col min="18" max="18" width="6.42578125" style="1" customWidth="1"/>
    <col min="19" max="19" width="7.5703125" style="1" customWidth="1"/>
    <col min="20" max="20" width="4.85546875" style="1" customWidth="1"/>
    <col min="21" max="21" width="7" style="1" customWidth="1"/>
    <col min="22" max="22" width="5.28515625" style="1" customWidth="1"/>
    <col min="23" max="28" width="2.28515625" style="1"/>
    <col min="29" max="29" width="6.85546875" style="1" customWidth="1"/>
    <col min="30" max="30" width="4.140625" style="1" customWidth="1"/>
    <col min="31" max="31" width="5.5703125" style="1" customWidth="1"/>
    <col min="32" max="33" width="4.28515625" style="1" customWidth="1"/>
    <col min="34" max="34" width="7.42578125" style="1" customWidth="1"/>
    <col min="35" max="35" width="5.7109375" style="1" customWidth="1"/>
    <col min="36" max="36" width="5.28515625" style="1" customWidth="1"/>
    <col min="37" max="37" width="4.85546875" style="1" customWidth="1"/>
    <col min="38" max="39" width="2.28515625" style="1"/>
    <col min="40" max="40" width="4" style="1" customWidth="1"/>
    <col min="41" max="41" width="3.140625" style="1" customWidth="1"/>
    <col min="42" max="42" width="2.28515625" style="1"/>
    <col min="43" max="43" width="4.7109375" style="1" customWidth="1"/>
    <col min="44" max="44" width="4" style="1" customWidth="1"/>
    <col min="45" max="45" width="4.28515625" style="1" customWidth="1"/>
    <col min="46" max="46" width="5.7109375" style="1" customWidth="1"/>
    <col min="47" max="47" width="4.85546875" style="1" customWidth="1"/>
    <col min="48" max="48" width="4.42578125" style="1" customWidth="1"/>
    <col min="49" max="49" width="2.42578125" style="1" customWidth="1"/>
    <col min="50" max="53" width="4.7109375" style="1" customWidth="1"/>
    <col min="54" max="54" width="2.5703125" style="1" customWidth="1"/>
    <col min="55" max="55" width="3.140625" style="1" customWidth="1"/>
    <col min="56" max="56" width="2.28515625" style="1" customWidth="1"/>
    <col min="57" max="57" width="4" style="1" customWidth="1"/>
    <col min="58" max="58" width="2.28515625" style="1"/>
    <col min="59" max="59" width="4.7109375" style="1" customWidth="1"/>
    <col min="60" max="60" width="4" style="1" customWidth="1"/>
    <col min="61" max="61" width="4.28515625" style="1" customWidth="1"/>
    <col min="62" max="62" width="5.7109375" style="1" customWidth="1"/>
    <col min="63" max="63" width="4.85546875" style="1" customWidth="1"/>
    <col min="64" max="64" width="4.42578125" style="1" customWidth="1"/>
    <col min="65" max="65" width="2.42578125" style="1" customWidth="1"/>
    <col min="66" max="69" width="4.7109375" style="1" customWidth="1"/>
    <col min="70" max="70" width="2.5703125" style="1" customWidth="1"/>
    <col min="71" max="71" width="3.140625" style="1" customWidth="1"/>
    <col min="72" max="72" width="2.28515625" style="1" customWidth="1"/>
    <col min="73" max="73" width="4" style="1" customWidth="1"/>
    <col min="74" max="74" width="12.7109375" style="1" customWidth="1"/>
    <col min="75" max="16384" width="2.28515625" style="1"/>
  </cols>
  <sheetData>
    <row r="1" spans="1:74" ht="12.6" customHeight="1" x14ac:dyDescent="0.2">
      <c r="A1" s="582"/>
      <c r="B1" s="583"/>
      <c r="C1" s="583"/>
      <c r="D1" s="583"/>
      <c r="E1" s="583"/>
      <c r="F1" s="583"/>
      <c r="G1" s="583"/>
      <c r="H1" s="583"/>
      <c r="I1" s="584"/>
      <c r="J1" s="591" t="s">
        <v>21</v>
      </c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2"/>
      <c r="AA1" s="592"/>
      <c r="AB1" s="592"/>
      <c r="AC1" s="592"/>
      <c r="AD1" s="592"/>
      <c r="AE1" s="592"/>
      <c r="AF1" s="592"/>
      <c r="AG1" s="592"/>
      <c r="AH1" s="592"/>
      <c r="AI1" s="592"/>
      <c r="AJ1" s="592"/>
      <c r="AK1" s="592"/>
      <c r="AL1" s="592"/>
      <c r="AM1" s="592"/>
      <c r="AN1" s="592"/>
      <c r="AO1" s="592"/>
      <c r="AP1" s="592"/>
      <c r="AQ1" s="592"/>
      <c r="AR1" s="592"/>
      <c r="AS1" s="592"/>
      <c r="AT1" s="592"/>
      <c r="AU1" s="592"/>
      <c r="AV1" s="592"/>
      <c r="AW1" s="592"/>
      <c r="AX1" s="592"/>
      <c r="AY1" s="592"/>
      <c r="AZ1" s="592"/>
      <c r="BA1" s="592"/>
      <c r="BB1" s="592"/>
      <c r="BC1" s="592"/>
      <c r="BD1" s="592"/>
      <c r="BE1" s="593"/>
    </row>
    <row r="2" spans="1:74" ht="12.6" customHeight="1" x14ac:dyDescent="0.2">
      <c r="A2" s="585"/>
      <c r="B2" s="586"/>
      <c r="C2" s="586"/>
      <c r="D2" s="586"/>
      <c r="E2" s="586"/>
      <c r="F2" s="586"/>
      <c r="G2" s="586"/>
      <c r="H2" s="586"/>
      <c r="I2" s="587"/>
      <c r="J2" s="594"/>
      <c r="K2" s="595"/>
      <c r="L2" s="595"/>
      <c r="M2" s="595"/>
      <c r="N2" s="595"/>
      <c r="O2" s="595"/>
      <c r="P2" s="595"/>
      <c r="Q2" s="595"/>
      <c r="R2" s="595"/>
      <c r="S2" s="595"/>
      <c r="T2" s="595"/>
      <c r="U2" s="595"/>
      <c r="V2" s="595"/>
      <c r="W2" s="595"/>
      <c r="X2" s="595"/>
      <c r="Y2" s="595"/>
      <c r="Z2" s="595"/>
      <c r="AA2" s="595"/>
      <c r="AB2" s="595"/>
      <c r="AC2" s="595"/>
      <c r="AD2" s="595"/>
      <c r="AE2" s="595"/>
      <c r="AF2" s="595"/>
      <c r="AG2" s="595"/>
      <c r="AH2" s="595"/>
      <c r="AI2" s="595"/>
      <c r="AJ2" s="595"/>
      <c r="AK2" s="595"/>
      <c r="AL2" s="595"/>
      <c r="AM2" s="595"/>
      <c r="AN2" s="595"/>
      <c r="AO2" s="595"/>
      <c r="AP2" s="595"/>
      <c r="AQ2" s="595"/>
      <c r="AR2" s="595"/>
      <c r="AS2" s="595"/>
      <c r="AT2" s="595"/>
      <c r="AU2" s="595"/>
      <c r="AV2" s="595"/>
      <c r="AW2" s="595"/>
      <c r="AX2" s="595"/>
      <c r="AY2" s="595"/>
      <c r="AZ2" s="595"/>
      <c r="BA2" s="595"/>
      <c r="BB2" s="595"/>
      <c r="BC2" s="595"/>
      <c r="BD2" s="595"/>
      <c r="BE2" s="596"/>
    </row>
    <row r="3" spans="1:74" ht="12.6" customHeight="1" x14ac:dyDescent="0.2">
      <c r="A3" s="585"/>
      <c r="B3" s="586"/>
      <c r="C3" s="586"/>
      <c r="D3" s="586"/>
      <c r="E3" s="586"/>
      <c r="F3" s="586"/>
      <c r="G3" s="586"/>
      <c r="H3" s="586"/>
      <c r="I3" s="587"/>
      <c r="J3" s="597" t="s">
        <v>3</v>
      </c>
      <c r="K3" s="598"/>
      <c r="L3" s="598"/>
      <c r="M3" s="598"/>
      <c r="N3" s="598"/>
      <c r="O3" s="598"/>
      <c r="P3" s="598"/>
      <c r="Q3" s="598"/>
      <c r="R3" s="598"/>
      <c r="S3" s="598"/>
      <c r="T3" s="598"/>
      <c r="U3" s="598"/>
      <c r="V3" s="598"/>
      <c r="W3" s="598"/>
      <c r="X3" s="598"/>
      <c r="Y3" s="598"/>
      <c r="Z3" s="598"/>
      <c r="AA3" s="598"/>
      <c r="AB3" s="598"/>
      <c r="AC3" s="598"/>
      <c r="AD3" s="598"/>
      <c r="AE3" s="598"/>
      <c r="AF3" s="598"/>
      <c r="AG3" s="598"/>
      <c r="AH3" s="598"/>
      <c r="AI3" s="598"/>
      <c r="AJ3" s="598"/>
      <c r="AK3" s="598"/>
      <c r="AL3" s="598"/>
      <c r="AM3" s="599" t="s">
        <v>9</v>
      </c>
      <c r="AN3" s="600"/>
      <c r="AO3" s="600"/>
      <c r="AP3" s="600"/>
      <c r="AQ3" s="600"/>
      <c r="AR3" s="600"/>
      <c r="AS3" s="600"/>
      <c r="AT3" s="600"/>
      <c r="AU3" s="600"/>
      <c r="AV3" s="600"/>
      <c r="AW3" s="600"/>
      <c r="AX3" s="600"/>
      <c r="AY3" s="600"/>
      <c r="AZ3" s="600"/>
      <c r="BA3" s="600"/>
      <c r="BB3" s="600"/>
      <c r="BC3" s="600"/>
      <c r="BD3" s="600"/>
      <c r="BE3" s="601"/>
    </row>
    <row r="4" spans="1:74" ht="12.6" customHeight="1" x14ac:dyDescent="0.2">
      <c r="A4" s="585"/>
      <c r="B4" s="586"/>
      <c r="C4" s="586"/>
      <c r="D4" s="586"/>
      <c r="E4" s="586"/>
      <c r="F4" s="586"/>
      <c r="G4" s="586"/>
      <c r="H4" s="586"/>
      <c r="I4" s="587"/>
      <c r="J4" s="602" t="s">
        <v>19</v>
      </c>
      <c r="K4" s="603"/>
      <c r="L4" s="603"/>
      <c r="M4" s="603"/>
      <c r="N4" s="603"/>
      <c r="O4" s="603"/>
      <c r="P4" s="603"/>
      <c r="Q4" s="603"/>
      <c r="R4" s="603"/>
      <c r="S4" s="603"/>
      <c r="T4" s="603"/>
      <c r="U4" s="603"/>
      <c r="V4" s="603"/>
      <c r="W4" s="603"/>
      <c r="X4" s="603"/>
      <c r="Y4" s="603"/>
      <c r="Z4" s="603"/>
      <c r="AA4" s="603"/>
      <c r="AB4" s="603"/>
      <c r="AC4" s="603"/>
      <c r="AD4" s="603"/>
      <c r="AE4" s="603"/>
      <c r="AF4" s="603"/>
      <c r="AG4" s="603"/>
      <c r="AH4" s="603"/>
      <c r="AI4" s="603"/>
      <c r="AJ4" s="603"/>
      <c r="AK4" s="603"/>
      <c r="AL4" s="604"/>
      <c r="AM4" s="608" t="s">
        <v>4</v>
      </c>
      <c r="AN4" s="609"/>
      <c r="AO4" s="609"/>
      <c r="AP4" s="609"/>
      <c r="AQ4" s="609"/>
      <c r="AR4" s="609"/>
      <c r="AS4" s="609"/>
      <c r="AT4" s="609"/>
      <c r="AU4" s="609"/>
      <c r="AV4" s="609"/>
      <c r="AW4" s="609"/>
      <c r="AX4" s="609"/>
      <c r="AY4" s="609"/>
      <c r="AZ4" s="609"/>
      <c r="BA4" s="609"/>
      <c r="BB4" s="609"/>
      <c r="BC4" s="609"/>
      <c r="BD4" s="609"/>
      <c r="BE4" s="610"/>
    </row>
    <row r="5" spans="1:74" ht="12.6" customHeight="1" x14ac:dyDescent="0.2">
      <c r="A5" s="585"/>
      <c r="B5" s="586"/>
      <c r="C5" s="586"/>
      <c r="D5" s="586"/>
      <c r="E5" s="586"/>
      <c r="F5" s="586"/>
      <c r="G5" s="586"/>
      <c r="H5" s="586"/>
      <c r="I5" s="587"/>
      <c r="J5" s="605"/>
      <c r="K5" s="606"/>
      <c r="L5" s="606"/>
      <c r="M5" s="606"/>
      <c r="N5" s="606"/>
      <c r="O5" s="606"/>
      <c r="P5" s="606"/>
      <c r="Q5" s="606"/>
      <c r="R5" s="606"/>
      <c r="S5" s="606"/>
      <c r="T5" s="606"/>
      <c r="U5" s="606"/>
      <c r="V5" s="606"/>
      <c r="W5" s="606"/>
      <c r="X5" s="606"/>
      <c r="Y5" s="606"/>
      <c r="Z5" s="606"/>
      <c r="AA5" s="606"/>
      <c r="AB5" s="606"/>
      <c r="AC5" s="606"/>
      <c r="AD5" s="606"/>
      <c r="AE5" s="606"/>
      <c r="AF5" s="606"/>
      <c r="AG5" s="606"/>
      <c r="AH5" s="606"/>
      <c r="AI5" s="606"/>
      <c r="AJ5" s="606"/>
      <c r="AK5" s="606"/>
      <c r="AL5" s="607"/>
      <c r="AM5" s="611"/>
      <c r="AN5" s="606"/>
      <c r="AO5" s="606"/>
      <c r="AP5" s="606"/>
      <c r="AQ5" s="606"/>
      <c r="AR5" s="606"/>
      <c r="AS5" s="606"/>
      <c r="AT5" s="606"/>
      <c r="AU5" s="606"/>
      <c r="AV5" s="606"/>
      <c r="AW5" s="606"/>
      <c r="AX5" s="606"/>
      <c r="AY5" s="606"/>
      <c r="AZ5" s="606"/>
      <c r="BA5" s="606"/>
      <c r="BB5" s="606"/>
      <c r="BC5" s="606"/>
      <c r="BD5" s="606"/>
      <c r="BE5" s="612"/>
    </row>
    <row r="6" spans="1:74" ht="12.6" customHeight="1" x14ac:dyDescent="0.2">
      <c r="A6" s="585"/>
      <c r="B6" s="586"/>
      <c r="C6" s="586"/>
      <c r="D6" s="586"/>
      <c r="E6" s="586"/>
      <c r="F6" s="586"/>
      <c r="G6" s="586"/>
      <c r="H6" s="586"/>
      <c r="I6" s="587"/>
      <c r="J6" s="597" t="s">
        <v>2</v>
      </c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8"/>
      <c r="X6" s="598"/>
      <c r="Y6" s="598"/>
      <c r="Z6" s="598"/>
      <c r="AA6" s="598"/>
      <c r="AB6" s="598"/>
      <c r="AC6" s="598"/>
      <c r="AD6" s="598"/>
      <c r="AE6" s="598"/>
      <c r="AF6" s="598"/>
      <c r="AG6" s="598"/>
      <c r="AH6" s="598"/>
      <c r="AI6" s="598"/>
      <c r="AJ6" s="598"/>
      <c r="AK6" s="598"/>
      <c r="AL6" s="599"/>
      <c r="AM6" s="613"/>
      <c r="AN6" s="614"/>
      <c r="AO6" s="614"/>
      <c r="AP6" s="614"/>
      <c r="AQ6" s="614"/>
      <c r="AR6" s="614"/>
      <c r="AS6" s="614"/>
      <c r="AT6" s="614"/>
      <c r="AU6" s="614"/>
      <c r="AV6" s="614"/>
      <c r="AW6" s="614"/>
      <c r="AX6" s="614"/>
      <c r="AY6" s="614"/>
      <c r="AZ6" s="614"/>
      <c r="BA6" s="614"/>
      <c r="BB6" s="614"/>
      <c r="BC6" s="614"/>
      <c r="BD6" s="614"/>
      <c r="BE6" s="615"/>
    </row>
    <row r="7" spans="1:74" ht="12.6" customHeight="1" x14ac:dyDescent="0.2">
      <c r="A7" s="585"/>
      <c r="B7" s="586"/>
      <c r="C7" s="586"/>
      <c r="D7" s="586"/>
      <c r="E7" s="586"/>
      <c r="F7" s="586"/>
      <c r="G7" s="586"/>
      <c r="H7" s="586"/>
      <c r="I7" s="587"/>
      <c r="J7" s="602" t="s">
        <v>20</v>
      </c>
      <c r="K7" s="603"/>
      <c r="L7" s="603"/>
      <c r="M7" s="603"/>
      <c r="N7" s="603"/>
      <c r="O7" s="603"/>
      <c r="P7" s="603"/>
      <c r="Q7" s="603"/>
      <c r="R7" s="603"/>
      <c r="S7" s="603"/>
      <c r="T7" s="603"/>
      <c r="U7" s="603"/>
      <c r="V7" s="603"/>
      <c r="W7" s="603"/>
      <c r="X7" s="603"/>
      <c r="Y7" s="603"/>
      <c r="Z7" s="603"/>
      <c r="AA7" s="603"/>
      <c r="AB7" s="603"/>
      <c r="AC7" s="603"/>
      <c r="AD7" s="603"/>
      <c r="AE7" s="603"/>
      <c r="AF7" s="603"/>
      <c r="AG7" s="603"/>
      <c r="AH7" s="603"/>
      <c r="AI7" s="603"/>
      <c r="AJ7" s="603"/>
      <c r="AK7" s="603"/>
      <c r="AL7" s="603"/>
      <c r="AM7" s="608"/>
      <c r="AN7" s="609"/>
      <c r="AO7" s="609"/>
      <c r="AP7" s="609"/>
      <c r="AQ7" s="609"/>
      <c r="AR7" s="609"/>
      <c r="AS7" s="609"/>
      <c r="AT7" s="609"/>
      <c r="AU7" s="609"/>
      <c r="AV7" s="609"/>
      <c r="AW7" s="609"/>
      <c r="AX7" s="609"/>
      <c r="AY7" s="609"/>
      <c r="AZ7" s="609"/>
      <c r="BA7" s="609"/>
      <c r="BB7" s="609"/>
      <c r="BC7" s="609"/>
      <c r="BD7" s="609"/>
      <c r="BE7" s="610"/>
    </row>
    <row r="8" spans="1:74" ht="12.6" customHeight="1" thickBot="1" x14ac:dyDescent="0.25">
      <c r="A8" s="588"/>
      <c r="B8" s="589"/>
      <c r="C8" s="589"/>
      <c r="D8" s="589"/>
      <c r="E8" s="589"/>
      <c r="F8" s="589"/>
      <c r="G8" s="589"/>
      <c r="H8" s="589"/>
      <c r="I8" s="590"/>
      <c r="J8" s="616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  <c r="AB8" s="617"/>
      <c r="AC8" s="617"/>
      <c r="AD8" s="617"/>
      <c r="AE8" s="617"/>
      <c r="AF8" s="617"/>
      <c r="AG8" s="617"/>
      <c r="AH8" s="617"/>
      <c r="AI8" s="617"/>
      <c r="AJ8" s="617"/>
      <c r="AK8" s="617"/>
      <c r="AL8" s="617"/>
      <c r="AM8" s="618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617"/>
      <c r="AY8" s="617"/>
      <c r="AZ8" s="617"/>
      <c r="BA8" s="617"/>
      <c r="BB8" s="617"/>
      <c r="BC8" s="617"/>
      <c r="BD8" s="617"/>
      <c r="BE8" s="619"/>
    </row>
    <row r="9" spans="1:74" ht="12.6" customHeight="1" thickBo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6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6"/>
    </row>
    <row r="10" spans="1:74" s="12" customFormat="1" ht="12.95" customHeight="1" x14ac:dyDescent="0.2">
      <c r="A10" s="624" t="s">
        <v>8</v>
      </c>
      <c r="B10" s="625"/>
      <c r="C10" s="628" t="s">
        <v>10</v>
      </c>
      <c r="D10" s="628"/>
      <c r="E10" s="628"/>
      <c r="F10" s="628"/>
      <c r="G10" s="628"/>
      <c r="H10" s="628"/>
      <c r="I10" s="629"/>
      <c r="J10" s="631" t="s">
        <v>22</v>
      </c>
      <c r="K10" s="628"/>
      <c r="L10" s="628"/>
      <c r="M10" s="628"/>
      <c r="N10" s="628"/>
      <c r="O10" s="628"/>
      <c r="P10" s="628"/>
      <c r="Q10" s="628"/>
      <c r="R10" s="628"/>
      <c r="S10" s="628"/>
      <c r="T10" s="628"/>
      <c r="U10" s="628"/>
      <c r="V10" s="628"/>
      <c r="W10" s="628"/>
      <c r="X10" s="628"/>
      <c r="Y10" s="629"/>
      <c r="Z10" s="632" t="s">
        <v>23</v>
      </c>
      <c r="AA10" s="633"/>
      <c r="AB10" s="633"/>
      <c r="AC10" s="633"/>
      <c r="AD10" s="633"/>
      <c r="AE10" s="633"/>
      <c r="AF10" s="633"/>
      <c r="AG10" s="633"/>
      <c r="AH10" s="633"/>
      <c r="AI10" s="633"/>
      <c r="AJ10" s="633"/>
      <c r="AK10" s="633"/>
      <c r="AL10" s="633"/>
      <c r="AM10" s="633"/>
      <c r="AN10" s="633"/>
      <c r="AO10" s="634"/>
      <c r="AP10" s="632" t="s">
        <v>24</v>
      </c>
      <c r="AQ10" s="633"/>
      <c r="AR10" s="633"/>
      <c r="AS10" s="633"/>
      <c r="AT10" s="633"/>
      <c r="AU10" s="633"/>
      <c r="AV10" s="633"/>
      <c r="AW10" s="633"/>
      <c r="AX10" s="633"/>
      <c r="AY10" s="633"/>
      <c r="AZ10" s="633"/>
      <c r="BA10" s="633"/>
      <c r="BB10" s="633"/>
      <c r="BC10" s="633"/>
      <c r="BD10" s="633"/>
      <c r="BE10" s="634"/>
      <c r="BF10" s="632" t="s">
        <v>393</v>
      </c>
      <c r="BG10" s="633"/>
      <c r="BH10" s="633"/>
      <c r="BI10" s="633"/>
      <c r="BJ10" s="633"/>
      <c r="BK10" s="633"/>
      <c r="BL10" s="633"/>
      <c r="BM10" s="633"/>
      <c r="BN10" s="633"/>
      <c r="BO10" s="633"/>
      <c r="BP10" s="633"/>
      <c r="BQ10" s="633"/>
      <c r="BR10" s="633"/>
      <c r="BS10" s="633"/>
      <c r="BT10" s="633"/>
      <c r="BU10" s="634"/>
    </row>
    <row r="11" spans="1:74" s="12" customFormat="1" ht="12.95" customHeight="1" x14ac:dyDescent="0.2">
      <c r="A11" s="626"/>
      <c r="B11" s="627"/>
      <c r="C11" s="622"/>
      <c r="D11" s="622"/>
      <c r="E11" s="622"/>
      <c r="F11" s="622"/>
      <c r="G11" s="622"/>
      <c r="H11" s="622"/>
      <c r="I11" s="630"/>
      <c r="J11" s="623" t="s">
        <v>25</v>
      </c>
      <c r="K11" s="622"/>
      <c r="L11" s="622"/>
      <c r="M11" s="622"/>
      <c r="N11" s="622" t="s">
        <v>26</v>
      </c>
      <c r="O11" s="622"/>
      <c r="P11" s="622"/>
      <c r="Q11" s="622"/>
      <c r="R11" s="622" t="s">
        <v>27</v>
      </c>
      <c r="S11" s="622"/>
      <c r="T11" s="622"/>
      <c r="U11" s="622"/>
      <c r="V11" s="620" t="s">
        <v>28</v>
      </c>
      <c r="W11" s="620"/>
      <c r="X11" s="620"/>
      <c r="Y11" s="621"/>
      <c r="Z11" s="623" t="s">
        <v>25</v>
      </c>
      <c r="AA11" s="622"/>
      <c r="AB11" s="622"/>
      <c r="AC11" s="622"/>
      <c r="AD11" s="622" t="s">
        <v>26</v>
      </c>
      <c r="AE11" s="622"/>
      <c r="AF11" s="622"/>
      <c r="AG11" s="622"/>
      <c r="AH11" s="622" t="s">
        <v>27</v>
      </c>
      <c r="AI11" s="622"/>
      <c r="AJ11" s="622"/>
      <c r="AK11" s="622"/>
      <c r="AL11" s="620" t="s">
        <v>28</v>
      </c>
      <c r="AM11" s="620"/>
      <c r="AN11" s="620"/>
      <c r="AO11" s="621"/>
      <c r="AP11" s="623" t="s">
        <v>25</v>
      </c>
      <c r="AQ11" s="622"/>
      <c r="AR11" s="622"/>
      <c r="AS11" s="622"/>
      <c r="AT11" s="622" t="s">
        <v>26</v>
      </c>
      <c r="AU11" s="622"/>
      <c r="AV11" s="622"/>
      <c r="AW11" s="622"/>
      <c r="AX11" s="622" t="s">
        <v>27</v>
      </c>
      <c r="AY11" s="622"/>
      <c r="AZ11" s="622"/>
      <c r="BA11" s="622"/>
      <c r="BB11" s="620" t="s">
        <v>28</v>
      </c>
      <c r="BC11" s="620"/>
      <c r="BD11" s="620"/>
      <c r="BE11" s="621"/>
      <c r="BF11" s="623" t="s">
        <v>25</v>
      </c>
      <c r="BG11" s="622"/>
      <c r="BH11" s="622"/>
      <c r="BI11" s="622"/>
      <c r="BJ11" s="622" t="s">
        <v>26</v>
      </c>
      <c r="BK11" s="622"/>
      <c r="BL11" s="622"/>
      <c r="BM11" s="622"/>
      <c r="BN11" s="622" t="s">
        <v>27</v>
      </c>
      <c r="BO11" s="622"/>
      <c r="BP11" s="622"/>
      <c r="BQ11" s="622"/>
      <c r="BR11" s="620" t="s">
        <v>28</v>
      </c>
      <c r="BS11" s="620"/>
      <c r="BT11" s="620"/>
      <c r="BU11" s="621"/>
    </row>
    <row r="12" spans="1:74" s="12" customFormat="1" ht="69.599999999999994" customHeight="1" x14ac:dyDescent="0.2">
      <c r="A12" s="641">
        <v>8</v>
      </c>
      <c r="B12" s="642"/>
      <c r="C12" s="638" t="s">
        <v>29</v>
      </c>
      <c r="D12" s="638"/>
      <c r="E12" s="638"/>
      <c r="F12" s="638"/>
      <c r="G12" s="638"/>
      <c r="H12" s="638"/>
      <c r="I12" s="647"/>
      <c r="J12" s="637" t="s">
        <v>32</v>
      </c>
      <c r="K12" s="638"/>
      <c r="L12" s="638"/>
      <c r="M12" s="638"/>
      <c r="N12" s="622" t="s">
        <v>33</v>
      </c>
      <c r="O12" s="622"/>
      <c r="P12" s="622"/>
      <c r="Q12" s="622"/>
      <c r="R12" s="646" t="s">
        <v>34</v>
      </c>
      <c r="S12" s="622"/>
      <c r="T12" s="622"/>
      <c r="U12" s="622"/>
      <c r="V12" s="635">
        <v>242</v>
      </c>
      <c r="W12" s="635"/>
      <c r="X12" s="635"/>
      <c r="Y12" s="636"/>
      <c r="Z12" s="637" t="s">
        <v>39</v>
      </c>
      <c r="AA12" s="638"/>
      <c r="AB12" s="638"/>
      <c r="AC12" s="638"/>
      <c r="AD12" s="622" t="s">
        <v>40</v>
      </c>
      <c r="AE12" s="622"/>
      <c r="AF12" s="622"/>
      <c r="AG12" s="622"/>
      <c r="AH12" s="646" t="s">
        <v>41</v>
      </c>
      <c r="AI12" s="622"/>
      <c r="AJ12" s="622"/>
      <c r="AK12" s="622"/>
      <c r="AL12" s="635">
        <v>173.34</v>
      </c>
      <c r="AM12" s="635"/>
      <c r="AN12" s="635"/>
      <c r="AO12" s="636"/>
      <c r="AP12" s="637" t="s">
        <v>46</v>
      </c>
      <c r="AQ12" s="638"/>
      <c r="AR12" s="638"/>
      <c r="AS12" s="638"/>
      <c r="AT12" s="622" t="s">
        <v>47</v>
      </c>
      <c r="AU12" s="622"/>
      <c r="AV12" s="622"/>
      <c r="AW12" s="622"/>
      <c r="AX12" s="639" t="s">
        <v>48</v>
      </c>
      <c r="AY12" s="640"/>
      <c r="AZ12" s="640"/>
      <c r="BA12" s="640"/>
      <c r="BB12" s="635">
        <v>228</v>
      </c>
      <c r="BC12" s="635"/>
      <c r="BD12" s="635"/>
      <c r="BE12" s="636"/>
      <c r="BF12" s="637" t="s">
        <v>394</v>
      </c>
      <c r="BG12" s="638"/>
      <c r="BH12" s="638"/>
      <c r="BI12" s="638"/>
      <c r="BJ12" s="622" t="s">
        <v>47</v>
      </c>
      <c r="BK12" s="622"/>
      <c r="BL12" s="622"/>
      <c r="BM12" s="622"/>
      <c r="BN12" s="639"/>
      <c r="BO12" s="640"/>
      <c r="BP12" s="640"/>
      <c r="BQ12" s="640"/>
      <c r="BR12" s="635">
        <v>146.97999999999999</v>
      </c>
      <c r="BS12" s="635"/>
      <c r="BT12" s="635"/>
      <c r="BU12" s="636"/>
      <c r="BV12" s="12">
        <f>(BR12+BB12+AL12+V12)/4</f>
        <v>197.58</v>
      </c>
    </row>
    <row r="13" spans="1:74" s="12" customFormat="1" ht="70.150000000000006" customHeight="1" x14ac:dyDescent="0.2">
      <c r="A13" s="641">
        <v>9</v>
      </c>
      <c r="B13" s="642"/>
      <c r="C13" s="643" t="s">
        <v>30</v>
      </c>
      <c r="D13" s="644"/>
      <c r="E13" s="644"/>
      <c r="F13" s="644"/>
      <c r="G13" s="644"/>
      <c r="H13" s="644"/>
      <c r="I13" s="645"/>
      <c r="J13" s="637" t="s">
        <v>32</v>
      </c>
      <c r="K13" s="638"/>
      <c r="L13" s="638"/>
      <c r="M13" s="638"/>
      <c r="N13" s="622" t="s">
        <v>35</v>
      </c>
      <c r="O13" s="622"/>
      <c r="P13" s="622"/>
      <c r="Q13" s="622"/>
      <c r="R13" s="646" t="s">
        <v>37</v>
      </c>
      <c r="S13" s="622"/>
      <c r="T13" s="622"/>
      <c r="U13" s="622"/>
      <c r="V13" s="635">
        <v>198</v>
      </c>
      <c r="W13" s="635"/>
      <c r="X13" s="635"/>
      <c r="Y13" s="636"/>
      <c r="Z13" s="637" t="s">
        <v>39</v>
      </c>
      <c r="AA13" s="638"/>
      <c r="AB13" s="638"/>
      <c r="AC13" s="638"/>
      <c r="AD13" s="622" t="s">
        <v>42</v>
      </c>
      <c r="AE13" s="622"/>
      <c r="AF13" s="622"/>
      <c r="AG13" s="622"/>
      <c r="AH13" s="646" t="s">
        <v>44</v>
      </c>
      <c r="AI13" s="622"/>
      <c r="AJ13" s="622"/>
      <c r="AK13" s="622"/>
      <c r="AL13" s="635">
        <v>173.34</v>
      </c>
      <c r="AM13" s="635"/>
      <c r="AN13" s="635"/>
      <c r="AO13" s="636"/>
      <c r="AP13" s="637" t="s">
        <v>46</v>
      </c>
      <c r="AQ13" s="638"/>
      <c r="AR13" s="638"/>
      <c r="AS13" s="638"/>
      <c r="AT13" s="622" t="s">
        <v>49</v>
      </c>
      <c r="AU13" s="622"/>
      <c r="AV13" s="622"/>
      <c r="AW13" s="622"/>
      <c r="AX13" s="639" t="s">
        <v>48</v>
      </c>
      <c r="AY13" s="640"/>
      <c r="AZ13" s="640"/>
      <c r="BA13" s="640"/>
      <c r="BB13" s="635">
        <v>179</v>
      </c>
      <c r="BC13" s="635"/>
      <c r="BD13" s="635"/>
      <c r="BE13" s="636"/>
      <c r="BF13" s="637" t="s">
        <v>394</v>
      </c>
      <c r="BG13" s="638"/>
      <c r="BH13" s="638"/>
      <c r="BI13" s="638"/>
      <c r="BJ13" s="622" t="s">
        <v>49</v>
      </c>
      <c r="BK13" s="622"/>
      <c r="BL13" s="622"/>
      <c r="BM13" s="622"/>
      <c r="BR13" s="635">
        <v>149.97999999999999</v>
      </c>
      <c r="BS13" s="635"/>
      <c r="BT13" s="635"/>
      <c r="BU13" s="636"/>
      <c r="BV13" s="12">
        <f>(BR13+BB13+AL13+V13)/4</f>
        <v>175.08</v>
      </c>
    </row>
    <row r="14" spans="1:74" s="12" customFormat="1" ht="75.599999999999994" customHeight="1" x14ac:dyDescent="0.2">
      <c r="A14" s="641">
        <v>10</v>
      </c>
      <c r="B14" s="642"/>
      <c r="C14" s="643" t="s">
        <v>31</v>
      </c>
      <c r="D14" s="644"/>
      <c r="E14" s="644"/>
      <c r="F14" s="644"/>
      <c r="G14" s="644"/>
      <c r="H14" s="644"/>
      <c r="I14" s="645"/>
      <c r="J14" s="637" t="s">
        <v>32</v>
      </c>
      <c r="K14" s="638"/>
      <c r="L14" s="638"/>
      <c r="M14" s="638"/>
      <c r="N14" s="622" t="s">
        <v>36</v>
      </c>
      <c r="O14" s="622"/>
      <c r="P14" s="622"/>
      <c r="Q14" s="622"/>
      <c r="R14" s="646" t="s">
        <v>38</v>
      </c>
      <c r="S14" s="622"/>
      <c r="T14" s="622"/>
      <c r="U14" s="622"/>
      <c r="V14" s="635">
        <v>96</v>
      </c>
      <c r="W14" s="635"/>
      <c r="X14" s="635"/>
      <c r="Y14" s="636"/>
      <c r="Z14" s="637" t="s">
        <v>39</v>
      </c>
      <c r="AA14" s="638"/>
      <c r="AB14" s="638"/>
      <c r="AC14" s="638"/>
      <c r="AD14" s="622" t="s">
        <v>43</v>
      </c>
      <c r="AE14" s="622"/>
      <c r="AF14" s="622"/>
      <c r="AG14" s="622"/>
      <c r="AH14" s="646" t="s">
        <v>45</v>
      </c>
      <c r="AI14" s="622"/>
      <c r="AJ14" s="622"/>
      <c r="AK14" s="622"/>
      <c r="AL14" s="635">
        <v>71.86</v>
      </c>
      <c r="AM14" s="635"/>
      <c r="AN14" s="635"/>
      <c r="AO14" s="636"/>
      <c r="AP14" s="637" t="s">
        <v>46</v>
      </c>
      <c r="AQ14" s="638"/>
      <c r="AR14" s="638"/>
      <c r="AS14" s="638"/>
      <c r="AT14" s="622" t="s">
        <v>50</v>
      </c>
      <c r="AU14" s="622"/>
      <c r="AV14" s="622"/>
      <c r="AW14" s="622"/>
      <c r="AX14" s="639" t="s">
        <v>48</v>
      </c>
      <c r="AY14" s="640"/>
      <c r="AZ14" s="640"/>
      <c r="BA14" s="640"/>
      <c r="BB14" s="635">
        <v>115</v>
      </c>
      <c r="BC14" s="635"/>
      <c r="BD14" s="635"/>
      <c r="BE14" s="636"/>
      <c r="BF14" s="637" t="s">
        <v>394</v>
      </c>
      <c r="BG14" s="638"/>
      <c r="BH14" s="638"/>
      <c r="BI14" s="638"/>
      <c r="BJ14" s="622" t="s">
        <v>50</v>
      </c>
      <c r="BK14" s="622"/>
      <c r="BL14" s="622"/>
      <c r="BM14" s="622"/>
      <c r="BN14" s="639"/>
      <c r="BO14" s="640"/>
      <c r="BP14" s="640"/>
      <c r="BQ14" s="640"/>
      <c r="BR14" s="635">
        <v>61.99</v>
      </c>
      <c r="BS14" s="635"/>
      <c r="BT14" s="635"/>
      <c r="BU14" s="636"/>
      <c r="BV14" s="12">
        <f>(BR14+BB14+AL14+V14)/4</f>
        <v>86.212500000000006</v>
      </c>
    </row>
    <row r="15" spans="1:74" s="12" customFormat="1" ht="15" customHeight="1" x14ac:dyDescent="0.2">
      <c r="A15" s="648"/>
      <c r="B15" s="649"/>
      <c r="C15" s="650"/>
      <c r="D15" s="651"/>
      <c r="E15" s="651"/>
      <c r="F15" s="651"/>
      <c r="G15" s="651"/>
      <c r="H15" s="651"/>
      <c r="I15" s="652"/>
      <c r="J15" s="653"/>
      <c r="K15" s="644"/>
      <c r="L15" s="644"/>
      <c r="M15" s="654"/>
      <c r="N15" s="655"/>
      <c r="O15" s="620"/>
      <c r="P15" s="620"/>
      <c r="Q15" s="656"/>
      <c r="R15" s="655"/>
      <c r="S15" s="620"/>
      <c r="T15" s="620"/>
      <c r="U15" s="656"/>
      <c r="V15" s="657"/>
      <c r="W15" s="658"/>
      <c r="X15" s="658"/>
      <c r="Y15" s="659"/>
      <c r="Z15" s="660"/>
      <c r="AA15" s="620"/>
      <c r="AB15" s="620"/>
      <c r="AC15" s="656"/>
      <c r="AD15" s="655"/>
      <c r="AE15" s="620"/>
      <c r="AF15" s="620"/>
      <c r="AG15" s="656"/>
      <c r="AH15" s="655"/>
      <c r="AI15" s="620"/>
      <c r="AJ15" s="620"/>
      <c r="AK15" s="656"/>
      <c r="AL15" s="657"/>
      <c r="AM15" s="658"/>
      <c r="AN15" s="658"/>
      <c r="AO15" s="659"/>
      <c r="AP15" s="675"/>
      <c r="AQ15" s="676"/>
      <c r="AR15" s="676"/>
      <c r="AS15" s="677"/>
      <c r="AT15" s="678"/>
      <c r="AU15" s="679"/>
      <c r="AV15" s="679"/>
      <c r="AW15" s="680"/>
      <c r="AX15" s="678"/>
      <c r="AY15" s="679"/>
      <c r="AZ15" s="679"/>
      <c r="BA15" s="680"/>
      <c r="BB15" s="657"/>
      <c r="BC15" s="658"/>
      <c r="BD15" s="658"/>
      <c r="BE15" s="659"/>
      <c r="BF15" s="675"/>
      <c r="BG15" s="676"/>
      <c r="BH15" s="676"/>
      <c r="BI15" s="677"/>
      <c r="BJ15" s="678"/>
      <c r="BK15" s="679"/>
      <c r="BL15" s="679"/>
      <c r="BM15" s="680"/>
      <c r="BN15" s="678"/>
      <c r="BO15" s="679"/>
      <c r="BP15" s="679"/>
      <c r="BQ15" s="680"/>
      <c r="BR15" s="657"/>
      <c r="BS15" s="658"/>
      <c r="BT15" s="658"/>
      <c r="BU15" s="659"/>
    </row>
    <row r="16" spans="1:74" ht="12.75" x14ac:dyDescent="0.2">
      <c r="A16" s="665"/>
      <c r="B16" s="666"/>
      <c r="C16" s="667"/>
      <c r="D16" s="667"/>
      <c r="E16" s="667"/>
      <c r="F16" s="667"/>
      <c r="G16" s="667"/>
      <c r="H16" s="667"/>
      <c r="I16" s="668"/>
      <c r="J16" s="669"/>
      <c r="K16" s="670"/>
      <c r="L16" s="670"/>
      <c r="M16" s="670"/>
      <c r="N16" s="671"/>
      <c r="O16" s="671"/>
      <c r="P16" s="671"/>
      <c r="Q16" s="671"/>
      <c r="R16" s="671"/>
      <c r="S16" s="671"/>
      <c r="T16" s="671"/>
      <c r="U16" s="671"/>
      <c r="V16" s="672"/>
      <c r="W16" s="672"/>
      <c r="X16" s="672"/>
      <c r="Y16" s="673"/>
      <c r="Z16" s="674"/>
      <c r="AA16" s="671"/>
      <c r="AB16" s="671"/>
      <c r="AC16" s="671"/>
      <c r="AD16" s="671"/>
      <c r="AE16" s="671"/>
      <c r="AF16" s="671"/>
      <c r="AG16" s="671"/>
      <c r="AH16" s="671"/>
      <c r="AI16" s="671"/>
      <c r="AJ16" s="671"/>
      <c r="AK16" s="671"/>
      <c r="AL16" s="672"/>
      <c r="AM16" s="672"/>
      <c r="AN16" s="672"/>
      <c r="AO16" s="673"/>
      <c r="AP16" s="681"/>
      <c r="AQ16" s="682"/>
      <c r="AR16" s="682"/>
      <c r="AS16" s="682"/>
      <c r="AT16" s="661"/>
      <c r="AU16" s="661"/>
      <c r="AV16" s="661"/>
      <c r="AW16" s="661"/>
      <c r="AX16" s="661"/>
      <c r="AY16" s="661"/>
      <c r="AZ16" s="661"/>
      <c r="BA16" s="661"/>
      <c r="BB16" s="661"/>
      <c r="BC16" s="661"/>
      <c r="BD16" s="661"/>
      <c r="BE16" s="662"/>
      <c r="BF16" s="681"/>
      <c r="BG16" s="682"/>
      <c r="BH16" s="682"/>
      <c r="BI16" s="682"/>
      <c r="BJ16" s="661"/>
      <c r="BK16" s="661"/>
      <c r="BL16" s="661"/>
      <c r="BM16" s="661"/>
      <c r="BN16" s="661"/>
      <c r="BO16" s="661"/>
      <c r="BP16" s="661"/>
      <c r="BQ16" s="661"/>
      <c r="BR16" s="661"/>
      <c r="BS16" s="661"/>
      <c r="BT16" s="661"/>
      <c r="BU16" s="662"/>
    </row>
    <row r="17" spans="1:73" ht="12.75" x14ac:dyDescent="0.2">
      <c r="A17" s="641"/>
      <c r="B17" s="642"/>
      <c r="C17" s="663"/>
      <c r="D17" s="663"/>
      <c r="E17" s="663"/>
      <c r="F17" s="663"/>
      <c r="G17" s="663"/>
      <c r="H17" s="663"/>
      <c r="I17" s="664"/>
      <c r="J17" s="585"/>
      <c r="K17" s="586"/>
      <c r="L17" s="586"/>
      <c r="M17" s="586"/>
      <c r="N17" s="586"/>
      <c r="O17" s="586"/>
      <c r="P17" s="586"/>
      <c r="Q17" s="586"/>
      <c r="R17" s="586"/>
      <c r="S17" s="586"/>
      <c r="T17" s="586"/>
      <c r="U17" s="586"/>
      <c r="V17" s="635"/>
      <c r="W17" s="635"/>
      <c r="X17" s="635"/>
      <c r="Y17" s="636"/>
      <c r="Z17" s="585"/>
      <c r="AA17" s="586"/>
      <c r="AB17" s="586"/>
      <c r="AC17" s="586"/>
      <c r="AD17" s="586"/>
      <c r="AE17" s="586"/>
      <c r="AF17" s="586"/>
      <c r="AG17" s="586"/>
      <c r="AH17" s="586"/>
      <c r="AI17" s="586"/>
      <c r="AJ17" s="586"/>
      <c r="AK17" s="586"/>
      <c r="AL17" s="635"/>
      <c r="AM17" s="635"/>
      <c r="AN17" s="635"/>
      <c r="AO17" s="636"/>
      <c r="AP17" s="585"/>
      <c r="AQ17" s="586"/>
      <c r="AR17" s="586"/>
      <c r="AS17" s="586"/>
      <c r="AT17" s="586"/>
      <c r="AU17" s="586"/>
      <c r="AV17" s="586"/>
      <c r="AW17" s="586"/>
      <c r="AX17" s="586"/>
      <c r="AY17" s="586"/>
      <c r="AZ17" s="586"/>
      <c r="BA17" s="586"/>
      <c r="BB17" s="586"/>
      <c r="BC17" s="586"/>
      <c r="BD17" s="586"/>
      <c r="BE17" s="587"/>
      <c r="BF17" s="585"/>
      <c r="BG17" s="586"/>
      <c r="BH17" s="586"/>
      <c r="BI17" s="586"/>
      <c r="BJ17" s="586"/>
      <c r="BK17" s="586"/>
      <c r="BL17" s="586"/>
      <c r="BM17" s="586"/>
      <c r="BN17" s="586"/>
      <c r="BO17" s="586"/>
      <c r="BP17" s="586"/>
      <c r="BQ17" s="586"/>
      <c r="BR17" s="586"/>
      <c r="BS17" s="586"/>
      <c r="BT17" s="586"/>
      <c r="BU17" s="587"/>
    </row>
    <row r="18" spans="1:73" ht="12.75" x14ac:dyDescent="0.2">
      <c r="A18" s="641"/>
      <c r="B18" s="642"/>
      <c r="C18" s="663"/>
      <c r="D18" s="663"/>
      <c r="E18" s="663"/>
      <c r="F18" s="663"/>
      <c r="G18" s="663"/>
      <c r="H18" s="663"/>
      <c r="I18" s="664"/>
      <c r="J18" s="585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635"/>
      <c r="W18" s="635"/>
      <c r="X18" s="635"/>
      <c r="Y18" s="636"/>
      <c r="Z18" s="585"/>
      <c r="AA18" s="586"/>
      <c r="AB18" s="586"/>
      <c r="AC18" s="586"/>
      <c r="AD18" s="586"/>
      <c r="AE18" s="586"/>
      <c r="AF18" s="586"/>
      <c r="AG18" s="586"/>
      <c r="AH18" s="586"/>
      <c r="AI18" s="586"/>
      <c r="AJ18" s="586"/>
      <c r="AK18" s="586"/>
      <c r="AL18" s="635"/>
      <c r="AM18" s="635"/>
      <c r="AN18" s="635"/>
      <c r="AO18" s="636"/>
      <c r="AP18" s="585"/>
      <c r="AQ18" s="586"/>
      <c r="AR18" s="586"/>
      <c r="AS18" s="586"/>
      <c r="AT18" s="586"/>
      <c r="AU18" s="586"/>
      <c r="AV18" s="586"/>
      <c r="AW18" s="586"/>
      <c r="AX18" s="586"/>
      <c r="AY18" s="586"/>
      <c r="AZ18" s="586"/>
      <c r="BA18" s="586"/>
      <c r="BB18" s="586"/>
      <c r="BC18" s="586"/>
      <c r="BD18" s="586"/>
      <c r="BE18" s="587"/>
      <c r="BF18" s="585"/>
      <c r="BG18" s="586"/>
      <c r="BH18" s="586"/>
      <c r="BI18" s="586"/>
      <c r="BJ18" s="586"/>
      <c r="BK18" s="586"/>
      <c r="BL18" s="586"/>
      <c r="BM18" s="586"/>
      <c r="BN18" s="586"/>
      <c r="BO18" s="586"/>
      <c r="BP18" s="586"/>
      <c r="BQ18" s="586"/>
      <c r="BR18" s="586"/>
      <c r="BS18" s="586"/>
      <c r="BT18" s="586"/>
      <c r="BU18" s="587"/>
    </row>
    <row r="19" spans="1:73" ht="12.75" x14ac:dyDescent="0.2">
      <c r="A19" s="641"/>
      <c r="B19" s="642"/>
      <c r="C19" s="663"/>
      <c r="D19" s="663"/>
      <c r="E19" s="663"/>
      <c r="F19" s="663"/>
      <c r="G19" s="663"/>
      <c r="H19" s="663"/>
      <c r="I19" s="664"/>
      <c r="J19" s="585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635"/>
      <c r="W19" s="635"/>
      <c r="X19" s="635"/>
      <c r="Y19" s="636"/>
      <c r="Z19" s="585"/>
      <c r="AA19" s="586"/>
      <c r="AB19" s="586"/>
      <c r="AC19" s="586"/>
      <c r="AD19" s="586"/>
      <c r="AE19" s="586"/>
      <c r="AF19" s="586"/>
      <c r="AG19" s="586"/>
      <c r="AH19" s="586"/>
      <c r="AI19" s="586"/>
      <c r="AJ19" s="586"/>
      <c r="AK19" s="586"/>
      <c r="AL19" s="635"/>
      <c r="AM19" s="635"/>
      <c r="AN19" s="635"/>
      <c r="AO19" s="636"/>
      <c r="AP19" s="585"/>
      <c r="AQ19" s="586"/>
      <c r="AR19" s="586"/>
      <c r="AS19" s="586"/>
      <c r="AT19" s="586"/>
      <c r="AU19" s="586"/>
      <c r="AV19" s="586"/>
      <c r="AW19" s="586"/>
      <c r="AX19" s="586"/>
      <c r="AY19" s="586"/>
      <c r="AZ19" s="586"/>
      <c r="BA19" s="586"/>
      <c r="BB19" s="586"/>
      <c r="BC19" s="586"/>
      <c r="BD19" s="586"/>
      <c r="BE19" s="587"/>
      <c r="BF19" s="585"/>
      <c r="BG19" s="586"/>
      <c r="BH19" s="586"/>
      <c r="BI19" s="586"/>
      <c r="BJ19" s="586"/>
      <c r="BK19" s="586"/>
      <c r="BL19" s="586"/>
      <c r="BM19" s="586"/>
      <c r="BN19" s="586"/>
      <c r="BO19" s="586"/>
      <c r="BP19" s="586"/>
      <c r="BQ19" s="586"/>
      <c r="BR19" s="586"/>
      <c r="BS19" s="586"/>
      <c r="BT19" s="586"/>
      <c r="BU19" s="587"/>
    </row>
    <row r="20" spans="1:73" ht="12.75" x14ac:dyDescent="0.2">
      <c r="A20" s="641"/>
      <c r="B20" s="642"/>
      <c r="C20" s="663"/>
      <c r="D20" s="663"/>
      <c r="E20" s="663"/>
      <c r="F20" s="663"/>
      <c r="G20" s="663"/>
      <c r="H20" s="663"/>
      <c r="I20" s="664"/>
      <c r="J20" s="585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635"/>
      <c r="W20" s="635"/>
      <c r="X20" s="635"/>
      <c r="Y20" s="636"/>
      <c r="Z20" s="585"/>
      <c r="AA20" s="586"/>
      <c r="AB20" s="586"/>
      <c r="AC20" s="586"/>
      <c r="AD20" s="586"/>
      <c r="AE20" s="586"/>
      <c r="AF20" s="586"/>
      <c r="AG20" s="586"/>
      <c r="AH20" s="586"/>
      <c r="AI20" s="586"/>
      <c r="AJ20" s="586"/>
      <c r="AK20" s="586"/>
      <c r="AL20" s="635"/>
      <c r="AM20" s="635"/>
      <c r="AN20" s="635"/>
      <c r="AO20" s="636"/>
      <c r="AP20" s="585"/>
      <c r="AQ20" s="586"/>
      <c r="AR20" s="586"/>
      <c r="AS20" s="586"/>
      <c r="AT20" s="586"/>
      <c r="AU20" s="586"/>
      <c r="AV20" s="586"/>
      <c r="AW20" s="586"/>
      <c r="AX20" s="586"/>
      <c r="AY20" s="586"/>
      <c r="AZ20" s="586"/>
      <c r="BA20" s="586"/>
      <c r="BB20" s="586"/>
      <c r="BC20" s="586"/>
      <c r="BD20" s="586"/>
      <c r="BE20" s="587"/>
      <c r="BF20" s="585"/>
      <c r="BG20" s="586"/>
      <c r="BH20" s="586"/>
      <c r="BI20" s="586"/>
      <c r="BJ20" s="586"/>
      <c r="BK20" s="586"/>
      <c r="BL20" s="586"/>
      <c r="BM20" s="586"/>
      <c r="BN20" s="586"/>
      <c r="BO20" s="586"/>
      <c r="BP20" s="586"/>
      <c r="BQ20" s="586"/>
      <c r="BR20" s="586"/>
      <c r="BS20" s="586"/>
      <c r="BT20" s="586"/>
      <c r="BU20" s="587"/>
    </row>
    <row r="21" spans="1:73" ht="12.75" x14ac:dyDescent="0.2">
      <c r="A21" s="641"/>
      <c r="B21" s="642"/>
      <c r="C21" s="663"/>
      <c r="D21" s="663"/>
      <c r="E21" s="663"/>
      <c r="F21" s="663"/>
      <c r="G21" s="663"/>
      <c r="H21" s="663"/>
      <c r="I21" s="664"/>
      <c r="J21" s="585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  <c r="W21" s="586"/>
      <c r="X21" s="586"/>
      <c r="Y21" s="587"/>
      <c r="Z21" s="585"/>
      <c r="AA21" s="586"/>
      <c r="AB21" s="586"/>
      <c r="AC21" s="586"/>
      <c r="AD21" s="586"/>
      <c r="AE21" s="586"/>
      <c r="AF21" s="586"/>
      <c r="AG21" s="586"/>
      <c r="AH21" s="586"/>
      <c r="AI21" s="586"/>
      <c r="AJ21" s="586"/>
      <c r="AK21" s="586"/>
      <c r="AL21" s="635"/>
      <c r="AM21" s="635"/>
      <c r="AN21" s="635"/>
      <c r="AO21" s="636"/>
      <c r="AP21" s="585"/>
      <c r="AQ21" s="586"/>
      <c r="AR21" s="586"/>
      <c r="AS21" s="586"/>
      <c r="AT21" s="586"/>
      <c r="AU21" s="586"/>
      <c r="AV21" s="586"/>
      <c r="AW21" s="586"/>
      <c r="AX21" s="586"/>
      <c r="AY21" s="586"/>
      <c r="AZ21" s="586"/>
      <c r="BA21" s="586"/>
      <c r="BB21" s="586"/>
      <c r="BC21" s="586"/>
      <c r="BD21" s="586"/>
      <c r="BE21" s="587"/>
      <c r="BF21" s="585"/>
      <c r="BG21" s="586"/>
      <c r="BH21" s="586"/>
      <c r="BI21" s="586"/>
      <c r="BJ21" s="586"/>
      <c r="BK21" s="586"/>
      <c r="BL21" s="586"/>
      <c r="BM21" s="586"/>
      <c r="BN21" s="586"/>
      <c r="BO21" s="586"/>
      <c r="BP21" s="586"/>
      <c r="BQ21" s="586"/>
      <c r="BR21" s="586"/>
      <c r="BS21" s="586"/>
      <c r="BT21" s="586"/>
      <c r="BU21" s="587"/>
    </row>
    <row r="22" spans="1:73" ht="12.75" x14ac:dyDescent="0.2">
      <c r="A22" s="641"/>
      <c r="B22" s="642"/>
      <c r="C22" s="663"/>
      <c r="D22" s="663"/>
      <c r="E22" s="663"/>
      <c r="F22" s="663"/>
      <c r="G22" s="663"/>
      <c r="H22" s="663"/>
      <c r="I22" s="664"/>
      <c r="J22" s="585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  <c r="W22" s="586"/>
      <c r="X22" s="586"/>
      <c r="Y22" s="587"/>
      <c r="Z22" s="585"/>
      <c r="AA22" s="586"/>
      <c r="AB22" s="586"/>
      <c r="AC22" s="586"/>
      <c r="AD22" s="586"/>
      <c r="AE22" s="586"/>
      <c r="AF22" s="586"/>
      <c r="AG22" s="586"/>
      <c r="AH22" s="586"/>
      <c r="AI22" s="586"/>
      <c r="AJ22" s="586"/>
      <c r="AK22" s="586"/>
      <c r="AL22" s="635"/>
      <c r="AM22" s="635"/>
      <c r="AN22" s="635"/>
      <c r="AO22" s="636"/>
      <c r="AP22" s="585"/>
      <c r="AQ22" s="586"/>
      <c r="AR22" s="586"/>
      <c r="AS22" s="586"/>
      <c r="AT22" s="586"/>
      <c r="AU22" s="586"/>
      <c r="AV22" s="586"/>
      <c r="AW22" s="586"/>
      <c r="AX22" s="586"/>
      <c r="AY22" s="586"/>
      <c r="AZ22" s="586"/>
      <c r="BA22" s="586"/>
      <c r="BB22" s="586"/>
      <c r="BC22" s="586"/>
      <c r="BD22" s="586"/>
      <c r="BE22" s="587"/>
      <c r="BF22" s="585"/>
      <c r="BG22" s="586"/>
      <c r="BH22" s="586"/>
      <c r="BI22" s="586"/>
      <c r="BJ22" s="586"/>
      <c r="BK22" s="586"/>
      <c r="BL22" s="586"/>
      <c r="BM22" s="586"/>
      <c r="BN22" s="586"/>
      <c r="BO22" s="586"/>
      <c r="BP22" s="586"/>
      <c r="BQ22" s="586"/>
      <c r="BR22" s="586"/>
      <c r="BS22" s="586"/>
      <c r="BT22" s="586"/>
      <c r="BU22" s="587"/>
    </row>
    <row r="23" spans="1:73" ht="13.5" thickBot="1" x14ac:dyDescent="0.25">
      <c r="A23" s="683"/>
      <c r="B23" s="684"/>
      <c r="C23" s="685"/>
      <c r="D23" s="685"/>
      <c r="E23" s="685"/>
      <c r="F23" s="685"/>
      <c r="G23" s="685"/>
      <c r="H23" s="685"/>
      <c r="I23" s="686"/>
      <c r="J23" s="588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90"/>
      <c r="Z23" s="588"/>
      <c r="AA23" s="589"/>
      <c r="AB23" s="589"/>
      <c r="AC23" s="589"/>
      <c r="AD23" s="589"/>
      <c r="AE23" s="589"/>
      <c r="AF23" s="589"/>
      <c r="AG23" s="589"/>
      <c r="AH23" s="589"/>
      <c r="AI23" s="589"/>
      <c r="AJ23" s="589"/>
      <c r="AK23" s="589"/>
      <c r="AL23" s="690"/>
      <c r="AM23" s="690"/>
      <c r="AN23" s="690"/>
      <c r="AO23" s="691"/>
      <c r="AP23" s="588"/>
      <c r="AQ23" s="589"/>
      <c r="AR23" s="589"/>
      <c r="AS23" s="589"/>
      <c r="AT23" s="589"/>
      <c r="AU23" s="589"/>
      <c r="AV23" s="589"/>
      <c r="AW23" s="589"/>
      <c r="AX23" s="589"/>
      <c r="AY23" s="589"/>
      <c r="AZ23" s="589"/>
      <c r="BA23" s="589"/>
      <c r="BB23" s="589"/>
      <c r="BC23" s="589"/>
      <c r="BD23" s="589"/>
      <c r="BE23" s="590"/>
      <c r="BF23" s="588"/>
      <c r="BG23" s="589"/>
      <c r="BH23" s="589"/>
      <c r="BI23" s="589"/>
      <c r="BJ23" s="589"/>
      <c r="BK23" s="589"/>
      <c r="BL23" s="589"/>
      <c r="BM23" s="589"/>
      <c r="BN23" s="589"/>
      <c r="BO23" s="589"/>
      <c r="BP23" s="589"/>
      <c r="BQ23" s="589"/>
      <c r="BR23" s="589"/>
      <c r="BS23" s="589"/>
      <c r="BT23" s="589"/>
      <c r="BU23" s="590"/>
    </row>
    <row r="24" spans="1:73" ht="15.75" x14ac:dyDescent="0.2">
      <c r="A24" s="13"/>
      <c r="B24" s="14"/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4"/>
      <c r="Y24" s="14"/>
      <c r="Z24" s="18"/>
      <c r="AA24" s="14"/>
      <c r="AB24" s="14"/>
      <c r="AC24" s="14"/>
      <c r="AD24" s="14"/>
      <c r="AE24" s="14"/>
      <c r="AF24" s="14"/>
      <c r="AG24" s="14"/>
      <c r="AH24" s="18"/>
      <c r="AI24" s="14"/>
      <c r="AJ24" s="14"/>
      <c r="AK24" s="14"/>
      <c r="AL24" s="18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9"/>
      <c r="AY24" s="19"/>
      <c r="AZ24" s="19"/>
      <c r="BA24" s="19"/>
      <c r="BB24" s="19"/>
      <c r="BC24" s="19"/>
      <c r="BD24" s="19"/>
      <c r="BE24" s="20"/>
      <c r="BF24" s="14"/>
      <c r="BG24" s="14"/>
      <c r="BH24" s="14"/>
      <c r="BI24" s="14"/>
      <c r="BJ24" s="14"/>
      <c r="BK24" s="14"/>
      <c r="BL24" s="14"/>
      <c r="BM24" s="14"/>
      <c r="BN24" s="19"/>
      <c r="BO24" s="19"/>
      <c r="BP24" s="19"/>
      <c r="BQ24" s="19"/>
      <c r="BR24" s="19"/>
      <c r="BS24" s="19"/>
      <c r="BT24" s="19"/>
      <c r="BU24" s="20"/>
    </row>
    <row r="25" spans="1:73" ht="15" customHeight="1" x14ac:dyDescent="0.2">
      <c r="A25" s="8"/>
      <c r="B25" s="687" t="s">
        <v>12</v>
      </c>
      <c r="C25" s="688"/>
      <c r="D25" s="688"/>
      <c r="E25" s="688"/>
      <c r="F25" s="688"/>
      <c r="G25" s="688"/>
      <c r="H25" s="688"/>
      <c r="I25" s="688"/>
      <c r="J25" s="688"/>
      <c r="K25" s="688"/>
      <c r="L25" s="688"/>
      <c r="M25" s="688"/>
      <c r="N25" s="688"/>
      <c r="O25" s="688"/>
      <c r="P25" s="688"/>
      <c r="Q25" s="688"/>
      <c r="R25" s="688"/>
      <c r="S25" s="688"/>
      <c r="T25" s="688"/>
      <c r="U25" s="688"/>
      <c r="V25" s="688"/>
      <c r="W25" s="688"/>
      <c r="X25" s="688"/>
      <c r="Y25" s="688"/>
      <c r="Z25" s="688"/>
      <c r="AA25" s="688"/>
      <c r="AB25" s="689"/>
      <c r="AC25" s="687" t="s">
        <v>13</v>
      </c>
      <c r="AD25" s="688"/>
      <c r="AE25" s="688"/>
      <c r="AF25" s="688"/>
      <c r="AG25" s="688"/>
      <c r="AH25" s="688"/>
      <c r="AI25" s="688"/>
      <c r="AJ25" s="688"/>
      <c r="AK25" s="688"/>
      <c r="AL25" s="688"/>
      <c r="AM25" s="688"/>
      <c r="AN25" s="688"/>
      <c r="AO25" s="688"/>
      <c r="AP25" s="687" t="s">
        <v>14</v>
      </c>
      <c r="AQ25" s="688"/>
      <c r="AR25" s="688"/>
      <c r="AS25" s="688"/>
      <c r="AT25" s="688"/>
      <c r="AU25" s="688"/>
      <c r="AV25" s="688"/>
      <c r="AW25" s="688"/>
      <c r="AX25" s="688"/>
      <c r="AY25" s="688"/>
      <c r="AZ25" s="688"/>
      <c r="BA25" s="688"/>
      <c r="BB25" s="688"/>
      <c r="BC25" s="688"/>
      <c r="BD25" s="688"/>
      <c r="BE25" s="689"/>
      <c r="BF25" s="687" t="s">
        <v>14</v>
      </c>
      <c r="BG25" s="688"/>
      <c r="BH25" s="688"/>
      <c r="BI25" s="688"/>
      <c r="BJ25" s="688"/>
      <c r="BK25" s="688"/>
      <c r="BL25" s="688"/>
      <c r="BM25" s="688"/>
      <c r="BN25" s="688"/>
      <c r="BO25" s="688"/>
      <c r="BP25" s="688"/>
      <c r="BQ25" s="688"/>
      <c r="BR25" s="688"/>
      <c r="BS25" s="688"/>
      <c r="BT25" s="688"/>
      <c r="BU25" s="689"/>
    </row>
    <row r="26" spans="1:73" ht="9.9499999999999993" customHeight="1" x14ac:dyDescent="0.25">
      <c r="A26" s="8"/>
      <c r="B26" s="708"/>
      <c r="C26" s="709"/>
      <c r="D26" s="709"/>
      <c r="E26" s="709"/>
      <c r="F26" s="709"/>
      <c r="G26" s="709"/>
      <c r="H26" s="709"/>
      <c r="I26" s="709"/>
      <c r="J26" s="709"/>
      <c r="K26" s="709"/>
      <c r="L26" s="709"/>
      <c r="M26" s="709"/>
      <c r="N26" s="709"/>
      <c r="O26" s="709"/>
      <c r="P26" s="709"/>
      <c r="Q26" s="709"/>
      <c r="R26" s="709"/>
      <c r="S26" s="709"/>
      <c r="T26" s="709"/>
      <c r="U26" s="709"/>
      <c r="V26" s="709"/>
      <c r="W26" s="709"/>
      <c r="X26" s="709"/>
      <c r="Y26" s="709"/>
      <c r="Z26" s="709"/>
      <c r="AA26" s="709"/>
      <c r="AB26" s="710"/>
      <c r="AC26" s="711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692"/>
      <c r="AQ26" s="693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1"/>
      <c r="BF26" s="692"/>
      <c r="BG26" s="693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1"/>
    </row>
    <row r="27" spans="1:73" ht="12.75" customHeight="1" x14ac:dyDescent="0.25">
      <c r="A27" s="8"/>
      <c r="B27" s="708"/>
      <c r="C27" s="709"/>
      <c r="D27" s="709"/>
      <c r="E27" s="709"/>
      <c r="F27" s="709"/>
      <c r="G27" s="709"/>
      <c r="H27" s="709"/>
      <c r="I27" s="709"/>
      <c r="J27" s="709"/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10"/>
      <c r="AC27" s="711"/>
      <c r="AD27" s="79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692"/>
      <c r="AQ27" s="693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3"/>
      <c r="BF27" s="692"/>
      <c r="BG27" s="693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3"/>
    </row>
    <row r="28" spans="1:73" ht="12.75" customHeight="1" x14ac:dyDescent="0.2">
      <c r="A28" s="8"/>
      <c r="B28" s="708"/>
      <c r="C28" s="709"/>
      <c r="D28" s="709"/>
      <c r="E28" s="709"/>
      <c r="F28" s="709"/>
      <c r="G28" s="709"/>
      <c r="H28" s="709"/>
      <c r="I28" s="709"/>
      <c r="J28" s="709"/>
      <c r="K28" s="709"/>
      <c r="L28" s="709"/>
      <c r="M28" s="709"/>
      <c r="N28" s="709"/>
      <c r="O28" s="709"/>
      <c r="P28" s="709"/>
      <c r="Q28" s="709"/>
      <c r="R28" s="709"/>
      <c r="S28" s="709"/>
      <c r="T28" s="709"/>
      <c r="U28" s="709"/>
      <c r="V28" s="709"/>
      <c r="W28" s="709"/>
      <c r="X28" s="709"/>
      <c r="Y28" s="709"/>
      <c r="Z28" s="709"/>
      <c r="AA28" s="709"/>
      <c r="AB28" s="710"/>
      <c r="AC28" s="712"/>
      <c r="AD28" s="722" t="s">
        <v>15</v>
      </c>
      <c r="AE28" s="722"/>
      <c r="AF28" s="722"/>
      <c r="AG28" s="722"/>
      <c r="AH28" s="722"/>
      <c r="AI28" s="722"/>
      <c r="AJ28" s="722"/>
      <c r="AK28" s="722"/>
      <c r="AL28" s="722"/>
      <c r="AM28" s="722"/>
      <c r="AN28" s="722"/>
      <c r="AO28" s="722"/>
      <c r="AP28" s="694"/>
      <c r="AQ28" s="695"/>
      <c r="AR28" s="695" t="s">
        <v>15</v>
      </c>
      <c r="AS28" s="695"/>
      <c r="AT28" s="695"/>
      <c r="AU28" s="695"/>
      <c r="AV28" s="695"/>
      <c r="AW28" s="695"/>
      <c r="AX28" s="695"/>
      <c r="AY28" s="695"/>
      <c r="AZ28" s="695"/>
      <c r="BA28" s="695"/>
      <c r="BB28" s="695"/>
      <c r="BC28" s="695"/>
      <c r="BD28" s="695"/>
      <c r="BE28" s="696"/>
      <c r="BF28" s="694"/>
      <c r="BG28" s="695"/>
      <c r="BH28" s="695" t="s">
        <v>15</v>
      </c>
      <c r="BI28" s="695"/>
      <c r="BJ28" s="695"/>
      <c r="BK28" s="695"/>
      <c r="BL28" s="695"/>
      <c r="BM28" s="695"/>
      <c r="BN28" s="695"/>
      <c r="BO28" s="695"/>
      <c r="BP28" s="695"/>
      <c r="BQ28" s="695"/>
      <c r="BR28" s="695"/>
      <c r="BS28" s="695"/>
      <c r="BT28" s="695"/>
      <c r="BU28" s="696"/>
    </row>
    <row r="29" spans="1:73" ht="12.75" x14ac:dyDescent="0.2">
      <c r="A29" s="8"/>
      <c r="B29" s="708"/>
      <c r="C29" s="709"/>
      <c r="D29" s="709"/>
      <c r="E29" s="709"/>
      <c r="F29" s="709"/>
      <c r="G29" s="709"/>
      <c r="H29" s="709"/>
      <c r="I29" s="709"/>
      <c r="J29" s="709"/>
      <c r="K29" s="709"/>
      <c r="L29" s="709"/>
      <c r="M29" s="709"/>
      <c r="N29" s="709"/>
      <c r="O29" s="709"/>
      <c r="P29" s="709"/>
      <c r="Q29" s="709"/>
      <c r="R29" s="709"/>
      <c r="S29" s="709"/>
      <c r="T29" s="709"/>
      <c r="U29" s="709"/>
      <c r="V29" s="709"/>
      <c r="W29" s="709"/>
      <c r="X29" s="709"/>
      <c r="Y29" s="709"/>
      <c r="Z29" s="709"/>
      <c r="AA29" s="709"/>
      <c r="AB29" s="710"/>
      <c r="AC29" s="687" t="s">
        <v>16</v>
      </c>
      <c r="AD29" s="688"/>
      <c r="AE29" s="688"/>
      <c r="AF29" s="688"/>
      <c r="AG29" s="688"/>
      <c r="AH29" s="688"/>
      <c r="AI29" s="688"/>
      <c r="AJ29" s="688"/>
      <c r="AK29" s="688"/>
      <c r="AL29" s="688"/>
      <c r="AM29" s="688"/>
      <c r="AN29" s="688"/>
      <c r="AO29" s="689"/>
      <c r="AP29" s="687" t="s">
        <v>17</v>
      </c>
      <c r="AQ29" s="688"/>
      <c r="AR29" s="688"/>
      <c r="AS29" s="688"/>
      <c r="AT29" s="688"/>
      <c r="AU29" s="689"/>
      <c r="AV29" s="687" t="s">
        <v>16</v>
      </c>
      <c r="AW29" s="688"/>
      <c r="AX29" s="688"/>
      <c r="AY29" s="688"/>
      <c r="AZ29" s="688"/>
      <c r="BA29" s="688"/>
      <c r="BB29" s="688"/>
      <c r="BC29" s="688"/>
      <c r="BD29" s="688"/>
      <c r="BE29" s="707"/>
      <c r="BF29" s="687" t="s">
        <v>17</v>
      </c>
      <c r="BG29" s="688"/>
      <c r="BH29" s="688"/>
      <c r="BI29" s="688"/>
      <c r="BJ29" s="688"/>
      <c r="BK29" s="689"/>
      <c r="BL29" s="687" t="s">
        <v>16</v>
      </c>
      <c r="BM29" s="688"/>
      <c r="BN29" s="688"/>
      <c r="BO29" s="688"/>
      <c r="BP29" s="688"/>
      <c r="BQ29" s="688"/>
      <c r="BR29" s="688"/>
      <c r="BS29" s="688"/>
      <c r="BT29" s="688"/>
      <c r="BU29" s="707"/>
    </row>
    <row r="30" spans="1:73" ht="12" customHeight="1" x14ac:dyDescent="0.2">
      <c r="A30" s="8"/>
      <c r="B30" s="708"/>
      <c r="C30" s="709"/>
      <c r="D30" s="709"/>
      <c r="E30" s="709"/>
      <c r="F30" s="709"/>
      <c r="G30" s="709"/>
      <c r="H30" s="709"/>
      <c r="I30" s="709"/>
      <c r="J30" s="709"/>
      <c r="K30" s="709"/>
      <c r="L30" s="709"/>
      <c r="M30" s="709"/>
      <c r="N30" s="709"/>
      <c r="O30" s="709"/>
      <c r="P30" s="709"/>
      <c r="Q30" s="709"/>
      <c r="R30" s="709"/>
      <c r="S30" s="709"/>
      <c r="T30" s="709"/>
      <c r="U30" s="709"/>
      <c r="V30" s="709"/>
      <c r="W30" s="709"/>
      <c r="X30" s="709"/>
      <c r="Y30" s="709"/>
      <c r="Z30" s="709"/>
      <c r="AA30" s="709"/>
      <c r="AB30" s="710"/>
      <c r="AC30" s="713"/>
      <c r="AD30" s="714"/>
      <c r="AE30" s="714"/>
      <c r="AF30" s="714"/>
      <c r="AG30" s="714"/>
      <c r="AH30" s="714"/>
      <c r="AI30" s="714"/>
      <c r="AJ30" s="714"/>
      <c r="AK30" s="714"/>
      <c r="AL30" s="714"/>
      <c r="AM30" s="714"/>
      <c r="AN30" s="714"/>
      <c r="AO30" s="715"/>
      <c r="AP30" s="716"/>
      <c r="AQ30" s="717"/>
      <c r="AR30" s="717"/>
      <c r="AS30" s="717"/>
      <c r="AT30" s="717"/>
      <c r="AU30" s="718"/>
      <c r="AV30" s="697"/>
      <c r="AW30" s="698"/>
      <c r="AX30" s="698"/>
      <c r="AY30" s="698"/>
      <c r="AZ30" s="698"/>
      <c r="BA30" s="698"/>
      <c r="BB30" s="698"/>
      <c r="BC30" s="698"/>
      <c r="BD30" s="698"/>
      <c r="BE30" s="699"/>
      <c r="BF30" s="716"/>
      <c r="BG30" s="717"/>
      <c r="BH30" s="717"/>
      <c r="BI30" s="717"/>
      <c r="BJ30" s="717"/>
      <c r="BK30" s="718"/>
      <c r="BL30" s="697"/>
      <c r="BM30" s="698"/>
      <c r="BN30" s="698"/>
      <c r="BO30" s="698"/>
      <c r="BP30" s="698"/>
      <c r="BQ30" s="698"/>
      <c r="BR30" s="698"/>
      <c r="BS30" s="698"/>
      <c r="BT30" s="698"/>
      <c r="BU30" s="699"/>
    </row>
    <row r="31" spans="1:73" ht="15" x14ac:dyDescent="0.2">
      <c r="A31" s="8"/>
      <c r="B31" s="700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2"/>
      <c r="AC31" s="703"/>
      <c r="AD31" s="704"/>
      <c r="AE31" s="704"/>
      <c r="AF31" s="704"/>
      <c r="AG31" s="704"/>
      <c r="AH31" s="704"/>
      <c r="AI31" s="704"/>
      <c r="AJ31" s="704"/>
      <c r="AK31" s="704"/>
      <c r="AL31" s="704"/>
      <c r="AM31" s="704"/>
      <c r="AN31" s="704"/>
      <c r="AO31" s="705"/>
      <c r="AP31" s="719"/>
      <c r="AQ31" s="720"/>
      <c r="AR31" s="720"/>
      <c r="AS31" s="720"/>
      <c r="AT31" s="720"/>
      <c r="AU31" s="721"/>
      <c r="AV31" s="703"/>
      <c r="AW31" s="704"/>
      <c r="AX31" s="704"/>
      <c r="AY31" s="704"/>
      <c r="AZ31" s="704"/>
      <c r="BA31" s="704"/>
      <c r="BB31" s="704"/>
      <c r="BC31" s="704"/>
      <c r="BD31" s="704"/>
      <c r="BE31" s="706"/>
      <c r="BF31" s="719"/>
      <c r="BG31" s="720"/>
      <c r="BH31" s="720"/>
      <c r="BI31" s="720"/>
      <c r="BJ31" s="720"/>
      <c r="BK31" s="721"/>
      <c r="BL31" s="703"/>
      <c r="BM31" s="704"/>
      <c r="BN31" s="704"/>
      <c r="BO31" s="704"/>
      <c r="BP31" s="704"/>
      <c r="BQ31" s="704"/>
      <c r="BR31" s="704"/>
      <c r="BS31" s="704"/>
      <c r="BT31" s="704"/>
      <c r="BU31" s="706"/>
    </row>
    <row r="32" spans="1:73" ht="13.5" thickBot="1" x14ac:dyDescent="0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1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1"/>
    </row>
    <row r="33" ht="12.75" x14ac:dyDescent="0.2"/>
    <row r="34" ht="12.75" x14ac:dyDescent="0.2"/>
  </sheetData>
  <sheetProtection selectLockedCells="1"/>
  <protectedRanges>
    <protectedRange sqref="AC30:AO31 AV30:BE31 BL30:BU31" name="Intervalo1_2_1_1"/>
  </protectedRanges>
  <mergeCells count="274">
    <mergeCell ref="BF26:BG28"/>
    <mergeCell ref="BH28:BU28"/>
    <mergeCell ref="BF29:BK29"/>
    <mergeCell ref="BL29:BU29"/>
    <mergeCell ref="BF30:BK31"/>
    <mergeCell ref="BL30:BU30"/>
    <mergeCell ref="BL31:BU31"/>
    <mergeCell ref="BF22:BI22"/>
    <mergeCell ref="BJ22:BM22"/>
    <mergeCell ref="BN22:BQ22"/>
    <mergeCell ref="BR22:BU22"/>
    <mergeCell ref="BF23:BI23"/>
    <mergeCell ref="BJ23:BM23"/>
    <mergeCell ref="BN23:BQ23"/>
    <mergeCell ref="BR23:BU23"/>
    <mergeCell ref="BF25:BU25"/>
    <mergeCell ref="BF19:BI19"/>
    <mergeCell ref="BJ19:BM19"/>
    <mergeCell ref="BN19:BQ19"/>
    <mergeCell ref="BR19:BU19"/>
    <mergeCell ref="BF20:BI20"/>
    <mergeCell ref="BJ20:BM20"/>
    <mergeCell ref="BN20:BQ20"/>
    <mergeCell ref="BR20:BU20"/>
    <mergeCell ref="BF21:BI21"/>
    <mergeCell ref="BJ21:BM21"/>
    <mergeCell ref="BN21:BQ21"/>
    <mergeCell ref="BR21:BU21"/>
    <mergeCell ref="BF16:BI16"/>
    <mergeCell ref="BJ16:BM16"/>
    <mergeCell ref="BN16:BQ16"/>
    <mergeCell ref="BR16:BU16"/>
    <mergeCell ref="BF17:BI17"/>
    <mergeCell ref="BJ17:BM17"/>
    <mergeCell ref="BN17:BQ17"/>
    <mergeCell ref="BR17:BU17"/>
    <mergeCell ref="BF18:BI18"/>
    <mergeCell ref="BJ18:BM18"/>
    <mergeCell ref="BN18:BQ18"/>
    <mergeCell ref="BR18:BU18"/>
    <mergeCell ref="BF13:BI13"/>
    <mergeCell ref="BJ13:BM13"/>
    <mergeCell ref="BN14:BQ14"/>
    <mergeCell ref="BR13:BU13"/>
    <mergeCell ref="BF14:BI14"/>
    <mergeCell ref="BJ14:BM14"/>
    <mergeCell ref="BR14:BU14"/>
    <mergeCell ref="BF15:BI15"/>
    <mergeCell ref="BJ15:BM15"/>
    <mergeCell ref="BN15:BQ15"/>
    <mergeCell ref="BR15:BU15"/>
    <mergeCell ref="BF10:BU10"/>
    <mergeCell ref="BF11:BI11"/>
    <mergeCell ref="BJ11:BM11"/>
    <mergeCell ref="BN11:BQ11"/>
    <mergeCell ref="BR11:BU11"/>
    <mergeCell ref="BF12:BI12"/>
    <mergeCell ref="BJ12:BM12"/>
    <mergeCell ref="BN12:BQ12"/>
    <mergeCell ref="BR12:BU12"/>
    <mergeCell ref="AP26:AQ28"/>
    <mergeCell ref="AR28:BE28"/>
    <mergeCell ref="AV30:BE30"/>
    <mergeCell ref="B31:AB31"/>
    <mergeCell ref="AC31:AO31"/>
    <mergeCell ref="AV31:BE31"/>
    <mergeCell ref="AC29:AO29"/>
    <mergeCell ref="AP29:AU29"/>
    <mergeCell ref="AV29:BE29"/>
    <mergeCell ref="B26:B30"/>
    <mergeCell ref="C26:AA30"/>
    <mergeCell ref="AB26:AB30"/>
    <mergeCell ref="AC26:AC28"/>
    <mergeCell ref="AC30:AO30"/>
    <mergeCell ref="AP30:AU31"/>
    <mergeCell ref="AD28:AO28"/>
    <mergeCell ref="A23:B23"/>
    <mergeCell ref="C23:I23"/>
    <mergeCell ref="J23:M23"/>
    <mergeCell ref="N23:Q23"/>
    <mergeCell ref="R23:U23"/>
    <mergeCell ref="AT23:AW23"/>
    <mergeCell ref="AX23:BA23"/>
    <mergeCell ref="BB23:BE23"/>
    <mergeCell ref="B25:AB25"/>
    <mergeCell ref="V23:Y23"/>
    <mergeCell ref="Z23:AC23"/>
    <mergeCell ref="AD23:AG23"/>
    <mergeCell ref="AH23:AK23"/>
    <mergeCell ref="AL23:AO23"/>
    <mergeCell ref="AP23:AS23"/>
    <mergeCell ref="AC25:AO25"/>
    <mergeCell ref="AP25:BE25"/>
    <mergeCell ref="AL21:AO21"/>
    <mergeCell ref="AP21:AS21"/>
    <mergeCell ref="AT21:AW21"/>
    <mergeCell ref="AX21:BA21"/>
    <mergeCell ref="AL22:AO22"/>
    <mergeCell ref="AP22:AS22"/>
    <mergeCell ref="AT22:AW22"/>
    <mergeCell ref="AX22:BA22"/>
    <mergeCell ref="BB22:BE22"/>
    <mergeCell ref="A22:B22"/>
    <mergeCell ref="C22:I22"/>
    <mergeCell ref="J22:M22"/>
    <mergeCell ref="N22:Q22"/>
    <mergeCell ref="R22:U22"/>
    <mergeCell ref="V22:Y22"/>
    <mergeCell ref="Z22:AC22"/>
    <mergeCell ref="AD22:AG22"/>
    <mergeCell ref="AH22:AK22"/>
    <mergeCell ref="A20:B20"/>
    <mergeCell ref="C20:I20"/>
    <mergeCell ref="J20:M20"/>
    <mergeCell ref="N20:Q20"/>
    <mergeCell ref="R20:U20"/>
    <mergeCell ref="AT20:AW20"/>
    <mergeCell ref="AX20:BA20"/>
    <mergeCell ref="BB20:BE20"/>
    <mergeCell ref="A21:B21"/>
    <mergeCell ref="C21:I21"/>
    <mergeCell ref="J21:M21"/>
    <mergeCell ref="N21:Q21"/>
    <mergeCell ref="R21:U21"/>
    <mergeCell ref="V21:Y21"/>
    <mergeCell ref="Z21:AC21"/>
    <mergeCell ref="V20:Y20"/>
    <mergeCell ref="Z20:AC20"/>
    <mergeCell ref="AD20:AG20"/>
    <mergeCell ref="AH20:AK20"/>
    <mergeCell ref="AL20:AO20"/>
    <mergeCell ref="AP20:AS20"/>
    <mergeCell ref="BB21:BE21"/>
    <mergeCell ref="AD21:AG21"/>
    <mergeCell ref="AH21:AK21"/>
    <mergeCell ref="BB18:BE18"/>
    <mergeCell ref="A19:B19"/>
    <mergeCell ref="C19:I19"/>
    <mergeCell ref="J19:M19"/>
    <mergeCell ref="N19:Q19"/>
    <mergeCell ref="R19:U19"/>
    <mergeCell ref="V19:Y19"/>
    <mergeCell ref="Z19:AC19"/>
    <mergeCell ref="AD19:AG19"/>
    <mergeCell ref="AH19:AK19"/>
    <mergeCell ref="AD18:AG18"/>
    <mergeCell ref="AH18:AK18"/>
    <mergeCell ref="AL18:AO18"/>
    <mergeCell ref="AP18:AS18"/>
    <mergeCell ref="AT18:AW18"/>
    <mergeCell ref="AX18:BA18"/>
    <mergeCell ref="AL19:AO19"/>
    <mergeCell ref="AP19:AS19"/>
    <mergeCell ref="AT19:AW19"/>
    <mergeCell ref="AX19:BA19"/>
    <mergeCell ref="BB19:BE19"/>
    <mergeCell ref="A18:B18"/>
    <mergeCell ref="C18:I18"/>
    <mergeCell ref="J18:M18"/>
    <mergeCell ref="N18:Q18"/>
    <mergeCell ref="R18:U18"/>
    <mergeCell ref="V18:Y18"/>
    <mergeCell ref="Z18:AC18"/>
    <mergeCell ref="V17:Y17"/>
    <mergeCell ref="Z17:AC17"/>
    <mergeCell ref="AP15:AS15"/>
    <mergeCell ref="AT15:AW15"/>
    <mergeCell ref="AX15:BA15"/>
    <mergeCell ref="AL16:AO16"/>
    <mergeCell ref="AP16:AS16"/>
    <mergeCell ref="AT16:AW16"/>
    <mergeCell ref="AX16:BA16"/>
    <mergeCell ref="BB16:BE16"/>
    <mergeCell ref="A17:B17"/>
    <mergeCell ref="C17:I17"/>
    <mergeCell ref="J17:M17"/>
    <mergeCell ref="N17:Q17"/>
    <mergeCell ref="R17:U17"/>
    <mergeCell ref="AT17:AW17"/>
    <mergeCell ref="AX17:BA17"/>
    <mergeCell ref="BB17:BE17"/>
    <mergeCell ref="AD17:AG17"/>
    <mergeCell ref="AH17:AK17"/>
    <mergeCell ref="AL17:AO17"/>
    <mergeCell ref="AP17:AS17"/>
    <mergeCell ref="A16:B16"/>
    <mergeCell ref="C16:I16"/>
    <mergeCell ref="J16:M16"/>
    <mergeCell ref="N16:Q16"/>
    <mergeCell ref="R16:U16"/>
    <mergeCell ref="V16:Y16"/>
    <mergeCell ref="Z16:AC16"/>
    <mergeCell ref="AD16:AG16"/>
    <mergeCell ref="AH16:AK16"/>
    <mergeCell ref="A15:B15"/>
    <mergeCell ref="C15:I15"/>
    <mergeCell ref="J15:M15"/>
    <mergeCell ref="N15:Q15"/>
    <mergeCell ref="R15:U15"/>
    <mergeCell ref="V15:Y15"/>
    <mergeCell ref="Z15:AC15"/>
    <mergeCell ref="BB15:BE15"/>
    <mergeCell ref="AD15:AG15"/>
    <mergeCell ref="AH15:AK15"/>
    <mergeCell ref="AL15:AO15"/>
    <mergeCell ref="A14:B14"/>
    <mergeCell ref="C14:I14"/>
    <mergeCell ref="J14:M14"/>
    <mergeCell ref="N14:Q14"/>
    <mergeCell ref="R14:U14"/>
    <mergeCell ref="V14:Y14"/>
    <mergeCell ref="Z14:AC14"/>
    <mergeCell ref="AD14:AG14"/>
    <mergeCell ref="AH14:AK14"/>
    <mergeCell ref="AD13:AG13"/>
    <mergeCell ref="AH13:AK13"/>
    <mergeCell ref="AL13:AO13"/>
    <mergeCell ref="AP13:AS13"/>
    <mergeCell ref="AL14:AO14"/>
    <mergeCell ref="AP14:AS14"/>
    <mergeCell ref="AT14:AW14"/>
    <mergeCell ref="AX14:BA14"/>
    <mergeCell ref="BB14:BE14"/>
    <mergeCell ref="AL12:AO12"/>
    <mergeCell ref="AP12:AS12"/>
    <mergeCell ref="AT12:AW12"/>
    <mergeCell ref="AX12:BA12"/>
    <mergeCell ref="BB12:BE12"/>
    <mergeCell ref="A13:B13"/>
    <mergeCell ref="C13:I13"/>
    <mergeCell ref="J13:M13"/>
    <mergeCell ref="N13:Q13"/>
    <mergeCell ref="R13:U13"/>
    <mergeCell ref="A12:B12"/>
    <mergeCell ref="C12:I12"/>
    <mergeCell ref="J12:M12"/>
    <mergeCell ref="N12:Q12"/>
    <mergeCell ref="R12:U12"/>
    <mergeCell ref="V12:Y12"/>
    <mergeCell ref="Z12:AC12"/>
    <mergeCell ref="AD12:AG12"/>
    <mergeCell ref="AH12:AK12"/>
    <mergeCell ref="AT13:AW13"/>
    <mergeCell ref="AX13:BA13"/>
    <mergeCell ref="BB13:BE13"/>
    <mergeCell ref="V13:Y13"/>
    <mergeCell ref="Z13:AC13"/>
    <mergeCell ref="BB11:BE11"/>
    <mergeCell ref="AD11:AG11"/>
    <mergeCell ref="AH11:AK11"/>
    <mergeCell ref="AL11:AO11"/>
    <mergeCell ref="AP11:AS11"/>
    <mergeCell ref="AT11:AW11"/>
    <mergeCell ref="AX11:BA11"/>
    <mergeCell ref="A10:B11"/>
    <mergeCell ref="C10:I11"/>
    <mergeCell ref="J10:Y10"/>
    <mergeCell ref="Z10:AO10"/>
    <mergeCell ref="AP10:BE10"/>
    <mergeCell ref="J11:M11"/>
    <mergeCell ref="N11:Q11"/>
    <mergeCell ref="R11:U11"/>
    <mergeCell ref="V11:Y11"/>
    <mergeCell ref="Z11:AC11"/>
    <mergeCell ref="A1:I8"/>
    <mergeCell ref="J1:BE2"/>
    <mergeCell ref="J3:AL3"/>
    <mergeCell ref="AM3:BE3"/>
    <mergeCell ref="J4:AL5"/>
    <mergeCell ref="AM4:BE5"/>
    <mergeCell ref="J6:AL6"/>
    <mergeCell ref="AM6:BE6"/>
    <mergeCell ref="J7:AL8"/>
    <mergeCell ref="AM7:BE8"/>
  </mergeCells>
  <hyperlinks>
    <hyperlink ref="R12" r:id="rId1" display="www.magazineluiza.com.br"/>
    <hyperlink ref="AH12" r:id="rId2" display="www.americanas.com.br"/>
    <hyperlink ref="AX12" r:id="rId3"/>
    <hyperlink ref="R13" r:id="rId4" display="www.magazineluiza.com.br"/>
    <hyperlink ref="R14" r:id="rId5" display="www.magazineluiza.com.br"/>
    <hyperlink ref="AH13" r:id="rId6" display="www.americanas.com.br"/>
    <hyperlink ref="AH14" r:id="rId7" display="www.americanas.com.br"/>
    <hyperlink ref="AX13" r:id="rId8"/>
    <hyperlink ref="AX14" r:id="rId9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6" fitToHeight="0" orientation="landscape" r:id="rId10"/>
  <headerFooter scaleWithDoc="0" alignWithMargins="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1"/>
  <sheetViews>
    <sheetView showGridLines="0" topLeftCell="A85" zoomScale="85" zoomScaleNormal="85" workbookViewId="0">
      <selection activeCell="H90" sqref="H90"/>
    </sheetView>
  </sheetViews>
  <sheetFormatPr defaultColWidth="9.140625" defaultRowHeight="12.75" x14ac:dyDescent="0.25"/>
  <cols>
    <col min="1" max="1" width="7.85546875" style="27" customWidth="1"/>
    <col min="2" max="2" width="65.140625" style="28" customWidth="1"/>
    <col min="3" max="3" width="10.42578125" style="27" customWidth="1"/>
    <col min="4" max="4" width="10.140625" style="26" customWidth="1"/>
    <col min="5" max="5" width="10.5703125" style="26" customWidth="1"/>
    <col min="6" max="6" width="12.140625" style="26" customWidth="1"/>
    <col min="7" max="8" width="13" style="25" customWidth="1"/>
    <col min="9" max="9" width="13.7109375" style="25" customWidth="1"/>
    <col min="10" max="10" width="11.140625" style="547" customWidth="1"/>
    <col min="11" max="12" width="13.85546875" style="24" bestFit="1" customWidth="1"/>
    <col min="13" max="13" width="13.7109375" style="24" bestFit="1" customWidth="1"/>
    <col min="14" max="14" width="14.5703125" style="24" customWidth="1"/>
    <col min="15" max="15" width="13.5703125" style="24" customWidth="1"/>
    <col min="16" max="16384" width="9.140625" style="24"/>
  </cols>
  <sheetData>
    <row r="1" spans="1:19" s="38" customFormat="1" ht="12.75" customHeight="1" x14ac:dyDescent="0.25">
      <c r="A1" s="732" t="s">
        <v>122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4"/>
      <c r="P1" s="39"/>
      <c r="Q1" s="39"/>
      <c r="R1" s="39"/>
      <c r="S1" s="39"/>
    </row>
    <row r="2" spans="1:19" s="38" customFormat="1" ht="12.75" customHeight="1" x14ac:dyDescent="0.25">
      <c r="A2" s="735" t="s">
        <v>123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7"/>
      <c r="P2" s="39"/>
      <c r="Q2" s="39"/>
      <c r="R2" s="39"/>
      <c r="S2" s="39"/>
    </row>
    <row r="3" spans="1:19" s="38" customFormat="1" ht="12.75" customHeight="1" x14ac:dyDescent="0.25">
      <c r="A3" s="744" t="s">
        <v>325</v>
      </c>
      <c r="B3" s="745"/>
      <c r="C3" s="745"/>
      <c r="D3" s="745"/>
      <c r="E3" s="745"/>
      <c r="F3" s="745"/>
      <c r="G3" s="745"/>
      <c r="H3" s="745"/>
      <c r="I3" s="745"/>
      <c r="J3" s="745"/>
      <c r="K3" s="745"/>
      <c r="L3" s="745"/>
      <c r="M3" s="745"/>
      <c r="N3" s="746"/>
      <c r="P3" s="39"/>
      <c r="Q3" s="39"/>
      <c r="R3" s="39"/>
      <c r="S3" s="39"/>
    </row>
    <row r="4" spans="1:19" s="38" customFormat="1" ht="12.75" customHeight="1" x14ac:dyDescent="0.25">
      <c r="A4" s="744" t="s">
        <v>324</v>
      </c>
      <c r="B4" s="745"/>
      <c r="C4" s="745"/>
      <c r="D4" s="745"/>
      <c r="E4" s="745"/>
      <c r="F4" s="745"/>
      <c r="G4" s="745"/>
      <c r="H4" s="745"/>
      <c r="I4" s="745"/>
      <c r="J4" s="745"/>
      <c r="K4" s="745"/>
      <c r="L4" s="745"/>
      <c r="M4" s="745"/>
      <c r="N4" s="746"/>
      <c r="P4" s="39"/>
      <c r="Q4" s="39"/>
      <c r="R4" s="39"/>
      <c r="S4" s="39"/>
    </row>
    <row r="5" spans="1:19" s="38" customFormat="1" ht="12.75" customHeight="1" x14ac:dyDescent="0.25">
      <c r="A5" s="174"/>
      <c r="B5" s="175"/>
      <c r="C5" s="175"/>
      <c r="D5" s="175"/>
      <c r="E5" s="175"/>
      <c r="F5" s="175"/>
      <c r="G5" s="175"/>
      <c r="H5" s="175"/>
      <c r="I5" s="175"/>
      <c r="J5" s="528"/>
      <c r="K5" s="175"/>
      <c r="L5" s="175"/>
      <c r="M5" s="175"/>
      <c r="N5" s="176"/>
      <c r="P5" s="39"/>
      <c r="Q5" s="39"/>
      <c r="R5" s="39"/>
      <c r="S5" s="39"/>
    </row>
    <row r="6" spans="1:19" s="38" customFormat="1" ht="23.45" customHeight="1" x14ac:dyDescent="0.25">
      <c r="A6" s="747" t="s">
        <v>124</v>
      </c>
      <c r="B6" s="748"/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9"/>
      <c r="P6" s="39"/>
      <c r="Q6" s="39"/>
      <c r="R6" s="39"/>
      <c r="S6" s="39"/>
    </row>
    <row r="7" spans="1:19" s="38" customFormat="1" ht="12.75" customHeight="1" x14ac:dyDescent="0.25">
      <c r="A7" s="750" t="s">
        <v>125</v>
      </c>
      <c r="B7" s="752" t="s">
        <v>126</v>
      </c>
      <c r="C7" s="750" t="s">
        <v>407</v>
      </c>
      <c r="D7" s="752" t="s">
        <v>127</v>
      </c>
      <c r="E7" s="752" t="s">
        <v>128</v>
      </c>
      <c r="F7" s="741" t="s">
        <v>129</v>
      </c>
      <c r="G7" s="742"/>
      <c r="H7" s="742"/>
      <c r="I7" s="743"/>
      <c r="J7" s="727" t="s">
        <v>130</v>
      </c>
      <c r="K7" s="741" t="s">
        <v>131</v>
      </c>
      <c r="L7" s="742"/>
      <c r="M7" s="742"/>
      <c r="N7" s="743"/>
      <c r="P7" s="39"/>
      <c r="Q7" s="39"/>
      <c r="R7" s="39"/>
      <c r="S7" s="39"/>
    </row>
    <row r="8" spans="1:19" s="38" customFormat="1" ht="27.75" customHeight="1" x14ac:dyDescent="0.25">
      <c r="A8" s="751"/>
      <c r="B8" s="753"/>
      <c r="C8" s="751"/>
      <c r="D8" s="753"/>
      <c r="E8" s="753"/>
      <c r="F8" s="177" t="s">
        <v>802</v>
      </c>
      <c r="G8" s="177" t="s">
        <v>332</v>
      </c>
      <c r="H8" s="177" t="s">
        <v>333</v>
      </c>
      <c r="I8" s="177" t="s">
        <v>132</v>
      </c>
      <c r="J8" s="728"/>
      <c r="K8" s="177" t="s">
        <v>802</v>
      </c>
      <c r="L8" s="177" t="s">
        <v>332</v>
      </c>
      <c r="M8" s="177" t="s">
        <v>333</v>
      </c>
      <c r="N8" s="177" t="s">
        <v>133</v>
      </c>
      <c r="P8" s="39"/>
      <c r="Q8" s="39"/>
      <c r="R8" s="39"/>
      <c r="S8" s="39"/>
    </row>
    <row r="9" spans="1:19" s="38" customFormat="1" x14ac:dyDescent="0.25">
      <c r="A9" s="178"/>
      <c r="B9" s="135"/>
      <c r="C9" s="179"/>
      <c r="D9" s="136"/>
      <c r="E9" s="136"/>
      <c r="F9" s="180"/>
      <c r="G9" s="180"/>
      <c r="H9" s="180"/>
      <c r="I9" s="180"/>
      <c r="J9" s="136"/>
      <c r="K9" s="180"/>
      <c r="L9" s="180"/>
      <c r="M9" s="180"/>
      <c r="N9" s="181"/>
      <c r="P9" s="39"/>
      <c r="Q9" s="39"/>
      <c r="R9" s="39"/>
      <c r="S9" s="39"/>
    </row>
    <row r="10" spans="1:19" x14ac:dyDescent="0.25">
      <c r="A10" s="182">
        <v>1</v>
      </c>
      <c r="B10" s="183" t="s">
        <v>121</v>
      </c>
      <c r="C10" s="184"/>
      <c r="D10" s="184"/>
      <c r="E10" s="184"/>
      <c r="F10" s="184"/>
      <c r="G10" s="184"/>
      <c r="H10" s="184"/>
      <c r="I10" s="184"/>
      <c r="J10" s="529"/>
      <c r="K10" s="185">
        <f>SUM(K11:K21)</f>
        <v>17845.55</v>
      </c>
      <c r="L10" s="185">
        <f t="shared" ref="L10:N10" si="0">SUM(L11:L21)</f>
        <v>1625.5649999999998</v>
      </c>
      <c r="M10" s="185">
        <f t="shared" si="0"/>
        <v>0</v>
      </c>
      <c r="N10" s="185">
        <f t="shared" si="0"/>
        <v>19471.114999999998</v>
      </c>
    </row>
    <row r="11" spans="1:19" ht="25.5" x14ac:dyDescent="0.25">
      <c r="A11" s="186" t="s">
        <v>408</v>
      </c>
      <c r="B11" s="187" t="s">
        <v>409</v>
      </c>
      <c r="C11" s="46" t="s">
        <v>140</v>
      </c>
      <c r="D11" s="40" t="s">
        <v>134</v>
      </c>
      <c r="E11" s="186" t="s">
        <v>5</v>
      </c>
      <c r="F11" s="188">
        <v>3</v>
      </c>
      <c r="G11" s="188"/>
      <c r="H11" s="188"/>
      <c r="I11" s="146">
        <f>F11+G11+H11</f>
        <v>3</v>
      </c>
      <c r="J11" s="530">
        <v>110.74</v>
      </c>
      <c r="K11" s="137">
        <f>ROUND(J11*F11,2)</f>
        <v>332.22</v>
      </c>
      <c r="L11" s="33">
        <f>G11*J11</f>
        <v>0</v>
      </c>
      <c r="M11" s="33">
        <f>H11*J11</f>
        <v>0</v>
      </c>
      <c r="N11" s="33">
        <f>K11+L11+M11</f>
        <v>332.22</v>
      </c>
    </row>
    <row r="12" spans="1:19" ht="25.5" x14ac:dyDescent="0.25">
      <c r="A12" s="186" t="s">
        <v>410</v>
      </c>
      <c r="B12" s="189" t="s">
        <v>411</v>
      </c>
      <c r="C12" s="46" t="s">
        <v>141</v>
      </c>
      <c r="D12" s="40" t="s">
        <v>135</v>
      </c>
      <c r="E12" s="186" t="s">
        <v>78</v>
      </c>
      <c r="F12" s="188">
        <v>88.39</v>
      </c>
      <c r="G12" s="188"/>
      <c r="H12" s="188"/>
      <c r="I12" s="146">
        <f t="shared" ref="I12:I33" si="1">F12+G12+H12</f>
        <v>88.39</v>
      </c>
      <c r="J12" s="530">
        <v>2.9</v>
      </c>
      <c r="K12" s="461">
        <f t="shared" ref="K12:K21" si="2">ROUND(J12*F12,2)</f>
        <v>256.33</v>
      </c>
      <c r="L12" s="422">
        <f t="shared" ref="L12:L21" si="3">G12*J12</f>
        <v>0</v>
      </c>
      <c r="M12" s="422">
        <f t="shared" ref="M12:M21" si="4">H12*J12</f>
        <v>0</v>
      </c>
      <c r="N12" s="33">
        <f t="shared" ref="N12:N21" si="5">K12+L12+M12</f>
        <v>256.33</v>
      </c>
      <c r="S12" s="32"/>
    </row>
    <row r="13" spans="1:19" ht="25.5" x14ac:dyDescent="0.25">
      <c r="A13" s="186" t="s">
        <v>412</v>
      </c>
      <c r="B13" s="189" t="s">
        <v>413</v>
      </c>
      <c r="C13" s="46" t="s">
        <v>142</v>
      </c>
      <c r="D13" s="40" t="s">
        <v>135</v>
      </c>
      <c r="E13" s="186" t="s">
        <v>78</v>
      </c>
      <c r="F13" s="188">
        <v>88.39</v>
      </c>
      <c r="G13" s="188"/>
      <c r="H13" s="188"/>
      <c r="I13" s="146">
        <f t="shared" si="1"/>
        <v>88.39</v>
      </c>
      <c r="J13" s="530">
        <v>6.2299999999999995</v>
      </c>
      <c r="K13" s="461">
        <f t="shared" si="2"/>
        <v>550.66999999999996</v>
      </c>
      <c r="L13" s="422">
        <f t="shared" si="3"/>
        <v>0</v>
      </c>
      <c r="M13" s="422">
        <f t="shared" si="4"/>
        <v>0</v>
      </c>
      <c r="N13" s="33">
        <f t="shared" si="5"/>
        <v>550.66999999999996</v>
      </c>
      <c r="S13" s="32"/>
    </row>
    <row r="14" spans="1:19" ht="25.5" x14ac:dyDescent="0.25">
      <c r="A14" s="186" t="s">
        <v>414</v>
      </c>
      <c r="B14" s="189" t="s">
        <v>415</v>
      </c>
      <c r="C14" s="46" t="s">
        <v>143</v>
      </c>
      <c r="D14" s="40" t="s">
        <v>135</v>
      </c>
      <c r="E14" s="186" t="s">
        <v>7</v>
      </c>
      <c r="F14" s="188">
        <v>3</v>
      </c>
      <c r="G14" s="188"/>
      <c r="H14" s="188"/>
      <c r="I14" s="146">
        <f t="shared" si="1"/>
        <v>3</v>
      </c>
      <c r="J14" s="530">
        <v>69.149999999999991</v>
      </c>
      <c r="K14" s="461">
        <f t="shared" si="2"/>
        <v>207.45</v>
      </c>
      <c r="L14" s="422">
        <f t="shared" si="3"/>
        <v>0</v>
      </c>
      <c r="M14" s="422">
        <f t="shared" si="4"/>
        <v>0</v>
      </c>
      <c r="N14" s="33">
        <f t="shared" si="5"/>
        <v>207.45</v>
      </c>
      <c r="S14" s="32"/>
    </row>
    <row r="15" spans="1:19" ht="25.5" x14ac:dyDescent="0.25">
      <c r="A15" s="186" t="s">
        <v>416</v>
      </c>
      <c r="B15" s="189" t="s">
        <v>417</v>
      </c>
      <c r="C15" s="46" t="s">
        <v>144</v>
      </c>
      <c r="D15" s="40" t="s">
        <v>135</v>
      </c>
      <c r="E15" s="186" t="s">
        <v>63</v>
      </c>
      <c r="F15" s="188">
        <v>16.11</v>
      </c>
      <c r="G15" s="188"/>
      <c r="H15" s="188"/>
      <c r="I15" s="146">
        <f t="shared" si="1"/>
        <v>16.11</v>
      </c>
      <c r="J15" s="530">
        <v>52.25</v>
      </c>
      <c r="K15" s="461">
        <f t="shared" si="2"/>
        <v>841.75</v>
      </c>
      <c r="L15" s="422">
        <f t="shared" si="3"/>
        <v>0</v>
      </c>
      <c r="M15" s="422">
        <f t="shared" si="4"/>
        <v>0</v>
      </c>
      <c r="N15" s="33">
        <f t="shared" si="5"/>
        <v>841.75</v>
      </c>
      <c r="S15" s="32"/>
    </row>
    <row r="16" spans="1:19" ht="25.5" x14ac:dyDescent="0.25">
      <c r="A16" s="186" t="s">
        <v>418</v>
      </c>
      <c r="B16" s="189" t="s">
        <v>419</v>
      </c>
      <c r="C16" s="46" t="s">
        <v>62</v>
      </c>
      <c r="D16" s="40" t="s">
        <v>135</v>
      </c>
      <c r="E16" s="186" t="s">
        <v>63</v>
      </c>
      <c r="F16" s="188">
        <v>6.53</v>
      </c>
      <c r="G16" s="188">
        <f>Memorial!L13</f>
        <v>7.06</v>
      </c>
      <c r="H16" s="188"/>
      <c r="I16" s="146">
        <f t="shared" si="1"/>
        <v>13.59</v>
      </c>
      <c r="J16" s="530">
        <v>230.25</v>
      </c>
      <c r="K16" s="461">
        <f t="shared" si="2"/>
        <v>1503.53</v>
      </c>
      <c r="L16" s="422">
        <f t="shared" si="3"/>
        <v>1625.5649999999998</v>
      </c>
      <c r="M16" s="422">
        <f t="shared" si="4"/>
        <v>0</v>
      </c>
      <c r="N16" s="33">
        <f t="shared" si="5"/>
        <v>3129.0949999999998</v>
      </c>
      <c r="S16" s="32"/>
    </row>
    <row r="17" spans="1:19" ht="25.5" x14ac:dyDescent="0.25">
      <c r="A17" s="186" t="s">
        <v>420</v>
      </c>
      <c r="B17" s="189" t="s">
        <v>421</v>
      </c>
      <c r="C17" s="46" t="s">
        <v>145</v>
      </c>
      <c r="D17" s="40" t="s">
        <v>135</v>
      </c>
      <c r="E17" s="186" t="s">
        <v>63</v>
      </c>
      <c r="F17" s="188">
        <v>6.5299999999999994</v>
      </c>
      <c r="G17" s="188"/>
      <c r="H17" s="188"/>
      <c r="I17" s="146">
        <f t="shared" si="1"/>
        <v>6.5299999999999994</v>
      </c>
      <c r="J17" s="530">
        <v>97.97</v>
      </c>
      <c r="K17" s="461">
        <f t="shared" si="2"/>
        <v>639.74</v>
      </c>
      <c r="L17" s="422">
        <f t="shared" si="3"/>
        <v>0</v>
      </c>
      <c r="M17" s="422">
        <f t="shared" si="4"/>
        <v>0</v>
      </c>
      <c r="N17" s="33">
        <f t="shared" si="5"/>
        <v>639.74</v>
      </c>
      <c r="S17" s="32"/>
    </row>
    <row r="18" spans="1:19" ht="25.5" x14ac:dyDescent="0.25">
      <c r="A18" s="186" t="s">
        <v>422</v>
      </c>
      <c r="B18" s="189" t="s">
        <v>423</v>
      </c>
      <c r="C18" s="47" t="s">
        <v>146</v>
      </c>
      <c r="D18" s="41" t="s">
        <v>134</v>
      </c>
      <c r="E18" s="186" t="s">
        <v>400</v>
      </c>
      <c r="F18" s="188">
        <v>564.30999999999995</v>
      </c>
      <c r="G18" s="188"/>
      <c r="H18" s="188"/>
      <c r="I18" s="146">
        <f t="shared" si="1"/>
        <v>564.30999999999995</v>
      </c>
      <c r="J18" s="530">
        <v>10.49</v>
      </c>
      <c r="K18" s="461">
        <f t="shared" si="2"/>
        <v>5919.61</v>
      </c>
      <c r="L18" s="422">
        <f t="shared" si="3"/>
        <v>0</v>
      </c>
      <c r="M18" s="422">
        <f t="shared" si="4"/>
        <v>0</v>
      </c>
      <c r="N18" s="33">
        <f t="shared" si="5"/>
        <v>5919.61</v>
      </c>
      <c r="S18" s="32"/>
    </row>
    <row r="19" spans="1:19" ht="18" customHeight="1" x14ac:dyDescent="0.25">
      <c r="A19" s="186" t="s">
        <v>424</v>
      </c>
      <c r="B19" s="189" t="s">
        <v>425</v>
      </c>
      <c r="C19" s="47" t="s">
        <v>61</v>
      </c>
      <c r="D19" s="41" t="s">
        <v>136</v>
      </c>
      <c r="E19" s="186" t="s">
        <v>63</v>
      </c>
      <c r="F19" s="188">
        <v>10.990000000001</v>
      </c>
      <c r="G19" s="188"/>
      <c r="H19" s="188"/>
      <c r="I19" s="146">
        <f t="shared" si="1"/>
        <v>10.990000000001</v>
      </c>
      <c r="J19" s="530">
        <v>79.61</v>
      </c>
      <c r="K19" s="461">
        <f t="shared" si="2"/>
        <v>874.91</v>
      </c>
      <c r="L19" s="422">
        <f t="shared" si="3"/>
        <v>0</v>
      </c>
      <c r="M19" s="422">
        <f t="shared" si="4"/>
        <v>0</v>
      </c>
      <c r="N19" s="33">
        <f t="shared" si="5"/>
        <v>874.91</v>
      </c>
      <c r="S19" s="32"/>
    </row>
    <row r="20" spans="1:19" ht="24.75" customHeight="1" x14ac:dyDescent="0.25">
      <c r="A20" s="186" t="s">
        <v>426</v>
      </c>
      <c r="B20" s="189" t="s">
        <v>427</v>
      </c>
      <c r="C20" s="46" t="s">
        <v>147</v>
      </c>
      <c r="D20" s="42" t="s">
        <v>137</v>
      </c>
      <c r="E20" s="186" t="s">
        <v>78</v>
      </c>
      <c r="F20" s="188">
        <v>549</v>
      </c>
      <c r="G20" s="188"/>
      <c r="H20" s="188"/>
      <c r="I20" s="146">
        <f t="shared" si="1"/>
        <v>549</v>
      </c>
      <c r="J20" s="530">
        <v>7.5600000000000005</v>
      </c>
      <c r="K20" s="461">
        <f t="shared" si="2"/>
        <v>4150.4399999999996</v>
      </c>
      <c r="L20" s="422">
        <f t="shared" si="3"/>
        <v>0</v>
      </c>
      <c r="M20" s="422">
        <f t="shared" si="4"/>
        <v>0</v>
      </c>
      <c r="N20" s="33">
        <f t="shared" si="5"/>
        <v>4150.4399999999996</v>
      </c>
      <c r="S20" s="32"/>
    </row>
    <row r="21" spans="1:19" ht="27" customHeight="1" x14ac:dyDescent="0.25">
      <c r="A21" s="186" t="s">
        <v>428</v>
      </c>
      <c r="B21" s="189" t="s">
        <v>429</v>
      </c>
      <c r="C21" s="46" t="s">
        <v>148</v>
      </c>
      <c r="D21" s="40" t="s">
        <v>134</v>
      </c>
      <c r="E21" s="186" t="s">
        <v>400</v>
      </c>
      <c r="F21" s="188">
        <v>6</v>
      </c>
      <c r="G21" s="188"/>
      <c r="H21" s="188"/>
      <c r="I21" s="146">
        <f t="shared" si="1"/>
        <v>6</v>
      </c>
      <c r="J21" s="530">
        <v>428.15</v>
      </c>
      <c r="K21" s="461">
        <f t="shared" si="2"/>
        <v>2568.9</v>
      </c>
      <c r="L21" s="422">
        <f t="shared" si="3"/>
        <v>0</v>
      </c>
      <c r="M21" s="422">
        <f t="shared" si="4"/>
        <v>0</v>
      </c>
      <c r="N21" s="33">
        <f t="shared" si="5"/>
        <v>2568.9</v>
      </c>
      <c r="S21" s="32"/>
    </row>
    <row r="22" spans="1:19" x14ac:dyDescent="0.25">
      <c r="A22" s="190"/>
      <c r="B22" s="191"/>
      <c r="C22" s="48"/>
      <c r="D22" s="40"/>
      <c r="E22" s="192"/>
      <c r="F22" s="193"/>
      <c r="G22" s="193"/>
      <c r="H22" s="193"/>
      <c r="I22" s="194"/>
      <c r="J22" s="531"/>
      <c r="K22" s="57"/>
      <c r="L22" s="139"/>
      <c r="M22" s="139"/>
      <c r="N22" s="140"/>
      <c r="S22" s="32"/>
    </row>
    <row r="23" spans="1:19" x14ac:dyDescent="0.25">
      <c r="A23" s="195">
        <v>2</v>
      </c>
      <c r="B23" s="196" t="s">
        <v>120</v>
      </c>
      <c r="C23" s="148"/>
      <c r="D23" s="149"/>
      <c r="E23" s="197"/>
      <c r="F23" s="197"/>
      <c r="G23" s="197"/>
      <c r="H23" s="197"/>
      <c r="I23" s="197"/>
      <c r="J23" s="532"/>
      <c r="K23" s="141">
        <f>SUM(K24:K33)</f>
        <v>91858.159999999989</v>
      </c>
      <c r="L23" s="141">
        <f t="shared" ref="L23:N23" si="6">SUM(L24:L33)</f>
        <v>2164.1558</v>
      </c>
      <c r="M23" s="141">
        <f t="shared" si="6"/>
        <v>-471.048</v>
      </c>
      <c r="N23" s="141">
        <f t="shared" si="6"/>
        <v>93551.267800000016</v>
      </c>
      <c r="S23" s="32"/>
    </row>
    <row r="24" spans="1:19" ht="25.5" x14ac:dyDescent="0.25">
      <c r="A24" s="36" t="s">
        <v>430</v>
      </c>
      <c r="B24" s="69" t="s">
        <v>431</v>
      </c>
      <c r="C24" s="48" t="s">
        <v>149</v>
      </c>
      <c r="D24" s="40" t="s">
        <v>135</v>
      </c>
      <c r="E24" s="198" t="s">
        <v>63</v>
      </c>
      <c r="F24" s="188">
        <v>116.67</v>
      </c>
      <c r="G24" s="188"/>
      <c r="H24" s="188"/>
      <c r="I24" s="146">
        <f t="shared" si="1"/>
        <v>116.67</v>
      </c>
      <c r="J24" s="530">
        <v>40.650000000000006</v>
      </c>
      <c r="K24" s="33">
        <f>ROUND(J24*F24,2)</f>
        <v>4742.6400000000003</v>
      </c>
      <c r="L24" s="33">
        <f>G24*J24</f>
        <v>0</v>
      </c>
      <c r="M24" s="33">
        <f>H24*J24</f>
        <v>0</v>
      </c>
      <c r="N24" s="33">
        <f t="shared" ref="N24:N33" si="7">K24+L24+M24</f>
        <v>4742.6400000000003</v>
      </c>
      <c r="S24" s="32"/>
    </row>
    <row r="25" spans="1:19" ht="25.5" x14ac:dyDescent="0.25">
      <c r="A25" s="36" t="s">
        <v>432</v>
      </c>
      <c r="B25" s="36" t="s">
        <v>433</v>
      </c>
      <c r="C25" s="46" t="s">
        <v>150</v>
      </c>
      <c r="D25" s="40" t="s">
        <v>135</v>
      </c>
      <c r="E25" s="37" t="s">
        <v>63</v>
      </c>
      <c r="F25" s="188">
        <v>88.340000000000032</v>
      </c>
      <c r="G25" s="188">
        <f>Memorial!L19</f>
        <v>4.8</v>
      </c>
      <c r="H25" s="188"/>
      <c r="I25" s="146">
        <f t="shared" si="1"/>
        <v>93.140000000000029</v>
      </c>
      <c r="J25" s="530">
        <v>78.789999999999992</v>
      </c>
      <c r="K25" s="451">
        <f t="shared" ref="K25:K33" si="8">ROUND(J25*F25,2)</f>
        <v>6960.31</v>
      </c>
      <c r="L25" s="451">
        <f t="shared" ref="L25:L33" si="9">G25*J25</f>
        <v>378.19199999999995</v>
      </c>
      <c r="M25" s="451">
        <f t="shared" ref="M25:M33" si="10">H25*J25</f>
        <v>0</v>
      </c>
      <c r="N25" s="33">
        <f t="shared" si="7"/>
        <v>7338.5020000000004</v>
      </c>
      <c r="S25" s="32"/>
    </row>
    <row r="26" spans="1:19" ht="23.25" customHeight="1" x14ac:dyDescent="0.25">
      <c r="A26" s="36" t="s">
        <v>434</v>
      </c>
      <c r="B26" s="36" t="s">
        <v>435</v>
      </c>
      <c r="C26" s="48" t="s">
        <v>151</v>
      </c>
      <c r="D26" s="40" t="s">
        <v>135</v>
      </c>
      <c r="E26" s="37" t="s">
        <v>63</v>
      </c>
      <c r="F26" s="188">
        <v>22.250000000000004</v>
      </c>
      <c r="G26" s="188"/>
      <c r="H26" s="188"/>
      <c r="I26" s="146">
        <f t="shared" si="1"/>
        <v>22.250000000000004</v>
      </c>
      <c r="J26" s="530">
        <v>25.67</v>
      </c>
      <c r="K26" s="451">
        <f t="shared" si="8"/>
        <v>571.16</v>
      </c>
      <c r="L26" s="451">
        <f t="shared" si="9"/>
        <v>0</v>
      </c>
      <c r="M26" s="451">
        <f t="shared" si="10"/>
        <v>0</v>
      </c>
      <c r="N26" s="33">
        <f t="shared" si="7"/>
        <v>571.16</v>
      </c>
      <c r="S26" s="32"/>
    </row>
    <row r="27" spans="1:19" ht="25.5" x14ac:dyDescent="0.25">
      <c r="A27" s="36" t="s">
        <v>436</v>
      </c>
      <c r="B27" s="36" t="s">
        <v>97</v>
      </c>
      <c r="C27" s="48" t="s">
        <v>152</v>
      </c>
      <c r="D27" s="40" t="s">
        <v>135</v>
      </c>
      <c r="E27" s="37" t="s">
        <v>78</v>
      </c>
      <c r="F27" s="188">
        <v>45.52</v>
      </c>
      <c r="G27" s="188">
        <f>Memorial!L26</f>
        <v>5.5499999999999972</v>
      </c>
      <c r="H27" s="188"/>
      <c r="I27" s="146">
        <f t="shared" si="1"/>
        <v>51.07</v>
      </c>
      <c r="J27" s="530">
        <v>27.130000000000003</v>
      </c>
      <c r="K27" s="451">
        <f t="shared" si="8"/>
        <v>1234.96</v>
      </c>
      <c r="L27" s="451">
        <f t="shared" si="9"/>
        <v>150.57149999999993</v>
      </c>
      <c r="M27" s="451">
        <f t="shared" si="10"/>
        <v>0</v>
      </c>
      <c r="N27" s="33">
        <f t="shared" si="7"/>
        <v>1385.5315000000001</v>
      </c>
      <c r="S27" s="32"/>
    </row>
    <row r="28" spans="1:19" ht="25.5" x14ac:dyDescent="0.25">
      <c r="A28" s="36" t="s">
        <v>437</v>
      </c>
      <c r="B28" s="36" t="s">
        <v>438</v>
      </c>
      <c r="C28" s="48" t="s">
        <v>153</v>
      </c>
      <c r="D28" s="42" t="s">
        <v>137</v>
      </c>
      <c r="E28" s="37" t="s">
        <v>63</v>
      </c>
      <c r="F28" s="188">
        <v>24.419999999999998</v>
      </c>
      <c r="G28" s="188">
        <v>1.04</v>
      </c>
      <c r="H28" s="188"/>
      <c r="I28" s="146">
        <f t="shared" si="1"/>
        <v>25.459999999999997</v>
      </c>
      <c r="J28" s="530">
        <v>759.90000000000009</v>
      </c>
      <c r="K28" s="451">
        <f t="shared" si="8"/>
        <v>18556.759999999998</v>
      </c>
      <c r="L28" s="451">
        <f t="shared" si="9"/>
        <v>790.29600000000016</v>
      </c>
      <c r="M28" s="451">
        <f t="shared" si="10"/>
        <v>0</v>
      </c>
      <c r="N28" s="33">
        <f t="shared" si="7"/>
        <v>19347.055999999997</v>
      </c>
      <c r="S28" s="32"/>
    </row>
    <row r="29" spans="1:19" ht="26.25" customHeight="1" x14ac:dyDescent="0.25">
      <c r="A29" s="36" t="s">
        <v>439</v>
      </c>
      <c r="B29" s="36" t="s">
        <v>119</v>
      </c>
      <c r="C29" s="48" t="s">
        <v>154</v>
      </c>
      <c r="D29" s="40" t="s">
        <v>134</v>
      </c>
      <c r="E29" s="37" t="s">
        <v>400</v>
      </c>
      <c r="F29" s="188">
        <v>81.130000000000038</v>
      </c>
      <c r="G29" s="188"/>
      <c r="H29" s="188">
        <v>-5.7</v>
      </c>
      <c r="I29" s="146">
        <f t="shared" si="1"/>
        <v>75.430000000000035</v>
      </c>
      <c r="J29" s="530">
        <v>82.64</v>
      </c>
      <c r="K29" s="451">
        <f t="shared" si="8"/>
        <v>6704.58</v>
      </c>
      <c r="L29" s="451">
        <f t="shared" si="9"/>
        <v>0</v>
      </c>
      <c r="M29" s="451">
        <f t="shared" si="10"/>
        <v>-471.048</v>
      </c>
      <c r="N29" s="33">
        <f t="shared" si="7"/>
        <v>6233.5320000000002</v>
      </c>
      <c r="S29" s="32"/>
    </row>
    <row r="30" spans="1:19" ht="25.5" x14ac:dyDescent="0.25">
      <c r="A30" s="36" t="s">
        <v>440</v>
      </c>
      <c r="B30" s="36" t="s">
        <v>118</v>
      </c>
      <c r="C30" s="48" t="s">
        <v>155</v>
      </c>
      <c r="D30" s="40" t="s">
        <v>135</v>
      </c>
      <c r="E30" s="37" t="s">
        <v>441</v>
      </c>
      <c r="F30" s="188">
        <v>1669.4500000000003</v>
      </c>
      <c r="G30" s="188">
        <v>6.46</v>
      </c>
      <c r="H30" s="188"/>
      <c r="I30" s="146">
        <f t="shared" si="1"/>
        <v>1675.9100000000003</v>
      </c>
      <c r="J30" s="530">
        <v>20.03</v>
      </c>
      <c r="K30" s="451">
        <f t="shared" si="8"/>
        <v>33439.08</v>
      </c>
      <c r="L30" s="451">
        <f t="shared" si="9"/>
        <v>129.3938</v>
      </c>
      <c r="M30" s="451">
        <f t="shared" si="10"/>
        <v>0</v>
      </c>
      <c r="N30" s="33">
        <f t="shared" si="7"/>
        <v>33568.4738</v>
      </c>
      <c r="S30" s="32"/>
    </row>
    <row r="31" spans="1:19" ht="25.5" x14ac:dyDescent="0.25">
      <c r="A31" s="36" t="s">
        <v>442</v>
      </c>
      <c r="B31" s="36" t="s">
        <v>112</v>
      </c>
      <c r="C31" s="48" t="s">
        <v>156</v>
      </c>
      <c r="D31" s="40" t="s">
        <v>135</v>
      </c>
      <c r="E31" s="37" t="s">
        <v>63</v>
      </c>
      <c r="F31" s="188">
        <v>26.1</v>
      </c>
      <c r="G31" s="188">
        <v>1.1499999999999999</v>
      </c>
      <c r="H31" s="188"/>
      <c r="I31" s="146">
        <f t="shared" si="1"/>
        <v>27.25</v>
      </c>
      <c r="J31" s="530">
        <v>444.59000000000003</v>
      </c>
      <c r="K31" s="451">
        <f t="shared" si="8"/>
        <v>11603.8</v>
      </c>
      <c r="L31" s="451">
        <f t="shared" si="9"/>
        <v>511.27850000000001</v>
      </c>
      <c r="M31" s="451">
        <f t="shared" si="10"/>
        <v>0</v>
      </c>
      <c r="N31" s="33">
        <f t="shared" si="7"/>
        <v>12115.0785</v>
      </c>
      <c r="S31" s="32"/>
    </row>
    <row r="32" spans="1:19" ht="25.5" x14ac:dyDescent="0.25">
      <c r="A32" s="36" t="s">
        <v>443</v>
      </c>
      <c r="B32" s="36" t="s">
        <v>444</v>
      </c>
      <c r="C32" s="48">
        <v>92873</v>
      </c>
      <c r="D32" s="40" t="s">
        <v>135</v>
      </c>
      <c r="E32" s="37" t="s">
        <v>63</v>
      </c>
      <c r="F32" s="188">
        <v>26.1</v>
      </c>
      <c r="G32" s="188">
        <v>1.1499999999999999</v>
      </c>
      <c r="H32" s="188"/>
      <c r="I32" s="146">
        <f t="shared" si="1"/>
        <v>27.25</v>
      </c>
      <c r="J32" s="530">
        <v>177.76000000000002</v>
      </c>
      <c r="K32" s="451">
        <f t="shared" si="8"/>
        <v>4639.54</v>
      </c>
      <c r="L32" s="451">
        <f t="shared" si="9"/>
        <v>204.42400000000001</v>
      </c>
      <c r="M32" s="451">
        <f t="shared" si="10"/>
        <v>0</v>
      </c>
      <c r="N32" s="33">
        <f t="shared" si="7"/>
        <v>4843.9639999999999</v>
      </c>
      <c r="Q32" s="32"/>
      <c r="S32" s="32"/>
    </row>
    <row r="33" spans="1:19" ht="25.5" x14ac:dyDescent="0.25">
      <c r="A33" s="36" t="s">
        <v>445</v>
      </c>
      <c r="B33" s="69" t="s">
        <v>117</v>
      </c>
      <c r="C33" s="48" t="s">
        <v>157</v>
      </c>
      <c r="D33" s="40" t="s">
        <v>134</v>
      </c>
      <c r="E33" s="198" t="s">
        <v>400</v>
      </c>
      <c r="F33" s="188">
        <v>126.17000000000002</v>
      </c>
      <c r="G33" s="188"/>
      <c r="H33" s="188"/>
      <c r="I33" s="146">
        <f t="shared" si="1"/>
        <v>126.17000000000002</v>
      </c>
      <c r="J33" s="530">
        <v>26.990000000000002</v>
      </c>
      <c r="K33" s="451">
        <f t="shared" si="8"/>
        <v>3405.33</v>
      </c>
      <c r="L33" s="451">
        <f t="shared" si="9"/>
        <v>0</v>
      </c>
      <c r="M33" s="451">
        <f t="shared" si="10"/>
        <v>0</v>
      </c>
      <c r="N33" s="33">
        <f t="shared" si="7"/>
        <v>3405.33</v>
      </c>
      <c r="S33" s="32"/>
    </row>
    <row r="34" spans="1:19" x14ac:dyDescent="0.25">
      <c r="A34" s="142"/>
      <c r="B34" s="142"/>
      <c r="C34" s="48"/>
      <c r="D34" s="40"/>
      <c r="E34" s="199"/>
      <c r="F34" s="200"/>
      <c r="G34" s="200"/>
      <c r="H34" s="200"/>
      <c r="I34" s="162"/>
      <c r="J34" s="533"/>
      <c r="K34" s="33"/>
      <c r="L34" s="143"/>
      <c r="M34" s="143"/>
      <c r="N34" s="144"/>
      <c r="S34" s="32"/>
    </row>
    <row r="35" spans="1:19" ht="15.75" x14ac:dyDescent="0.25">
      <c r="A35" s="182">
        <v>3</v>
      </c>
      <c r="B35" s="183" t="s">
        <v>116</v>
      </c>
      <c r="C35" s="72"/>
      <c r="D35" s="172"/>
      <c r="E35" s="184"/>
      <c r="F35" s="184"/>
      <c r="G35" s="201"/>
      <c r="H35" s="201"/>
      <c r="I35" s="184"/>
      <c r="J35" s="534"/>
      <c r="K35" s="145">
        <f>SUM(K37:K52)</f>
        <v>221357.05</v>
      </c>
      <c r="L35" s="145">
        <f t="shared" ref="L35:N35" si="11">SUM(L37:L52)</f>
        <v>22542.504052999368</v>
      </c>
      <c r="M35" s="145">
        <f t="shared" si="11"/>
        <v>-15567.492340000001</v>
      </c>
      <c r="N35" s="145">
        <f t="shared" si="11"/>
        <v>228332.06171299936</v>
      </c>
      <c r="S35" s="32"/>
    </row>
    <row r="36" spans="1:19" ht="15.75" x14ac:dyDescent="0.25">
      <c r="A36" s="182" t="s">
        <v>115</v>
      </c>
      <c r="B36" s="183" t="s">
        <v>114</v>
      </c>
      <c r="C36" s="202"/>
      <c r="D36" s="203"/>
      <c r="E36" s="184"/>
      <c r="F36" s="184"/>
      <c r="G36" s="201"/>
      <c r="H36" s="201"/>
      <c r="I36" s="184"/>
      <c r="J36" s="534"/>
      <c r="K36" s="33"/>
      <c r="L36" s="184"/>
      <c r="M36" s="184"/>
      <c r="N36" s="204"/>
      <c r="S36" s="32"/>
    </row>
    <row r="37" spans="1:19" ht="38.25" x14ac:dyDescent="0.25">
      <c r="A37" s="36" t="s">
        <v>446</v>
      </c>
      <c r="B37" s="205" t="s">
        <v>447</v>
      </c>
      <c r="C37" s="46" t="s">
        <v>158</v>
      </c>
      <c r="D37" s="40" t="s">
        <v>135</v>
      </c>
      <c r="E37" s="206" t="s">
        <v>441</v>
      </c>
      <c r="F37" s="188">
        <v>1282.55</v>
      </c>
      <c r="G37" s="146">
        <v>342.0907000000002</v>
      </c>
      <c r="H37" s="146"/>
      <c r="I37" s="146">
        <f t="shared" ref="I37:I43" si="12">F37+G37+H37</f>
        <v>1624.6407000000002</v>
      </c>
      <c r="J37" s="530">
        <v>23.39</v>
      </c>
      <c r="K37" s="33">
        <f>ROUND(J37*F37,2)</f>
        <v>29998.84</v>
      </c>
      <c r="L37" s="33">
        <f>G37*J37</f>
        <v>8001.5014730000048</v>
      </c>
      <c r="M37" s="33">
        <f>H37*J37</f>
        <v>0</v>
      </c>
      <c r="N37" s="33">
        <f>K37+L37+M37</f>
        <v>38000.341473000008</v>
      </c>
      <c r="S37" s="32"/>
    </row>
    <row r="38" spans="1:19" ht="38.25" x14ac:dyDescent="0.25">
      <c r="A38" s="36" t="s">
        <v>448</v>
      </c>
      <c r="B38" s="36" t="s">
        <v>449</v>
      </c>
      <c r="C38" s="46" t="s">
        <v>159</v>
      </c>
      <c r="D38" s="40" t="s">
        <v>135</v>
      </c>
      <c r="E38" s="37" t="s">
        <v>441</v>
      </c>
      <c r="F38" s="188">
        <v>167</v>
      </c>
      <c r="G38" s="146">
        <v>156.702</v>
      </c>
      <c r="H38" s="146"/>
      <c r="I38" s="146">
        <f t="shared" si="12"/>
        <v>323.702</v>
      </c>
      <c r="J38" s="530">
        <v>22.94</v>
      </c>
      <c r="K38" s="451">
        <f t="shared" ref="K38:K43" si="13">ROUND(J38*F38,2)</f>
        <v>3830.98</v>
      </c>
      <c r="L38" s="451">
        <f t="shared" ref="L38:L43" si="14">G38*J38</f>
        <v>3594.74388</v>
      </c>
      <c r="M38" s="451">
        <f t="shared" ref="M38:M43" si="15">H38*J38</f>
        <v>0</v>
      </c>
      <c r="N38" s="451">
        <f t="shared" ref="N38:N43" si="16">K38+L38+M38</f>
        <v>7425.7238799999996</v>
      </c>
      <c r="S38" s="32"/>
    </row>
    <row r="39" spans="1:19" ht="38.25" x14ac:dyDescent="0.25">
      <c r="A39" s="36" t="s">
        <v>450</v>
      </c>
      <c r="B39" s="36" t="s">
        <v>113</v>
      </c>
      <c r="C39" s="48" t="s">
        <v>160</v>
      </c>
      <c r="D39" s="40" t="s">
        <v>135</v>
      </c>
      <c r="E39" s="37" t="s">
        <v>441</v>
      </c>
      <c r="F39" s="188">
        <v>3353.18</v>
      </c>
      <c r="G39" s="146"/>
      <c r="H39" s="146">
        <v>-126.01800000000003</v>
      </c>
      <c r="I39" s="146">
        <f t="shared" si="12"/>
        <v>3227.1619999999998</v>
      </c>
      <c r="J39" s="530">
        <v>19.98</v>
      </c>
      <c r="K39" s="451">
        <f t="shared" si="13"/>
        <v>66996.539999999994</v>
      </c>
      <c r="L39" s="451">
        <f t="shared" si="14"/>
        <v>0</v>
      </c>
      <c r="M39" s="451">
        <f t="shared" si="15"/>
        <v>-2517.8396400000006</v>
      </c>
      <c r="N39" s="451">
        <f t="shared" si="16"/>
        <v>64478.700359999995</v>
      </c>
      <c r="S39" s="32"/>
    </row>
    <row r="40" spans="1:19" ht="38.25" x14ac:dyDescent="0.25">
      <c r="A40" s="36" t="s">
        <v>451</v>
      </c>
      <c r="B40" s="36" t="s">
        <v>452</v>
      </c>
      <c r="C40" s="48" t="s">
        <v>161</v>
      </c>
      <c r="D40" s="40" t="s">
        <v>135</v>
      </c>
      <c r="E40" s="37" t="s">
        <v>441</v>
      </c>
      <c r="F40" s="188">
        <v>210.090000000001</v>
      </c>
      <c r="G40" s="146">
        <v>539.87999999999897</v>
      </c>
      <c r="H40" s="146"/>
      <c r="I40" s="146">
        <f t="shared" si="12"/>
        <v>749.97</v>
      </c>
      <c r="J40" s="530">
        <v>16.989999999999998</v>
      </c>
      <c r="K40" s="451">
        <f t="shared" si="13"/>
        <v>3569.43</v>
      </c>
      <c r="L40" s="451">
        <f t="shared" si="14"/>
        <v>9172.5611999999819</v>
      </c>
      <c r="M40" s="451">
        <f t="shared" si="15"/>
        <v>0</v>
      </c>
      <c r="N40" s="451">
        <f t="shared" si="16"/>
        <v>12741.991199999982</v>
      </c>
      <c r="S40" s="32"/>
    </row>
    <row r="41" spans="1:19" ht="25.5" x14ac:dyDescent="0.25">
      <c r="A41" s="36" t="s">
        <v>453</v>
      </c>
      <c r="B41" s="36" t="s">
        <v>454</v>
      </c>
      <c r="C41" s="48" t="s">
        <v>162</v>
      </c>
      <c r="D41" s="40" t="s">
        <v>134</v>
      </c>
      <c r="E41" s="37" t="s">
        <v>400</v>
      </c>
      <c r="F41" s="188">
        <v>1045.7</v>
      </c>
      <c r="G41" s="146"/>
      <c r="H41" s="146">
        <v>-182.49</v>
      </c>
      <c r="I41" s="146">
        <f t="shared" si="12"/>
        <v>863.21</v>
      </c>
      <c r="J41" s="530">
        <v>48.69</v>
      </c>
      <c r="K41" s="451">
        <f t="shared" si="13"/>
        <v>50915.13</v>
      </c>
      <c r="L41" s="451">
        <f t="shared" si="14"/>
        <v>0</v>
      </c>
      <c r="M41" s="451">
        <f t="shared" si="15"/>
        <v>-8885.4380999999994</v>
      </c>
      <c r="N41" s="451">
        <f t="shared" si="16"/>
        <v>42029.691899999998</v>
      </c>
      <c r="S41" s="32"/>
    </row>
    <row r="42" spans="1:19" ht="25.5" x14ac:dyDescent="0.25">
      <c r="A42" s="36" t="s">
        <v>455</v>
      </c>
      <c r="B42" s="36" t="s">
        <v>112</v>
      </c>
      <c r="C42" s="48" t="s">
        <v>156</v>
      </c>
      <c r="D42" s="40" t="s">
        <v>135</v>
      </c>
      <c r="E42" s="37" t="s">
        <v>63</v>
      </c>
      <c r="F42" s="188">
        <v>63.600000000001003</v>
      </c>
      <c r="G42" s="146">
        <v>2.8499999999989996</v>
      </c>
      <c r="H42" s="146"/>
      <c r="I42" s="146">
        <f t="shared" si="12"/>
        <v>66.45</v>
      </c>
      <c r="J42" s="530">
        <v>444.59000000000003</v>
      </c>
      <c r="K42" s="451">
        <f t="shared" si="13"/>
        <v>28275.919999999998</v>
      </c>
      <c r="L42" s="451">
        <f t="shared" si="14"/>
        <v>1267.0814999995553</v>
      </c>
      <c r="M42" s="451">
        <f t="shared" si="15"/>
        <v>0</v>
      </c>
      <c r="N42" s="451">
        <f t="shared" si="16"/>
        <v>29543.001499999555</v>
      </c>
      <c r="S42" s="32"/>
    </row>
    <row r="43" spans="1:19" ht="25.5" x14ac:dyDescent="0.25">
      <c r="A43" s="36" t="s">
        <v>456</v>
      </c>
      <c r="B43" s="207" t="s">
        <v>444</v>
      </c>
      <c r="C43" s="48">
        <v>92873</v>
      </c>
      <c r="D43" s="40" t="s">
        <v>135</v>
      </c>
      <c r="E43" s="208" t="s">
        <v>63</v>
      </c>
      <c r="F43" s="188">
        <v>63.600000000001003</v>
      </c>
      <c r="G43" s="146">
        <v>2.8499999999989996</v>
      </c>
      <c r="H43" s="146"/>
      <c r="I43" s="146">
        <f t="shared" si="12"/>
        <v>66.45</v>
      </c>
      <c r="J43" s="530">
        <v>177.76000000000002</v>
      </c>
      <c r="K43" s="451">
        <f t="shared" si="13"/>
        <v>11305.54</v>
      </c>
      <c r="L43" s="451">
        <f t="shared" si="14"/>
        <v>506.61599999982224</v>
      </c>
      <c r="M43" s="451">
        <f t="shared" si="15"/>
        <v>0</v>
      </c>
      <c r="N43" s="451">
        <f t="shared" si="16"/>
        <v>11812.155999999823</v>
      </c>
      <c r="S43" s="32"/>
    </row>
    <row r="44" spans="1:19" x14ac:dyDescent="0.25">
      <c r="A44" s="182" t="s">
        <v>111</v>
      </c>
      <c r="B44" s="183" t="s">
        <v>110</v>
      </c>
      <c r="C44" s="209"/>
      <c r="D44" s="210"/>
      <c r="E44" s="184"/>
      <c r="F44" s="184"/>
      <c r="G44" s="211"/>
      <c r="H44" s="211"/>
      <c r="I44" s="211"/>
      <c r="J44" s="534"/>
      <c r="K44" s="33"/>
      <c r="L44" s="184"/>
      <c r="M44" s="184"/>
      <c r="N44" s="204"/>
      <c r="S44" s="32"/>
    </row>
    <row r="45" spans="1:19" ht="38.25" x14ac:dyDescent="0.25">
      <c r="A45" s="35" t="s">
        <v>457</v>
      </c>
      <c r="B45" s="153" t="s">
        <v>399</v>
      </c>
      <c r="C45" s="48" t="s">
        <v>163</v>
      </c>
      <c r="D45" s="40" t="s">
        <v>135</v>
      </c>
      <c r="E45" s="186" t="s">
        <v>0</v>
      </c>
      <c r="F45" s="150">
        <v>134.4</v>
      </c>
      <c r="G45" s="146"/>
      <c r="H45" s="146">
        <v>-21.910000000000011</v>
      </c>
      <c r="I45" s="146">
        <f>F45+G45+H45</f>
        <v>112.49</v>
      </c>
      <c r="J45" s="535">
        <v>190.06</v>
      </c>
      <c r="K45" s="33">
        <f>ROUND(J45*F45,2)</f>
        <v>25544.06</v>
      </c>
      <c r="L45" s="33">
        <f t="shared" ref="L45" si="17">G45*J45</f>
        <v>0</v>
      </c>
      <c r="M45" s="33">
        <f>H45*J45</f>
        <v>-4164.2146000000021</v>
      </c>
      <c r="N45" s="33">
        <f t="shared" ref="N45:N52" si="18">K45+L45+M45</f>
        <v>21379.845399999998</v>
      </c>
      <c r="S45" s="32"/>
    </row>
    <row r="46" spans="1:19" x14ac:dyDescent="0.25">
      <c r="A46" s="182" t="s">
        <v>109</v>
      </c>
      <c r="B46" s="183" t="s">
        <v>108</v>
      </c>
      <c r="C46" s="209"/>
      <c r="D46" s="210"/>
      <c r="E46" s="184"/>
      <c r="F46" s="184"/>
      <c r="G46" s="211"/>
      <c r="H46" s="211"/>
      <c r="I46" s="211"/>
      <c r="J46" s="534"/>
      <c r="K46" s="33"/>
      <c r="L46" s="184"/>
      <c r="M46" s="184"/>
      <c r="N46" s="204"/>
      <c r="S46" s="32"/>
    </row>
    <row r="47" spans="1:19" ht="25.5" x14ac:dyDescent="0.25">
      <c r="A47" s="35" t="s">
        <v>458</v>
      </c>
      <c r="B47" s="35" t="s">
        <v>459</v>
      </c>
      <c r="C47" s="48" t="s">
        <v>164</v>
      </c>
      <c r="D47" s="40" t="s">
        <v>135</v>
      </c>
      <c r="E47" s="88" t="s">
        <v>67</v>
      </c>
      <c r="F47" s="188">
        <v>10</v>
      </c>
      <c r="G47" s="146"/>
      <c r="H47" s="146"/>
      <c r="I47" s="146">
        <f>F47+G47+H47</f>
        <v>10</v>
      </c>
      <c r="J47" s="536">
        <v>37.349999999999994</v>
      </c>
      <c r="K47" s="33">
        <f>ROUND(J47*F47,2)</f>
        <v>373.5</v>
      </c>
      <c r="L47" s="33">
        <f t="shared" ref="L47:L52" si="19">G47*J47</f>
        <v>0</v>
      </c>
      <c r="M47" s="33">
        <f t="shared" ref="M47:M52" si="20">H47*J47</f>
        <v>0</v>
      </c>
      <c r="N47" s="33">
        <f t="shared" si="18"/>
        <v>373.5</v>
      </c>
      <c r="S47" s="32"/>
    </row>
    <row r="48" spans="1:19" ht="25.5" x14ac:dyDescent="0.25">
      <c r="A48" s="35" t="s">
        <v>460</v>
      </c>
      <c r="B48" s="35" t="s">
        <v>461</v>
      </c>
      <c r="C48" s="48" t="s">
        <v>165</v>
      </c>
      <c r="D48" s="40" t="s">
        <v>135</v>
      </c>
      <c r="E48" s="88" t="s">
        <v>67</v>
      </c>
      <c r="F48" s="188">
        <v>2</v>
      </c>
      <c r="G48" s="146"/>
      <c r="H48" s="146"/>
      <c r="I48" s="146">
        <f t="shared" ref="I48:I52" si="21">F48+G48+H48</f>
        <v>2</v>
      </c>
      <c r="J48" s="536">
        <v>65.989999999999995</v>
      </c>
      <c r="K48" s="33">
        <f t="shared" ref="K48:K52" si="22">ROUND(J48*F48,2)</f>
        <v>131.97999999999999</v>
      </c>
      <c r="L48" s="33">
        <f t="shared" si="19"/>
        <v>0</v>
      </c>
      <c r="M48" s="33">
        <f t="shared" si="20"/>
        <v>0</v>
      </c>
      <c r="N48" s="33">
        <f t="shared" si="18"/>
        <v>131.97999999999999</v>
      </c>
      <c r="S48" s="32"/>
    </row>
    <row r="49" spans="1:19" ht="25.5" x14ac:dyDescent="0.25">
      <c r="A49" s="35" t="s">
        <v>462</v>
      </c>
      <c r="B49" s="35" t="s">
        <v>463</v>
      </c>
      <c r="C49" s="48" t="s">
        <v>166</v>
      </c>
      <c r="D49" s="40" t="s">
        <v>135</v>
      </c>
      <c r="E49" s="88" t="s">
        <v>67</v>
      </c>
      <c r="F49" s="188">
        <v>0.95</v>
      </c>
      <c r="G49" s="146"/>
      <c r="H49" s="146"/>
      <c r="I49" s="146">
        <f t="shared" si="21"/>
        <v>0.95</v>
      </c>
      <c r="J49" s="536">
        <v>51.26</v>
      </c>
      <c r="K49" s="33">
        <f t="shared" si="22"/>
        <v>48.7</v>
      </c>
      <c r="L49" s="33">
        <f t="shared" si="19"/>
        <v>0</v>
      </c>
      <c r="M49" s="33">
        <f t="shared" si="20"/>
        <v>0</v>
      </c>
      <c r="N49" s="33">
        <f t="shared" si="18"/>
        <v>48.7</v>
      </c>
      <c r="S49" s="32"/>
    </row>
    <row r="50" spans="1:19" ht="25.5" x14ac:dyDescent="0.25">
      <c r="A50" s="35" t="s">
        <v>464</v>
      </c>
      <c r="B50" s="35" t="s">
        <v>465</v>
      </c>
      <c r="C50" s="48" t="s">
        <v>167</v>
      </c>
      <c r="D50" s="40" t="s">
        <v>135</v>
      </c>
      <c r="E50" s="88" t="s">
        <v>67</v>
      </c>
      <c r="F50" s="188">
        <v>2.5</v>
      </c>
      <c r="G50" s="146"/>
      <c r="H50" s="146"/>
      <c r="I50" s="146">
        <f t="shared" si="21"/>
        <v>2.5</v>
      </c>
      <c r="J50" s="536">
        <v>66.86</v>
      </c>
      <c r="K50" s="33">
        <f t="shared" si="22"/>
        <v>167.15</v>
      </c>
      <c r="L50" s="33">
        <f t="shared" si="19"/>
        <v>0</v>
      </c>
      <c r="M50" s="33">
        <f t="shared" si="20"/>
        <v>0</v>
      </c>
      <c r="N50" s="33">
        <f t="shared" si="18"/>
        <v>167.15</v>
      </c>
      <c r="S50" s="32"/>
    </row>
    <row r="51" spans="1:19" ht="25.5" x14ac:dyDescent="0.25">
      <c r="A51" s="35" t="s">
        <v>466</v>
      </c>
      <c r="B51" s="35" t="s">
        <v>467</v>
      </c>
      <c r="C51" s="48" t="s">
        <v>168</v>
      </c>
      <c r="D51" s="40" t="s">
        <v>135</v>
      </c>
      <c r="E51" s="88" t="s">
        <v>67</v>
      </c>
      <c r="F51" s="188">
        <v>0.95</v>
      </c>
      <c r="G51" s="146"/>
      <c r="H51" s="146"/>
      <c r="I51" s="146">
        <f t="shared" si="21"/>
        <v>0.95</v>
      </c>
      <c r="J51" s="536">
        <v>50.24</v>
      </c>
      <c r="K51" s="33">
        <f t="shared" si="22"/>
        <v>47.73</v>
      </c>
      <c r="L51" s="33">
        <f t="shared" si="19"/>
        <v>0</v>
      </c>
      <c r="M51" s="33">
        <f t="shared" si="20"/>
        <v>0</v>
      </c>
      <c r="N51" s="33">
        <f t="shared" si="18"/>
        <v>47.73</v>
      </c>
      <c r="S51" s="32"/>
    </row>
    <row r="52" spans="1:19" ht="25.5" x14ac:dyDescent="0.25">
      <c r="A52" s="35" t="s">
        <v>468</v>
      </c>
      <c r="B52" s="65" t="s">
        <v>469</v>
      </c>
      <c r="C52" s="48" t="s">
        <v>169</v>
      </c>
      <c r="D52" s="40" t="s">
        <v>135</v>
      </c>
      <c r="E52" s="84" t="s">
        <v>67</v>
      </c>
      <c r="F52" s="188">
        <v>2.5</v>
      </c>
      <c r="G52" s="146"/>
      <c r="H52" s="146"/>
      <c r="I52" s="146">
        <f t="shared" si="21"/>
        <v>2.5</v>
      </c>
      <c r="J52" s="536">
        <v>60.620000000000005</v>
      </c>
      <c r="K52" s="33">
        <f t="shared" si="22"/>
        <v>151.55000000000001</v>
      </c>
      <c r="L52" s="33">
        <f t="shared" si="19"/>
        <v>0</v>
      </c>
      <c r="M52" s="33">
        <f t="shared" si="20"/>
        <v>0</v>
      </c>
      <c r="N52" s="33">
        <f t="shared" si="18"/>
        <v>151.55000000000001</v>
      </c>
      <c r="S52" s="32"/>
    </row>
    <row r="53" spans="1:19" x14ac:dyDescent="0.25">
      <c r="A53" s="154"/>
      <c r="B53" s="154"/>
      <c r="C53" s="48"/>
      <c r="D53" s="40"/>
      <c r="E53" s="212"/>
      <c r="F53" s="200"/>
      <c r="G53" s="162"/>
      <c r="H53" s="162"/>
      <c r="I53" s="162"/>
      <c r="J53" s="537"/>
      <c r="K53" s="33"/>
      <c r="L53" s="143"/>
      <c r="M53" s="143"/>
      <c r="N53" s="144"/>
      <c r="S53" s="32"/>
    </row>
    <row r="54" spans="1:19" x14ac:dyDescent="0.25">
      <c r="A54" s="182">
        <v>4</v>
      </c>
      <c r="B54" s="183" t="s">
        <v>107</v>
      </c>
      <c r="C54" s="148"/>
      <c r="D54" s="149"/>
      <c r="E54" s="184"/>
      <c r="F54" s="184"/>
      <c r="G54" s="211"/>
      <c r="H54" s="211"/>
      <c r="I54" s="211"/>
      <c r="J54" s="534"/>
      <c r="K54" s="145">
        <f>SUM(K55:K56)</f>
        <v>52595.839999999997</v>
      </c>
      <c r="L54" s="145">
        <f t="shared" ref="L54:N54" si="23">SUM(L55:L56)</f>
        <v>0</v>
      </c>
      <c r="M54" s="145">
        <f t="shared" si="23"/>
        <v>-17219.123000000072</v>
      </c>
      <c r="N54" s="145">
        <f t="shared" si="23"/>
        <v>35376.716999999924</v>
      </c>
      <c r="S54" s="32"/>
    </row>
    <row r="55" spans="1:19" ht="51" x14ac:dyDescent="0.25">
      <c r="A55" s="35" t="s">
        <v>470</v>
      </c>
      <c r="B55" s="65" t="s">
        <v>106</v>
      </c>
      <c r="C55" s="48" t="s">
        <v>170</v>
      </c>
      <c r="D55" s="40" t="s">
        <v>135</v>
      </c>
      <c r="E55" s="84" t="s">
        <v>78</v>
      </c>
      <c r="F55" s="85">
        <v>560.11000000000104</v>
      </c>
      <c r="G55" s="146"/>
      <c r="H55" s="146">
        <v>-124.54000000000104</v>
      </c>
      <c r="I55" s="146">
        <f>F55+G55+H55</f>
        <v>435.57</v>
      </c>
      <c r="J55" s="535">
        <v>70.34</v>
      </c>
      <c r="K55" s="33">
        <f>ROUND(J55*F55,2)</f>
        <v>39398.14</v>
      </c>
      <c r="L55" s="33">
        <f t="shared" ref="L55" si="24">G55*J55</f>
        <v>0</v>
      </c>
      <c r="M55" s="33">
        <f t="shared" ref="M55:M56" si="25">H55*J55</f>
        <v>-8760.143600000074</v>
      </c>
      <c r="N55" s="33">
        <f t="shared" ref="N55:N56" si="26">K55+L55+M55</f>
        <v>30637.996399999924</v>
      </c>
      <c r="S55" s="32"/>
    </row>
    <row r="56" spans="1:19" ht="38.25" x14ac:dyDescent="0.25">
      <c r="A56" s="35" t="s">
        <v>471</v>
      </c>
      <c r="B56" s="65" t="s">
        <v>105</v>
      </c>
      <c r="C56" s="40" t="s">
        <v>171</v>
      </c>
      <c r="D56" s="40" t="s">
        <v>136</v>
      </c>
      <c r="E56" s="84" t="s">
        <v>78</v>
      </c>
      <c r="F56" s="85">
        <v>146.69</v>
      </c>
      <c r="G56" s="146"/>
      <c r="H56" s="146">
        <v>-94.02</v>
      </c>
      <c r="I56" s="146">
        <f>F56+G56+H56</f>
        <v>52.67</v>
      </c>
      <c r="J56" s="535">
        <v>89.97</v>
      </c>
      <c r="K56" s="451">
        <f>ROUND(J56*F56,2)</f>
        <v>13197.7</v>
      </c>
      <c r="L56" s="33">
        <f>G56*J56</f>
        <v>0</v>
      </c>
      <c r="M56" s="33">
        <f t="shared" si="25"/>
        <v>-8458.9794000000002</v>
      </c>
      <c r="N56" s="33">
        <f t="shared" si="26"/>
        <v>4738.7206000000006</v>
      </c>
      <c r="S56" s="32"/>
    </row>
    <row r="57" spans="1:19" x14ac:dyDescent="0.25">
      <c r="A57" s="154"/>
      <c r="B57" s="154"/>
      <c r="C57" s="40"/>
      <c r="D57" s="40"/>
      <c r="E57" s="212"/>
      <c r="F57" s="214"/>
      <c r="G57" s="162"/>
      <c r="H57" s="162"/>
      <c r="I57" s="162"/>
      <c r="J57" s="538"/>
      <c r="K57" s="33"/>
      <c r="L57" s="143"/>
      <c r="M57" s="143"/>
      <c r="N57" s="144"/>
      <c r="S57" s="32"/>
    </row>
    <row r="58" spans="1:19" x14ac:dyDescent="0.25">
      <c r="A58" s="182">
        <v>5</v>
      </c>
      <c r="B58" s="183" t="s">
        <v>104</v>
      </c>
      <c r="C58" s="72"/>
      <c r="D58" s="172"/>
      <c r="E58" s="184"/>
      <c r="F58" s="184"/>
      <c r="G58" s="211"/>
      <c r="H58" s="211"/>
      <c r="I58" s="211"/>
      <c r="J58" s="534"/>
      <c r="K58" s="145">
        <f>SUM(K59:K75)</f>
        <v>189664.68</v>
      </c>
      <c r="L58" s="145">
        <f t="shared" ref="L58:N58" si="27">SUM(L59:L75)</f>
        <v>32096.462999999996</v>
      </c>
      <c r="M58" s="145">
        <f t="shared" si="27"/>
        <v>-29828.266224999999</v>
      </c>
      <c r="N58" s="145">
        <f t="shared" si="27"/>
        <v>191932.87677499998</v>
      </c>
      <c r="S58" s="32"/>
    </row>
    <row r="59" spans="1:19" x14ac:dyDescent="0.25">
      <c r="A59" s="35" t="s">
        <v>326</v>
      </c>
      <c r="B59" s="65" t="s">
        <v>327</v>
      </c>
      <c r="C59" s="45" t="s">
        <v>172</v>
      </c>
      <c r="D59" s="45" t="s">
        <v>138</v>
      </c>
      <c r="E59" s="84" t="s">
        <v>78</v>
      </c>
      <c r="F59" s="85">
        <v>0</v>
      </c>
      <c r="G59" s="146"/>
      <c r="H59" s="146"/>
      <c r="I59" s="146">
        <f>F59+G59+H59</f>
        <v>0</v>
      </c>
      <c r="J59" s="535">
        <v>143.84</v>
      </c>
      <c r="K59" s="422">
        <f>ROUND(J59*F59,2)</f>
        <v>0</v>
      </c>
      <c r="L59" s="451">
        <f>G59*J59</f>
        <v>0</v>
      </c>
      <c r="M59" s="451">
        <f t="shared" ref="M59:M75" si="28">H59*J59</f>
        <v>0</v>
      </c>
      <c r="N59" s="33">
        <f t="shared" ref="N59" si="29">K59+L59+M59</f>
        <v>0</v>
      </c>
      <c r="S59" s="32"/>
    </row>
    <row r="60" spans="1:19" ht="25.5" x14ac:dyDescent="0.25">
      <c r="A60" s="35" t="s">
        <v>472</v>
      </c>
      <c r="B60" s="35" t="s">
        <v>473</v>
      </c>
      <c r="C60" s="50" t="s">
        <v>173</v>
      </c>
      <c r="D60" s="40" t="s">
        <v>135</v>
      </c>
      <c r="E60" s="88" t="s">
        <v>78</v>
      </c>
      <c r="F60" s="85">
        <v>223.8</v>
      </c>
      <c r="G60" s="146"/>
      <c r="H60" s="146">
        <v>-35.879999999999995</v>
      </c>
      <c r="I60" s="146">
        <f t="shared" ref="I60:I75" si="30">F60+G60+H60</f>
        <v>187.92000000000002</v>
      </c>
      <c r="J60" s="535">
        <v>161.29000000000002</v>
      </c>
      <c r="K60" s="451">
        <f t="shared" ref="K60:K75" si="31">ROUND(J60*F60,2)</f>
        <v>36096.699999999997</v>
      </c>
      <c r="L60" s="451">
        <f t="shared" ref="L60:L75" si="32">G60*J60</f>
        <v>0</v>
      </c>
      <c r="M60" s="451">
        <f t="shared" si="28"/>
        <v>-5787.0852000000004</v>
      </c>
      <c r="N60" s="33">
        <f>K60+L60+M60</f>
        <v>30309.614799999996</v>
      </c>
      <c r="S60" s="32"/>
    </row>
    <row r="61" spans="1:19" ht="25.5" x14ac:dyDescent="0.25">
      <c r="A61" s="35" t="s">
        <v>474</v>
      </c>
      <c r="B61" s="35" t="s">
        <v>392</v>
      </c>
      <c r="C61" s="50" t="s">
        <v>174</v>
      </c>
      <c r="D61" s="40" t="s">
        <v>135</v>
      </c>
      <c r="E61" s="88" t="s">
        <v>78</v>
      </c>
      <c r="F61" s="85">
        <v>274.86</v>
      </c>
      <c r="G61" s="146">
        <f>Memorial!L252</f>
        <v>33.479999999999961</v>
      </c>
      <c r="H61" s="146"/>
      <c r="I61" s="146">
        <f t="shared" si="30"/>
        <v>308.33999999999997</v>
      </c>
      <c r="J61" s="535">
        <v>75.849999999999994</v>
      </c>
      <c r="K61" s="451">
        <f t="shared" si="31"/>
        <v>20848.13</v>
      </c>
      <c r="L61" s="451">
        <f t="shared" si="32"/>
        <v>2539.4579999999969</v>
      </c>
      <c r="M61" s="451">
        <f t="shared" si="28"/>
        <v>0</v>
      </c>
      <c r="N61" s="451">
        <f t="shared" ref="N61:N75" si="33">K61+L61+M61</f>
        <v>23387.587999999996</v>
      </c>
      <c r="S61" s="32"/>
    </row>
    <row r="62" spans="1:19" ht="25.5" x14ac:dyDescent="0.25">
      <c r="A62" s="35" t="s">
        <v>475</v>
      </c>
      <c r="B62" s="35" t="s">
        <v>476</v>
      </c>
      <c r="C62" s="50" t="s">
        <v>175</v>
      </c>
      <c r="D62" s="40" t="s">
        <v>135</v>
      </c>
      <c r="E62" s="88" t="s">
        <v>78</v>
      </c>
      <c r="F62" s="85">
        <v>52.56</v>
      </c>
      <c r="G62" s="146"/>
      <c r="H62" s="146">
        <v>-24.060000000000002</v>
      </c>
      <c r="I62" s="146">
        <f t="shared" si="30"/>
        <v>28.5</v>
      </c>
      <c r="J62" s="535">
        <v>36.22</v>
      </c>
      <c r="K62" s="451">
        <f t="shared" si="31"/>
        <v>1903.72</v>
      </c>
      <c r="L62" s="451">
        <f t="shared" si="32"/>
        <v>0</v>
      </c>
      <c r="M62" s="451">
        <f t="shared" si="28"/>
        <v>-871.45320000000004</v>
      </c>
      <c r="N62" s="451">
        <f t="shared" si="33"/>
        <v>1032.2667999999999</v>
      </c>
      <c r="S62" s="32"/>
    </row>
    <row r="63" spans="1:19" ht="25.5" x14ac:dyDescent="0.25">
      <c r="A63" s="35" t="s">
        <v>477</v>
      </c>
      <c r="B63" s="35" t="s">
        <v>478</v>
      </c>
      <c r="C63" s="159" t="s">
        <v>176</v>
      </c>
      <c r="D63" s="161" t="s">
        <v>134</v>
      </c>
      <c r="E63" s="88" t="s">
        <v>1</v>
      </c>
      <c r="F63" s="85">
        <v>27.49</v>
      </c>
      <c r="G63" s="146"/>
      <c r="H63" s="146">
        <v>-0.49</v>
      </c>
      <c r="I63" s="146">
        <f t="shared" si="30"/>
        <v>27</v>
      </c>
      <c r="J63" s="535">
        <v>110</v>
      </c>
      <c r="K63" s="451">
        <f t="shared" si="31"/>
        <v>3023.9</v>
      </c>
      <c r="L63" s="451">
        <f t="shared" si="32"/>
        <v>0</v>
      </c>
      <c r="M63" s="451">
        <f t="shared" si="28"/>
        <v>-53.9</v>
      </c>
      <c r="N63" s="451">
        <f t="shared" si="33"/>
        <v>2970</v>
      </c>
      <c r="S63" s="32"/>
    </row>
    <row r="64" spans="1:19" ht="25.5" x14ac:dyDescent="0.25">
      <c r="A64" s="35" t="s">
        <v>479</v>
      </c>
      <c r="B64" s="35" t="s">
        <v>480</v>
      </c>
      <c r="C64" s="159" t="s">
        <v>177</v>
      </c>
      <c r="D64" s="161" t="s">
        <v>134</v>
      </c>
      <c r="E64" s="88" t="s">
        <v>67</v>
      </c>
      <c r="F64" s="85">
        <v>26.38</v>
      </c>
      <c r="G64" s="146"/>
      <c r="H64" s="146">
        <v>-2.379999999999999</v>
      </c>
      <c r="I64" s="146">
        <f t="shared" si="30"/>
        <v>24</v>
      </c>
      <c r="J64" s="535">
        <v>76.19</v>
      </c>
      <c r="K64" s="451">
        <f t="shared" si="31"/>
        <v>2009.89</v>
      </c>
      <c r="L64" s="451">
        <f t="shared" si="32"/>
        <v>0</v>
      </c>
      <c r="M64" s="451">
        <f t="shared" si="28"/>
        <v>-181.33219999999992</v>
      </c>
      <c r="N64" s="451">
        <f t="shared" si="33"/>
        <v>1828.5578000000003</v>
      </c>
      <c r="S64" s="32"/>
    </row>
    <row r="65" spans="1:19" ht="25.5" x14ac:dyDescent="0.25">
      <c r="A65" s="35" t="s">
        <v>481</v>
      </c>
      <c r="B65" s="35" t="s">
        <v>482</v>
      </c>
      <c r="C65" s="159" t="s">
        <v>178</v>
      </c>
      <c r="D65" s="161" t="s">
        <v>134</v>
      </c>
      <c r="E65" s="88" t="s">
        <v>1</v>
      </c>
      <c r="F65" s="85">
        <v>42.03</v>
      </c>
      <c r="G65" s="146"/>
      <c r="H65" s="146"/>
      <c r="I65" s="146">
        <f t="shared" si="30"/>
        <v>42.03</v>
      </c>
      <c r="J65" s="535">
        <v>44.650000000000006</v>
      </c>
      <c r="K65" s="451">
        <f t="shared" si="31"/>
        <v>1876.64</v>
      </c>
      <c r="L65" s="451">
        <f t="shared" si="32"/>
        <v>0</v>
      </c>
      <c r="M65" s="451">
        <f t="shared" si="28"/>
        <v>0</v>
      </c>
      <c r="N65" s="451">
        <f t="shared" si="33"/>
        <v>1876.64</v>
      </c>
      <c r="S65" s="32"/>
    </row>
    <row r="66" spans="1:19" ht="25.5" x14ac:dyDescent="0.25">
      <c r="A66" s="35" t="s">
        <v>483</v>
      </c>
      <c r="B66" s="35" t="s">
        <v>484</v>
      </c>
      <c r="C66" s="159" t="s">
        <v>179</v>
      </c>
      <c r="D66" s="161" t="s">
        <v>135</v>
      </c>
      <c r="E66" s="88" t="s">
        <v>67</v>
      </c>
      <c r="F66" s="85">
        <v>9.0299999999999994</v>
      </c>
      <c r="G66" s="146">
        <v>43.769999999999996</v>
      </c>
      <c r="H66" s="146"/>
      <c r="I66" s="146">
        <f t="shared" si="30"/>
        <v>52.8</v>
      </c>
      <c r="J66" s="535">
        <v>69.760000000000005</v>
      </c>
      <c r="K66" s="451">
        <f t="shared" si="31"/>
        <v>629.92999999999995</v>
      </c>
      <c r="L66" s="451">
        <f t="shared" si="32"/>
        <v>3053.3951999999999</v>
      </c>
      <c r="M66" s="451">
        <f t="shared" si="28"/>
        <v>0</v>
      </c>
      <c r="N66" s="451">
        <f t="shared" si="33"/>
        <v>3683.3251999999998</v>
      </c>
      <c r="S66" s="32"/>
    </row>
    <row r="67" spans="1:19" ht="25.5" x14ac:dyDescent="0.25">
      <c r="A67" s="35" t="s">
        <v>331</v>
      </c>
      <c r="B67" s="35" t="s">
        <v>321</v>
      </c>
      <c r="C67" s="165" t="s">
        <v>180</v>
      </c>
      <c r="D67" s="166" t="s">
        <v>135</v>
      </c>
      <c r="E67" s="88" t="s">
        <v>67</v>
      </c>
      <c r="F67" s="85">
        <v>0</v>
      </c>
      <c r="G67" s="146"/>
      <c r="H67" s="146"/>
      <c r="I67" s="146">
        <f t="shared" si="30"/>
        <v>0</v>
      </c>
      <c r="J67" s="535">
        <v>201.91000000000003</v>
      </c>
      <c r="K67" s="451">
        <f t="shared" si="31"/>
        <v>0</v>
      </c>
      <c r="L67" s="451">
        <f t="shared" si="32"/>
        <v>0</v>
      </c>
      <c r="M67" s="451">
        <f t="shared" si="28"/>
        <v>0</v>
      </c>
      <c r="N67" s="451">
        <f t="shared" si="33"/>
        <v>0</v>
      </c>
      <c r="S67" s="32"/>
    </row>
    <row r="68" spans="1:19" ht="25.5" x14ac:dyDescent="0.25">
      <c r="A68" s="35" t="s">
        <v>18</v>
      </c>
      <c r="B68" s="35" t="s">
        <v>320</v>
      </c>
      <c r="C68" s="165">
        <v>96114</v>
      </c>
      <c r="D68" s="166" t="s">
        <v>135</v>
      </c>
      <c r="E68" s="88" t="s">
        <v>78</v>
      </c>
      <c r="F68" s="85">
        <v>338.69</v>
      </c>
      <c r="G68" s="146"/>
      <c r="H68" s="146">
        <v>-153.9725</v>
      </c>
      <c r="I68" s="146">
        <f t="shared" si="30"/>
        <v>184.7175</v>
      </c>
      <c r="J68" s="535">
        <v>88.25</v>
      </c>
      <c r="K68" s="451">
        <f t="shared" si="31"/>
        <v>29889.39</v>
      </c>
      <c r="L68" s="451">
        <f t="shared" si="32"/>
        <v>0</v>
      </c>
      <c r="M68" s="451">
        <f t="shared" si="28"/>
        <v>-13588.073124999999</v>
      </c>
      <c r="N68" s="451">
        <f t="shared" si="33"/>
        <v>16301.316875</v>
      </c>
      <c r="S68" s="32"/>
    </row>
    <row r="69" spans="1:19" ht="25.5" x14ac:dyDescent="0.25">
      <c r="A69" s="86" t="s">
        <v>485</v>
      </c>
      <c r="B69" s="86" t="s">
        <v>486</v>
      </c>
      <c r="C69" s="167" t="s">
        <v>181</v>
      </c>
      <c r="D69" s="168" t="s">
        <v>135</v>
      </c>
      <c r="E69" s="215" t="s">
        <v>78</v>
      </c>
      <c r="F69" s="216">
        <v>51.25</v>
      </c>
      <c r="G69" s="217"/>
      <c r="H69" s="217">
        <v>-51.25</v>
      </c>
      <c r="I69" s="146">
        <f t="shared" si="30"/>
        <v>0</v>
      </c>
      <c r="J69" s="539">
        <v>172.1</v>
      </c>
      <c r="K69" s="451">
        <f t="shared" si="31"/>
        <v>8820.1299999999992</v>
      </c>
      <c r="L69" s="451">
        <f t="shared" si="32"/>
        <v>0</v>
      </c>
      <c r="M69" s="451">
        <f t="shared" si="28"/>
        <v>-8820.125</v>
      </c>
      <c r="N69" s="451">
        <f t="shared" si="33"/>
        <v>4.9999999991996447E-3</v>
      </c>
      <c r="S69" s="32"/>
    </row>
    <row r="70" spans="1:19" ht="38.25" x14ac:dyDescent="0.25">
      <c r="A70" s="86" t="s">
        <v>487</v>
      </c>
      <c r="B70" s="169" t="s">
        <v>77</v>
      </c>
      <c r="C70" s="170" t="s">
        <v>76</v>
      </c>
      <c r="D70" s="161" t="s">
        <v>135</v>
      </c>
      <c r="E70" s="59" t="s">
        <v>78</v>
      </c>
      <c r="F70" s="87">
        <v>40</v>
      </c>
      <c r="G70" s="146"/>
      <c r="H70" s="146">
        <v>-6.75</v>
      </c>
      <c r="I70" s="146">
        <f t="shared" si="30"/>
        <v>33.25</v>
      </c>
      <c r="J70" s="536">
        <v>77.97</v>
      </c>
      <c r="K70" s="451">
        <f t="shared" si="31"/>
        <v>3118.8</v>
      </c>
      <c r="L70" s="451">
        <f t="shared" si="32"/>
        <v>0</v>
      </c>
      <c r="M70" s="451">
        <f t="shared" si="28"/>
        <v>-526.29750000000001</v>
      </c>
      <c r="N70" s="451">
        <f t="shared" si="33"/>
        <v>2592.5025000000001</v>
      </c>
      <c r="S70" s="32"/>
    </row>
    <row r="71" spans="1:19" ht="16.5" x14ac:dyDescent="0.25">
      <c r="A71" s="86" t="s">
        <v>329</v>
      </c>
      <c r="B71" s="329" t="s">
        <v>330</v>
      </c>
      <c r="C71" s="173" t="s">
        <v>328</v>
      </c>
      <c r="D71" s="173" t="s">
        <v>136</v>
      </c>
      <c r="E71" s="59" t="s">
        <v>78</v>
      </c>
      <c r="F71" s="87">
        <v>501.52</v>
      </c>
      <c r="G71" s="146">
        <v>14.039999999999964</v>
      </c>
      <c r="H71" s="146"/>
      <c r="I71" s="146">
        <f t="shared" si="30"/>
        <v>515.55999999999995</v>
      </c>
      <c r="J71" s="536">
        <v>119.18</v>
      </c>
      <c r="K71" s="451">
        <f t="shared" si="31"/>
        <v>59771.15</v>
      </c>
      <c r="L71" s="451">
        <f t="shared" si="32"/>
        <v>1673.2871999999957</v>
      </c>
      <c r="M71" s="451">
        <f t="shared" si="28"/>
        <v>0</v>
      </c>
      <c r="N71" s="451">
        <f t="shared" si="33"/>
        <v>61444.4372</v>
      </c>
      <c r="S71" s="32"/>
    </row>
    <row r="72" spans="1:19" ht="25.5" x14ac:dyDescent="0.25">
      <c r="A72" s="86" t="s">
        <v>405</v>
      </c>
      <c r="B72" s="328" t="s">
        <v>319</v>
      </c>
      <c r="C72" s="384">
        <v>98397</v>
      </c>
      <c r="D72" s="161" t="s">
        <v>135</v>
      </c>
      <c r="E72" s="59" t="s">
        <v>78</v>
      </c>
      <c r="F72" s="87">
        <v>150.46</v>
      </c>
      <c r="G72" s="147"/>
      <c r="H72" s="146"/>
      <c r="I72" s="146">
        <f t="shared" si="30"/>
        <v>150.46</v>
      </c>
      <c r="J72" s="540">
        <v>10.43</v>
      </c>
      <c r="K72" s="451">
        <f t="shared" si="31"/>
        <v>1569.3</v>
      </c>
      <c r="L72" s="451">
        <f t="shared" si="32"/>
        <v>0</v>
      </c>
      <c r="M72" s="451">
        <f t="shared" si="28"/>
        <v>0</v>
      </c>
      <c r="N72" s="451">
        <f t="shared" si="33"/>
        <v>1569.3</v>
      </c>
      <c r="S72" s="32"/>
    </row>
    <row r="73" spans="1:19" ht="36.75" customHeight="1" x14ac:dyDescent="0.25">
      <c r="A73" s="86" t="s">
        <v>406</v>
      </c>
      <c r="B73" s="328" t="s">
        <v>881</v>
      </c>
      <c r="C73" s="385">
        <v>100742</v>
      </c>
      <c r="D73" s="161" t="s">
        <v>135</v>
      </c>
      <c r="E73" s="59" t="s">
        <v>78</v>
      </c>
      <c r="F73" s="87">
        <v>150.46</v>
      </c>
      <c r="G73" s="147"/>
      <c r="H73" s="146"/>
      <c r="I73" s="146">
        <f t="shared" ref="I73" si="34">F73+G73+H73</f>
        <v>150.46</v>
      </c>
      <c r="J73" s="540">
        <v>20.05</v>
      </c>
      <c r="K73" s="451">
        <f t="shared" si="31"/>
        <v>3016.72</v>
      </c>
      <c r="L73" s="451">
        <f t="shared" si="32"/>
        <v>0</v>
      </c>
      <c r="M73" s="451">
        <f t="shared" si="28"/>
        <v>0</v>
      </c>
      <c r="N73" s="451">
        <f t="shared" si="33"/>
        <v>3016.72</v>
      </c>
      <c r="S73" s="32"/>
    </row>
    <row r="74" spans="1:19" ht="25.5" x14ac:dyDescent="0.25">
      <c r="A74" s="347" t="s">
        <v>402</v>
      </c>
      <c r="B74" s="330" t="s">
        <v>322</v>
      </c>
      <c r="C74" s="173" t="e">
        <f>'Preço novos'!#REF!</f>
        <v>#REF!</v>
      </c>
      <c r="D74" s="161" t="s">
        <v>134</v>
      </c>
      <c r="E74" s="60" t="s">
        <v>67</v>
      </c>
      <c r="F74" s="87">
        <v>87</v>
      </c>
      <c r="G74" s="147">
        <v>84.5</v>
      </c>
      <c r="H74" s="146"/>
      <c r="I74" s="146">
        <f t="shared" si="30"/>
        <v>171.5</v>
      </c>
      <c r="J74" s="540">
        <v>196.44</v>
      </c>
      <c r="K74" s="451">
        <f t="shared" si="31"/>
        <v>17090.28</v>
      </c>
      <c r="L74" s="451">
        <f t="shared" si="32"/>
        <v>16599.18</v>
      </c>
      <c r="M74" s="451">
        <f t="shared" si="28"/>
        <v>0</v>
      </c>
      <c r="N74" s="451">
        <f t="shared" si="33"/>
        <v>33689.46</v>
      </c>
      <c r="S74" s="32"/>
    </row>
    <row r="75" spans="1:19" s="352" customFormat="1" ht="27" customHeight="1" x14ac:dyDescent="0.25">
      <c r="A75" s="378" t="s">
        <v>859</v>
      </c>
      <c r="B75" s="345" t="s">
        <v>861</v>
      </c>
      <c r="C75" s="377" t="s">
        <v>860</v>
      </c>
      <c r="D75" s="376" t="s">
        <v>135</v>
      </c>
      <c r="E75" s="373" t="s">
        <v>78</v>
      </c>
      <c r="F75" s="374">
        <v>0</v>
      </c>
      <c r="G75" s="382">
        <v>217.41000000000003</v>
      </c>
      <c r="H75" s="375"/>
      <c r="I75" s="381">
        <f t="shared" si="30"/>
        <v>217.41000000000003</v>
      </c>
      <c r="J75" s="541">
        <v>37.86</v>
      </c>
      <c r="K75" s="451">
        <f t="shared" si="31"/>
        <v>0</v>
      </c>
      <c r="L75" s="451">
        <f t="shared" si="32"/>
        <v>8231.142600000001</v>
      </c>
      <c r="M75" s="451">
        <f t="shared" si="28"/>
        <v>0</v>
      </c>
      <c r="N75" s="451">
        <f t="shared" si="33"/>
        <v>8231.142600000001</v>
      </c>
      <c r="O75" s="372">
        <v>0</v>
      </c>
      <c r="P75" s="372">
        <v>8231.142600000001</v>
      </c>
      <c r="S75" s="353"/>
    </row>
    <row r="76" spans="1:19" ht="15" x14ac:dyDescent="0.25">
      <c r="A76" s="219"/>
      <c r="B76" s="163"/>
      <c r="C76" s="61"/>
      <c r="D76" s="164"/>
      <c r="E76" s="60"/>
      <c r="F76" s="87"/>
      <c r="G76" s="147"/>
      <c r="H76" s="147"/>
      <c r="I76" s="147"/>
      <c r="J76" s="540"/>
      <c r="K76" s="33"/>
      <c r="L76" s="57"/>
      <c r="M76" s="33"/>
      <c r="N76" s="33"/>
      <c r="S76" s="32"/>
    </row>
    <row r="77" spans="1:19" x14ac:dyDescent="0.25">
      <c r="A77" s="234">
        <v>6</v>
      </c>
      <c r="B77" s="218" t="s">
        <v>103</v>
      </c>
      <c r="C77" s="74"/>
      <c r="D77" s="75"/>
      <c r="E77" s="190"/>
      <c r="F77" s="87"/>
      <c r="G77" s="147"/>
      <c r="H77" s="147"/>
      <c r="I77" s="147"/>
      <c r="J77" s="542"/>
      <c r="K77" s="145">
        <f>SUM(K78:K101)</f>
        <v>187592.78000000003</v>
      </c>
      <c r="L77" s="145">
        <f t="shared" ref="L77:N77" si="35">SUM(L78:L101)</f>
        <v>18032.031230999772</v>
      </c>
      <c r="M77" s="145">
        <f t="shared" si="35"/>
        <v>-33733.78423000023</v>
      </c>
      <c r="N77" s="145">
        <f t="shared" si="35"/>
        <v>171891.02700099954</v>
      </c>
      <c r="S77" s="32"/>
    </row>
    <row r="78" spans="1:19" x14ac:dyDescent="0.25">
      <c r="A78" s="234" t="s">
        <v>102</v>
      </c>
      <c r="B78" s="183" t="s">
        <v>101</v>
      </c>
      <c r="C78" s="62"/>
      <c r="D78" s="63"/>
      <c r="E78" s="184"/>
      <c r="F78" s="184"/>
      <c r="G78" s="211"/>
      <c r="H78" s="211"/>
      <c r="I78" s="211"/>
      <c r="J78" s="534"/>
      <c r="K78" s="33"/>
      <c r="L78" s="184"/>
      <c r="M78" s="184"/>
      <c r="N78" s="204"/>
      <c r="S78" s="32"/>
    </row>
    <row r="79" spans="1:19" ht="25.5" x14ac:dyDescent="0.25">
      <c r="A79" s="35" t="s">
        <v>488</v>
      </c>
      <c r="B79" s="35" t="s">
        <v>489</v>
      </c>
      <c r="C79" s="51" t="s">
        <v>182</v>
      </c>
      <c r="D79" s="40" t="s">
        <v>135</v>
      </c>
      <c r="E79" s="88" t="s">
        <v>78</v>
      </c>
      <c r="F79" s="85">
        <v>56.12</v>
      </c>
      <c r="G79" s="146">
        <v>6.5853999999999999</v>
      </c>
      <c r="H79" s="146"/>
      <c r="I79" s="146">
        <f t="shared" ref="I79:I101" si="36">F79+G79+H79</f>
        <v>62.705399999999997</v>
      </c>
      <c r="J79" s="535">
        <v>56.470000000000006</v>
      </c>
      <c r="K79" s="33">
        <f>ROUND(J79*F79,2)</f>
        <v>3169.1</v>
      </c>
      <c r="L79" s="33">
        <f>G79*J79</f>
        <v>371.87753800000002</v>
      </c>
      <c r="M79" s="33">
        <f>H79*J79</f>
        <v>0</v>
      </c>
      <c r="N79" s="33">
        <f t="shared" ref="N79:N90" si="37">K79+L79+M79</f>
        <v>3540.9775380000001</v>
      </c>
      <c r="S79" s="32"/>
    </row>
    <row r="80" spans="1:19" ht="25.5" x14ac:dyDescent="0.25">
      <c r="A80" s="35" t="s">
        <v>490</v>
      </c>
      <c r="B80" s="35" t="s">
        <v>491</v>
      </c>
      <c r="C80" s="51" t="s">
        <v>183</v>
      </c>
      <c r="D80" s="40" t="s">
        <v>135</v>
      </c>
      <c r="E80" s="88" t="s">
        <v>78</v>
      </c>
      <c r="F80" s="85">
        <v>60.640000000001002</v>
      </c>
      <c r="G80" s="146">
        <v>2.4149999999990044</v>
      </c>
      <c r="H80" s="146"/>
      <c r="I80" s="146">
        <f t="shared" si="36"/>
        <v>63.055000000000007</v>
      </c>
      <c r="J80" s="535">
        <v>50.55</v>
      </c>
      <c r="K80" s="451">
        <f t="shared" ref="K80:K90" si="38">ROUND(J80*F80,2)</f>
        <v>3065.35</v>
      </c>
      <c r="L80" s="451">
        <f t="shared" ref="L80:L90" si="39">G80*J80</f>
        <v>122.07824999994966</v>
      </c>
      <c r="M80" s="451">
        <f t="shared" ref="M80:M90" si="40">H80*J80</f>
        <v>0</v>
      </c>
      <c r="N80" s="33">
        <f t="shared" si="37"/>
        <v>3187.4282499999495</v>
      </c>
      <c r="S80" s="32"/>
    </row>
    <row r="81" spans="1:19" ht="25.5" x14ac:dyDescent="0.25">
      <c r="A81" s="35" t="s">
        <v>336</v>
      </c>
      <c r="B81" s="35" t="s">
        <v>337</v>
      </c>
      <c r="C81" s="52" t="s">
        <v>184</v>
      </c>
      <c r="D81" s="41" t="s">
        <v>135</v>
      </c>
      <c r="E81" s="88" t="s">
        <v>78</v>
      </c>
      <c r="F81" s="85">
        <v>0</v>
      </c>
      <c r="G81" s="146"/>
      <c r="H81" s="146"/>
      <c r="I81" s="146">
        <f t="shared" si="36"/>
        <v>0</v>
      </c>
      <c r="J81" s="535">
        <v>62.58</v>
      </c>
      <c r="K81" s="451">
        <f t="shared" si="38"/>
        <v>0</v>
      </c>
      <c r="L81" s="451">
        <f t="shared" si="39"/>
        <v>0</v>
      </c>
      <c r="M81" s="451">
        <f t="shared" si="40"/>
        <v>0</v>
      </c>
      <c r="N81" s="33">
        <f t="shared" si="37"/>
        <v>0</v>
      </c>
      <c r="S81" s="32"/>
    </row>
    <row r="82" spans="1:19" ht="38.25" x14ac:dyDescent="0.25">
      <c r="A82" s="35" t="s">
        <v>492</v>
      </c>
      <c r="B82" s="35" t="s">
        <v>493</v>
      </c>
      <c r="C82" s="53" t="s">
        <v>185</v>
      </c>
      <c r="D82" s="41" t="s">
        <v>135</v>
      </c>
      <c r="E82" s="88" t="s">
        <v>400</v>
      </c>
      <c r="F82" s="85">
        <v>107.170000000001</v>
      </c>
      <c r="G82" s="146"/>
      <c r="H82" s="146"/>
      <c r="I82" s="146">
        <f t="shared" si="36"/>
        <v>107.170000000001</v>
      </c>
      <c r="J82" s="535">
        <v>176.98999999999998</v>
      </c>
      <c r="K82" s="451">
        <f t="shared" si="38"/>
        <v>18968.02</v>
      </c>
      <c r="L82" s="451">
        <f t="shared" si="39"/>
        <v>0</v>
      </c>
      <c r="M82" s="451">
        <f t="shared" si="40"/>
        <v>0</v>
      </c>
      <c r="N82" s="33">
        <f t="shared" si="37"/>
        <v>18968.02</v>
      </c>
      <c r="S82" s="32"/>
    </row>
    <row r="83" spans="1:19" ht="25.5" x14ac:dyDescent="0.25">
      <c r="A83" s="35" t="s">
        <v>494</v>
      </c>
      <c r="B83" s="35" t="s">
        <v>495</v>
      </c>
      <c r="C83" s="48" t="s">
        <v>186</v>
      </c>
      <c r="D83" s="40" t="s">
        <v>135</v>
      </c>
      <c r="E83" s="88" t="s">
        <v>78</v>
      </c>
      <c r="F83" s="85">
        <v>91.370000000000999</v>
      </c>
      <c r="G83" s="146"/>
      <c r="H83" s="146">
        <v>-91.37</v>
      </c>
      <c r="I83" s="146">
        <f t="shared" si="36"/>
        <v>9.9475983006414026E-13</v>
      </c>
      <c r="J83" s="535">
        <v>15.5</v>
      </c>
      <c r="K83" s="451">
        <f t="shared" si="38"/>
        <v>1416.24</v>
      </c>
      <c r="L83" s="451">
        <f t="shared" si="39"/>
        <v>0</v>
      </c>
      <c r="M83" s="451">
        <f t="shared" si="40"/>
        <v>-1416.2350000000001</v>
      </c>
      <c r="N83" s="33">
        <f t="shared" si="37"/>
        <v>4.9999999998817657E-3</v>
      </c>
      <c r="S83" s="32"/>
    </row>
    <row r="84" spans="1:19" ht="38.25" x14ac:dyDescent="0.25">
      <c r="A84" s="35" t="s">
        <v>496</v>
      </c>
      <c r="B84" s="35" t="s">
        <v>497</v>
      </c>
      <c r="C84" s="48" t="s">
        <v>187</v>
      </c>
      <c r="D84" s="40" t="s">
        <v>134</v>
      </c>
      <c r="E84" s="88" t="s">
        <v>400</v>
      </c>
      <c r="F84" s="85">
        <v>46.04</v>
      </c>
      <c r="G84" s="146"/>
      <c r="H84" s="146"/>
      <c r="I84" s="146">
        <f t="shared" si="36"/>
        <v>46.04</v>
      </c>
      <c r="J84" s="535">
        <v>102.24000000000001</v>
      </c>
      <c r="K84" s="451">
        <f t="shared" si="38"/>
        <v>4707.13</v>
      </c>
      <c r="L84" s="451">
        <f t="shared" si="39"/>
        <v>0</v>
      </c>
      <c r="M84" s="451">
        <f t="shared" si="40"/>
        <v>0</v>
      </c>
      <c r="N84" s="33">
        <f t="shared" si="37"/>
        <v>4707.13</v>
      </c>
      <c r="S84" s="32"/>
    </row>
    <row r="85" spans="1:19" ht="33.75" customHeight="1" x14ac:dyDescent="0.25">
      <c r="A85" s="35" t="s">
        <v>498</v>
      </c>
      <c r="B85" s="35" t="s">
        <v>499</v>
      </c>
      <c r="C85" s="48" t="s">
        <v>188</v>
      </c>
      <c r="D85" s="40" t="s">
        <v>134</v>
      </c>
      <c r="E85" s="88" t="s">
        <v>5</v>
      </c>
      <c r="F85" s="85">
        <v>1</v>
      </c>
      <c r="G85" s="146">
        <v>2</v>
      </c>
      <c r="H85" s="146"/>
      <c r="I85" s="146">
        <f t="shared" si="36"/>
        <v>3</v>
      </c>
      <c r="J85" s="535">
        <v>463.96</v>
      </c>
      <c r="K85" s="451">
        <f t="shared" si="38"/>
        <v>463.96</v>
      </c>
      <c r="L85" s="451">
        <f t="shared" si="39"/>
        <v>927.92</v>
      </c>
      <c r="M85" s="451">
        <f t="shared" si="40"/>
        <v>0</v>
      </c>
      <c r="N85" s="33">
        <f t="shared" si="37"/>
        <v>1391.8799999999999</v>
      </c>
      <c r="S85" s="32"/>
    </row>
    <row r="86" spans="1:19" ht="51" x14ac:dyDescent="0.25">
      <c r="A86" s="35" t="s">
        <v>500</v>
      </c>
      <c r="B86" s="35" t="s">
        <v>501</v>
      </c>
      <c r="C86" s="48" t="s">
        <v>189</v>
      </c>
      <c r="D86" s="40" t="s">
        <v>135</v>
      </c>
      <c r="E86" s="88" t="s">
        <v>67</v>
      </c>
      <c r="F86" s="85">
        <v>118.530000000001</v>
      </c>
      <c r="G86" s="146">
        <v>80.769999999998987</v>
      </c>
      <c r="H86" s="146"/>
      <c r="I86" s="146">
        <f t="shared" si="36"/>
        <v>199.29999999999998</v>
      </c>
      <c r="J86" s="535">
        <v>58.480000000000004</v>
      </c>
      <c r="K86" s="451">
        <f t="shared" si="38"/>
        <v>6931.63</v>
      </c>
      <c r="L86" s="451">
        <f t="shared" si="39"/>
        <v>4723.4295999999413</v>
      </c>
      <c r="M86" s="451">
        <f t="shared" si="40"/>
        <v>0</v>
      </c>
      <c r="N86" s="33">
        <f t="shared" si="37"/>
        <v>11655.059599999942</v>
      </c>
      <c r="S86" s="32"/>
    </row>
    <row r="87" spans="1:19" ht="38.25" x14ac:dyDescent="0.25">
      <c r="A87" s="35" t="s">
        <v>502</v>
      </c>
      <c r="B87" s="35" t="s">
        <v>503</v>
      </c>
      <c r="C87" s="48" t="s">
        <v>190</v>
      </c>
      <c r="D87" s="40" t="s">
        <v>135</v>
      </c>
      <c r="E87" s="88" t="s">
        <v>63</v>
      </c>
      <c r="F87" s="85">
        <v>1.41</v>
      </c>
      <c r="G87" s="146">
        <v>7.6204000000000001</v>
      </c>
      <c r="H87" s="146"/>
      <c r="I87" s="146">
        <f t="shared" si="36"/>
        <v>9.0304000000000002</v>
      </c>
      <c r="J87" s="535">
        <v>717.24</v>
      </c>
      <c r="K87" s="451">
        <f t="shared" si="38"/>
        <v>1011.31</v>
      </c>
      <c r="L87" s="451">
        <f t="shared" si="39"/>
        <v>5465.6556959999998</v>
      </c>
      <c r="M87" s="451">
        <f t="shared" si="40"/>
        <v>0</v>
      </c>
      <c r="N87" s="33">
        <f t="shared" si="37"/>
        <v>6476.9656959999993</v>
      </c>
      <c r="S87" s="32"/>
    </row>
    <row r="88" spans="1:19" ht="25.5" x14ac:dyDescent="0.25">
      <c r="A88" s="35" t="s">
        <v>504</v>
      </c>
      <c r="B88" s="35" t="s">
        <v>97</v>
      </c>
      <c r="C88" s="48" t="s">
        <v>152</v>
      </c>
      <c r="D88" s="40" t="s">
        <v>135</v>
      </c>
      <c r="E88" s="88" t="s">
        <v>78</v>
      </c>
      <c r="F88" s="85">
        <v>107.170000000001</v>
      </c>
      <c r="G88" s="146">
        <v>50.021899999999007</v>
      </c>
      <c r="H88" s="146"/>
      <c r="I88" s="146">
        <f t="shared" si="36"/>
        <v>157.1919</v>
      </c>
      <c r="J88" s="535">
        <v>27.130000000000003</v>
      </c>
      <c r="K88" s="451">
        <f t="shared" si="38"/>
        <v>2907.52</v>
      </c>
      <c r="L88" s="451">
        <f t="shared" si="39"/>
        <v>1357.0941469999732</v>
      </c>
      <c r="M88" s="451">
        <f t="shared" si="40"/>
        <v>0</v>
      </c>
      <c r="N88" s="33">
        <f t="shared" si="37"/>
        <v>4264.6141469999729</v>
      </c>
      <c r="S88" s="32"/>
    </row>
    <row r="89" spans="1:19" ht="25.5" x14ac:dyDescent="0.25">
      <c r="A89" s="35" t="s">
        <v>505</v>
      </c>
      <c r="B89" s="86" t="s">
        <v>96</v>
      </c>
      <c r="C89" s="49" t="s">
        <v>191</v>
      </c>
      <c r="D89" s="58" t="s">
        <v>134</v>
      </c>
      <c r="E89" s="215" t="s">
        <v>400</v>
      </c>
      <c r="F89" s="216">
        <v>107.170000000001</v>
      </c>
      <c r="G89" s="217"/>
      <c r="H89" s="217">
        <v>-10.370000000000985</v>
      </c>
      <c r="I89" s="146">
        <f t="shared" si="36"/>
        <v>96.800000000000011</v>
      </c>
      <c r="J89" s="539">
        <v>44.04</v>
      </c>
      <c r="K89" s="451">
        <f t="shared" si="38"/>
        <v>4719.7700000000004</v>
      </c>
      <c r="L89" s="451">
        <f t="shared" si="39"/>
        <v>0</v>
      </c>
      <c r="M89" s="451">
        <f t="shared" si="40"/>
        <v>-456.69480000004336</v>
      </c>
      <c r="N89" s="33">
        <f>K89+L89+M89</f>
        <v>4263.0751999999575</v>
      </c>
      <c r="S89" s="32"/>
    </row>
    <row r="90" spans="1:19" ht="28.9" customHeight="1" x14ac:dyDescent="0.25">
      <c r="A90" s="35" t="s">
        <v>335</v>
      </c>
      <c r="B90" s="219" t="s">
        <v>885</v>
      </c>
      <c r="C90" s="23">
        <v>92398</v>
      </c>
      <c r="D90" s="40" t="s">
        <v>135</v>
      </c>
      <c r="E90" s="59" t="s">
        <v>400</v>
      </c>
      <c r="F90" s="87">
        <v>591.91</v>
      </c>
      <c r="G90" s="188"/>
      <c r="H90" s="188">
        <v>-19.050999999999931</v>
      </c>
      <c r="I90" s="146">
        <f t="shared" si="36"/>
        <v>572.85900000000004</v>
      </c>
      <c r="J90" s="536">
        <v>64.33</v>
      </c>
      <c r="K90" s="451">
        <f t="shared" si="38"/>
        <v>38077.57</v>
      </c>
      <c r="L90" s="451">
        <f t="shared" si="39"/>
        <v>0</v>
      </c>
      <c r="M90" s="451">
        <f t="shared" si="40"/>
        <v>-1225.5508299999956</v>
      </c>
      <c r="N90" s="33">
        <f t="shared" si="37"/>
        <v>36852.019170000007</v>
      </c>
      <c r="S90" s="32"/>
    </row>
    <row r="91" spans="1:19" s="403" customFormat="1" x14ac:dyDescent="0.25">
      <c r="A91" s="59"/>
      <c r="B91" s="225"/>
      <c r="C91" s="23"/>
      <c r="D91" s="379"/>
      <c r="E91" s="212"/>
      <c r="F91" s="213"/>
      <c r="G91" s="200"/>
      <c r="H91" s="200"/>
      <c r="I91" s="383"/>
      <c r="J91" s="537"/>
      <c r="K91" s="386"/>
      <c r="L91" s="395"/>
      <c r="M91" s="395"/>
      <c r="N91" s="380"/>
      <c r="S91" s="404"/>
    </row>
    <row r="92" spans="1:19" x14ac:dyDescent="0.25">
      <c r="A92" s="182" t="s">
        <v>100</v>
      </c>
      <c r="B92" s="183" t="s">
        <v>99</v>
      </c>
      <c r="C92" s="54"/>
      <c r="D92" s="43"/>
      <c r="E92" s="184"/>
      <c r="F92" s="184"/>
      <c r="G92" s="211"/>
      <c r="H92" s="211"/>
      <c r="I92" s="211"/>
      <c r="J92" s="534"/>
      <c r="K92" s="33"/>
      <c r="L92" s="184"/>
      <c r="M92" s="184"/>
      <c r="N92" s="204"/>
      <c r="S92" s="32"/>
    </row>
    <row r="93" spans="1:19" ht="25.5" x14ac:dyDescent="0.25">
      <c r="A93" s="35" t="s">
        <v>506</v>
      </c>
      <c r="B93" s="35" t="s">
        <v>98</v>
      </c>
      <c r="C93" s="48" t="s">
        <v>192</v>
      </c>
      <c r="D93" s="40" t="s">
        <v>135</v>
      </c>
      <c r="E93" s="88" t="s">
        <v>78</v>
      </c>
      <c r="F93" s="85">
        <v>447.41000000000099</v>
      </c>
      <c r="G93" s="146"/>
      <c r="H93" s="146">
        <v>-242.42250000000098</v>
      </c>
      <c r="I93" s="146">
        <f t="shared" si="36"/>
        <v>204.98750000000001</v>
      </c>
      <c r="J93" s="535">
        <v>2.83</v>
      </c>
      <c r="K93" s="33">
        <f>ROUND(J93*F93,2)</f>
        <v>1266.17</v>
      </c>
      <c r="L93" s="33">
        <f>G93*J93</f>
        <v>0</v>
      </c>
      <c r="M93" s="33">
        <f>H93*J93</f>
        <v>-686.05567500000279</v>
      </c>
      <c r="N93" s="451">
        <f t="shared" ref="N93:N101" si="41">K93+L93+M93</f>
        <v>580.11432499999728</v>
      </c>
      <c r="S93" s="32"/>
    </row>
    <row r="94" spans="1:19" ht="25.5" x14ac:dyDescent="0.25">
      <c r="A94" s="35" t="s">
        <v>507</v>
      </c>
      <c r="B94" s="35" t="s">
        <v>97</v>
      </c>
      <c r="C94" s="48" t="s">
        <v>152</v>
      </c>
      <c r="D94" s="40" t="s">
        <v>135</v>
      </c>
      <c r="E94" s="88" t="s">
        <v>78</v>
      </c>
      <c r="F94" s="85">
        <v>447.41000000000099</v>
      </c>
      <c r="G94" s="146"/>
      <c r="H94" s="146">
        <v>-22.240100000001064</v>
      </c>
      <c r="I94" s="146">
        <f t="shared" si="36"/>
        <v>425.16989999999993</v>
      </c>
      <c r="J94" s="535">
        <v>27.130000000000003</v>
      </c>
      <c r="K94" s="451">
        <f t="shared" ref="K94:K101" si="42">ROUND(J94*F94,2)</f>
        <v>12138.23</v>
      </c>
      <c r="L94" s="451">
        <f t="shared" ref="L94:L101" si="43">G94*J94</f>
        <v>0</v>
      </c>
      <c r="M94" s="451">
        <f t="shared" ref="M94:M101" si="44">H94*J94</f>
        <v>-603.37391300002889</v>
      </c>
      <c r="N94" s="451">
        <f t="shared" si="41"/>
        <v>11534.856086999971</v>
      </c>
      <c r="S94" s="32"/>
    </row>
    <row r="95" spans="1:19" ht="25.5" x14ac:dyDescent="0.25">
      <c r="A95" s="35" t="s">
        <v>508</v>
      </c>
      <c r="B95" s="35" t="s">
        <v>96</v>
      </c>
      <c r="C95" s="48" t="s">
        <v>191</v>
      </c>
      <c r="D95" s="40" t="s">
        <v>134</v>
      </c>
      <c r="E95" s="88" t="s">
        <v>400</v>
      </c>
      <c r="F95" s="85">
        <v>447.41000000000099</v>
      </c>
      <c r="G95" s="146"/>
      <c r="H95" s="146">
        <v>-242.42250000000098</v>
      </c>
      <c r="I95" s="146">
        <f t="shared" si="36"/>
        <v>204.98750000000001</v>
      </c>
      <c r="J95" s="535">
        <v>44.04</v>
      </c>
      <c r="K95" s="451">
        <f t="shared" si="42"/>
        <v>19703.939999999999</v>
      </c>
      <c r="L95" s="451">
        <f t="shared" si="43"/>
        <v>0</v>
      </c>
      <c r="M95" s="451">
        <f t="shared" si="44"/>
        <v>-10676.286900000043</v>
      </c>
      <c r="N95" s="451">
        <f t="shared" si="41"/>
        <v>9027.6530999999559</v>
      </c>
      <c r="S95" s="32"/>
    </row>
    <row r="96" spans="1:19" ht="38.25" x14ac:dyDescent="0.25">
      <c r="A96" s="35" t="s">
        <v>509</v>
      </c>
      <c r="B96" s="35" t="s">
        <v>510</v>
      </c>
      <c r="C96" s="48" t="s">
        <v>193</v>
      </c>
      <c r="D96" s="40" t="s">
        <v>135</v>
      </c>
      <c r="E96" s="88" t="s">
        <v>78</v>
      </c>
      <c r="F96" s="85">
        <v>447.41000000000099</v>
      </c>
      <c r="G96" s="146"/>
      <c r="H96" s="146">
        <v>15.912399999998911</v>
      </c>
      <c r="I96" s="146">
        <f t="shared" si="36"/>
        <v>463.3223999999999</v>
      </c>
      <c r="J96" s="535">
        <v>33.369999999999997</v>
      </c>
      <c r="K96" s="451">
        <f t="shared" si="42"/>
        <v>14930.07</v>
      </c>
      <c r="L96" s="451">
        <f t="shared" si="43"/>
        <v>0</v>
      </c>
      <c r="M96" s="451">
        <f t="shared" si="44"/>
        <v>530.99678799996366</v>
      </c>
      <c r="N96" s="451">
        <f t="shared" si="41"/>
        <v>15461.066787999964</v>
      </c>
      <c r="S96" s="32"/>
    </row>
    <row r="97" spans="1:19" ht="25.5" x14ac:dyDescent="0.25">
      <c r="A97" s="35" t="s">
        <v>511</v>
      </c>
      <c r="B97" s="35" t="s">
        <v>512</v>
      </c>
      <c r="C97" s="44" t="s">
        <v>194</v>
      </c>
      <c r="D97" s="40" t="s">
        <v>135</v>
      </c>
      <c r="E97" s="88" t="s">
        <v>78</v>
      </c>
      <c r="F97" s="85">
        <v>295.41000000000099</v>
      </c>
      <c r="G97" s="146"/>
      <c r="H97" s="146">
        <v>-210.645000000001</v>
      </c>
      <c r="I97" s="146">
        <f t="shared" si="36"/>
        <v>84.764999999999986</v>
      </c>
      <c r="J97" s="535">
        <v>76.56</v>
      </c>
      <c r="K97" s="451">
        <f t="shared" si="42"/>
        <v>22616.59</v>
      </c>
      <c r="L97" s="451">
        <f t="shared" si="43"/>
        <v>0</v>
      </c>
      <c r="M97" s="451">
        <f t="shared" si="44"/>
        <v>-16126.981200000077</v>
      </c>
      <c r="N97" s="451">
        <f t="shared" si="41"/>
        <v>6489.6087999999236</v>
      </c>
      <c r="S97" s="32"/>
    </row>
    <row r="98" spans="1:19" ht="25.5" x14ac:dyDescent="0.25">
      <c r="A98" s="35" t="s">
        <v>513</v>
      </c>
      <c r="B98" s="35" t="s">
        <v>514</v>
      </c>
      <c r="C98" s="44" t="s">
        <v>195</v>
      </c>
      <c r="D98" s="40" t="s">
        <v>135</v>
      </c>
      <c r="E98" s="88" t="s">
        <v>67</v>
      </c>
      <c r="F98" s="85">
        <v>75</v>
      </c>
      <c r="G98" s="146"/>
      <c r="H98" s="146"/>
      <c r="I98" s="146">
        <f t="shared" si="36"/>
        <v>75</v>
      </c>
      <c r="J98" s="535">
        <v>20.3</v>
      </c>
      <c r="K98" s="451">
        <f t="shared" si="42"/>
        <v>1522.5</v>
      </c>
      <c r="L98" s="451">
        <f t="shared" si="43"/>
        <v>0</v>
      </c>
      <c r="M98" s="451">
        <f t="shared" si="44"/>
        <v>0</v>
      </c>
      <c r="N98" s="451">
        <f t="shared" si="41"/>
        <v>1522.5</v>
      </c>
      <c r="S98" s="32"/>
    </row>
    <row r="99" spans="1:19" ht="25.5" x14ac:dyDescent="0.25">
      <c r="A99" s="35" t="s">
        <v>515</v>
      </c>
      <c r="B99" s="35" t="s">
        <v>516</v>
      </c>
      <c r="C99" s="44" t="s">
        <v>196</v>
      </c>
      <c r="D99" s="40" t="s">
        <v>135</v>
      </c>
      <c r="E99" s="88" t="s">
        <v>67</v>
      </c>
      <c r="F99" s="85">
        <v>22.800000000000999</v>
      </c>
      <c r="G99" s="146">
        <v>54.899999999999004</v>
      </c>
      <c r="H99" s="146"/>
      <c r="I99" s="146">
        <f t="shared" si="36"/>
        <v>77.7</v>
      </c>
      <c r="J99" s="535">
        <v>92.240000000000009</v>
      </c>
      <c r="K99" s="451">
        <f t="shared" si="42"/>
        <v>2103.0700000000002</v>
      </c>
      <c r="L99" s="451">
        <f t="shared" si="43"/>
        <v>5063.9759999999087</v>
      </c>
      <c r="M99" s="451">
        <f t="shared" si="44"/>
        <v>0</v>
      </c>
      <c r="N99" s="451">
        <f t="shared" si="41"/>
        <v>7167.0459999999093</v>
      </c>
      <c r="S99" s="32"/>
    </row>
    <row r="100" spans="1:19" ht="25.5" x14ac:dyDescent="0.25">
      <c r="A100" s="35" t="s">
        <v>517</v>
      </c>
      <c r="B100" s="35" t="s">
        <v>518</v>
      </c>
      <c r="C100" s="44" t="s">
        <v>197</v>
      </c>
      <c r="D100" s="40" t="s">
        <v>135</v>
      </c>
      <c r="E100" s="88" t="s">
        <v>78</v>
      </c>
      <c r="F100" s="85">
        <v>8.4100000000010002</v>
      </c>
      <c r="G100" s="146"/>
      <c r="H100" s="146">
        <v>-8.41</v>
      </c>
      <c r="I100" s="146">
        <f t="shared" si="36"/>
        <v>1.000088900582341E-12</v>
      </c>
      <c r="J100" s="535">
        <v>365.47</v>
      </c>
      <c r="K100" s="451">
        <f t="shared" si="42"/>
        <v>3073.6</v>
      </c>
      <c r="L100" s="451">
        <f t="shared" si="43"/>
        <v>0</v>
      </c>
      <c r="M100" s="451">
        <f t="shared" si="44"/>
        <v>-3073.6027000000004</v>
      </c>
      <c r="N100" s="451">
        <f t="shared" si="41"/>
        <v>-2.7000000004591129E-3</v>
      </c>
      <c r="S100" s="32"/>
    </row>
    <row r="101" spans="1:19" ht="25.5" x14ac:dyDescent="0.25">
      <c r="A101" s="35" t="s">
        <v>519</v>
      </c>
      <c r="B101" s="220" t="s">
        <v>520</v>
      </c>
      <c r="C101" s="56" t="s">
        <v>198</v>
      </c>
      <c r="D101" s="58" t="s">
        <v>135</v>
      </c>
      <c r="E101" s="221" t="s">
        <v>78</v>
      </c>
      <c r="F101" s="216">
        <v>159.79</v>
      </c>
      <c r="G101" s="146"/>
      <c r="H101" s="146"/>
      <c r="I101" s="146">
        <f t="shared" si="36"/>
        <v>159.79</v>
      </c>
      <c r="J101" s="535">
        <v>155.20999999999998</v>
      </c>
      <c r="K101" s="451">
        <f t="shared" si="42"/>
        <v>24801.01</v>
      </c>
      <c r="L101" s="451">
        <f t="shared" si="43"/>
        <v>0</v>
      </c>
      <c r="M101" s="451">
        <f t="shared" si="44"/>
        <v>0</v>
      </c>
      <c r="N101" s="451">
        <f t="shared" si="41"/>
        <v>24801.01</v>
      </c>
      <c r="S101" s="32"/>
    </row>
    <row r="102" spans="1:19" x14ac:dyDescent="0.25">
      <c r="A102" s="154"/>
      <c r="B102" s="219"/>
      <c r="C102" s="44"/>
      <c r="D102" s="40"/>
      <c r="E102" s="59"/>
      <c r="F102" s="87"/>
      <c r="G102" s="162"/>
      <c r="H102" s="162"/>
      <c r="I102" s="162"/>
      <c r="J102" s="538"/>
      <c r="K102" s="33"/>
      <c r="L102" s="33"/>
      <c r="M102" s="33"/>
      <c r="N102" s="33"/>
      <c r="S102" s="32"/>
    </row>
    <row r="103" spans="1:19" x14ac:dyDescent="0.25">
      <c r="A103" s="182">
        <v>7</v>
      </c>
      <c r="B103" s="196" t="s">
        <v>95</v>
      </c>
      <c r="C103" s="66"/>
      <c r="D103" s="78"/>
      <c r="E103" s="197"/>
      <c r="F103" s="197"/>
      <c r="G103" s="211"/>
      <c r="H103" s="211"/>
      <c r="I103" s="211"/>
      <c r="J103" s="534"/>
      <c r="K103" s="145">
        <f>SUM(K104:K111)</f>
        <v>109293.70999999999</v>
      </c>
      <c r="L103" s="145">
        <f t="shared" ref="L103:N103" si="45">SUM(L104:L111)</f>
        <v>43203.430814527492</v>
      </c>
      <c r="M103" s="145">
        <f t="shared" si="45"/>
        <v>-2546.7874000001384</v>
      </c>
      <c r="N103" s="145">
        <f t="shared" si="45"/>
        <v>149950.35341452737</v>
      </c>
      <c r="S103" s="32"/>
    </row>
    <row r="104" spans="1:19" ht="38.25" x14ac:dyDescent="0.25">
      <c r="A104" s="35" t="s">
        <v>521</v>
      </c>
      <c r="B104" s="65" t="s">
        <v>522</v>
      </c>
      <c r="C104" s="55" t="s">
        <v>199</v>
      </c>
      <c r="D104" s="40" t="s">
        <v>135</v>
      </c>
      <c r="E104" s="84" t="s">
        <v>78</v>
      </c>
      <c r="F104" s="85">
        <v>1226</v>
      </c>
      <c r="G104" s="146"/>
      <c r="H104" s="146">
        <v>-163.625</v>
      </c>
      <c r="I104" s="146">
        <f t="shared" ref="I104:I111" si="46">F104+G104+H104</f>
        <v>1062.375</v>
      </c>
      <c r="J104" s="535">
        <v>3.58</v>
      </c>
      <c r="K104" s="33">
        <f>ROUND(J104*F104,2)</f>
        <v>4389.08</v>
      </c>
      <c r="L104" s="33">
        <f>G104*J104</f>
        <v>0</v>
      </c>
      <c r="M104" s="33">
        <f>H104*J104</f>
        <v>-585.77750000000003</v>
      </c>
      <c r="N104" s="451">
        <f t="shared" ref="N104:N111" si="47">K104+L104+M104</f>
        <v>3803.3024999999998</v>
      </c>
      <c r="Q104" s="485">
        <f>1062.375-F104</f>
        <v>-163.625</v>
      </c>
      <c r="S104" s="32"/>
    </row>
    <row r="105" spans="1:19" ht="51" x14ac:dyDescent="0.25">
      <c r="A105" s="35" t="s">
        <v>523</v>
      </c>
      <c r="B105" s="35" t="s">
        <v>524</v>
      </c>
      <c r="C105" s="55" t="s">
        <v>200</v>
      </c>
      <c r="D105" s="40" t="s">
        <v>135</v>
      </c>
      <c r="E105" s="88" t="s">
        <v>78</v>
      </c>
      <c r="F105" s="85">
        <v>1029.680000000001</v>
      </c>
      <c r="G105" s="146">
        <v>55.47</v>
      </c>
      <c r="H105" s="146"/>
      <c r="I105" s="146">
        <f t="shared" si="46"/>
        <v>1085.150000000001</v>
      </c>
      <c r="J105" s="535">
        <v>30.02</v>
      </c>
      <c r="K105" s="451">
        <f t="shared" ref="K105:K111" si="48">ROUND(J105*F105,2)</f>
        <v>30910.99</v>
      </c>
      <c r="L105" s="451">
        <f>G105*J105</f>
        <v>1665.2094</v>
      </c>
      <c r="M105" s="451">
        <f t="shared" ref="M105:M111" si="49">H105*J105</f>
        <v>0</v>
      </c>
      <c r="N105" s="451">
        <f t="shared" si="47"/>
        <v>32576.199400000001</v>
      </c>
      <c r="Q105" s="484">
        <f>1085.153-F105</f>
        <v>55.472999999999047</v>
      </c>
      <c r="S105" s="32"/>
    </row>
    <row r="106" spans="1:19" ht="51" x14ac:dyDescent="0.25">
      <c r="A106" s="35" t="s">
        <v>525</v>
      </c>
      <c r="B106" s="35" t="s">
        <v>526</v>
      </c>
      <c r="C106" s="55" t="s">
        <v>201</v>
      </c>
      <c r="D106" s="40" t="s">
        <v>135</v>
      </c>
      <c r="E106" s="88" t="s">
        <v>78</v>
      </c>
      <c r="F106" s="85">
        <v>146</v>
      </c>
      <c r="G106" s="146"/>
      <c r="H106" s="483">
        <v>-7.780000000001003</v>
      </c>
      <c r="I106" s="146">
        <f t="shared" si="46"/>
        <v>138.219999999999</v>
      </c>
      <c r="J106" s="535">
        <v>54.81</v>
      </c>
      <c r="K106" s="451">
        <f t="shared" si="48"/>
        <v>8002.26</v>
      </c>
      <c r="L106" s="451">
        <f t="shared" ref="L106:L111" si="50">G106*J106</f>
        <v>0</v>
      </c>
      <c r="M106" s="451">
        <f t="shared" si="49"/>
        <v>-426.42180000005499</v>
      </c>
      <c r="N106" s="451">
        <f t="shared" si="47"/>
        <v>7575.8381999999456</v>
      </c>
      <c r="S106" s="32"/>
    </row>
    <row r="107" spans="1:19" ht="51" x14ac:dyDescent="0.25">
      <c r="A107" s="35" t="s">
        <v>527</v>
      </c>
      <c r="B107" s="35" t="s">
        <v>528</v>
      </c>
      <c r="C107" s="55" t="s">
        <v>202</v>
      </c>
      <c r="D107" s="40" t="s">
        <v>135</v>
      </c>
      <c r="E107" s="88" t="s">
        <v>78</v>
      </c>
      <c r="F107" s="85">
        <v>50.320000000001002</v>
      </c>
      <c r="G107" s="146"/>
      <c r="H107" s="483">
        <v>-42.54</v>
      </c>
      <c r="I107" s="146">
        <f t="shared" si="46"/>
        <v>7.780000000001003</v>
      </c>
      <c r="J107" s="535">
        <v>28.92</v>
      </c>
      <c r="K107" s="451">
        <f t="shared" si="48"/>
        <v>1455.25</v>
      </c>
      <c r="L107" s="451">
        <f t="shared" si="50"/>
        <v>0</v>
      </c>
      <c r="M107" s="451">
        <f t="shared" si="49"/>
        <v>-1230.2568000000001</v>
      </c>
      <c r="N107" s="451">
        <f t="shared" si="47"/>
        <v>224.99319999999989</v>
      </c>
      <c r="S107" s="32"/>
    </row>
    <row r="108" spans="1:19" ht="38.25" x14ac:dyDescent="0.25">
      <c r="A108" s="35" t="s">
        <v>529</v>
      </c>
      <c r="B108" s="35" t="s">
        <v>530</v>
      </c>
      <c r="C108" s="55" t="s">
        <v>203</v>
      </c>
      <c r="D108" s="40" t="s">
        <v>135</v>
      </c>
      <c r="E108" s="88" t="s">
        <v>78</v>
      </c>
      <c r="F108" s="85">
        <v>50.320000000001002</v>
      </c>
      <c r="G108" s="146"/>
      <c r="H108" s="146">
        <v>-3.7100000000010169</v>
      </c>
      <c r="I108" s="146">
        <f t="shared" si="46"/>
        <v>46.609999999999985</v>
      </c>
      <c r="J108" s="535">
        <v>82.03</v>
      </c>
      <c r="K108" s="451">
        <f t="shared" si="48"/>
        <v>4127.75</v>
      </c>
      <c r="L108" s="451">
        <f t="shared" si="50"/>
        <v>0</v>
      </c>
      <c r="M108" s="451">
        <f t="shared" si="49"/>
        <v>-304.33130000008344</v>
      </c>
      <c r="N108" s="451">
        <f t="shared" si="47"/>
        <v>3823.4186999999165</v>
      </c>
      <c r="S108" s="32"/>
    </row>
    <row r="109" spans="1:19" ht="38.25" x14ac:dyDescent="0.25">
      <c r="A109" s="86" t="s">
        <v>531</v>
      </c>
      <c r="B109" s="86" t="s">
        <v>532</v>
      </c>
      <c r="C109" s="156" t="s">
        <v>204</v>
      </c>
      <c r="D109" s="58" t="s">
        <v>137</v>
      </c>
      <c r="E109" s="215" t="s">
        <v>400</v>
      </c>
      <c r="F109" s="216">
        <v>266.86000000000098</v>
      </c>
      <c r="G109" s="217"/>
      <c r="H109" s="217"/>
      <c r="I109" s="217">
        <f t="shared" si="46"/>
        <v>266.86000000000098</v>
      </c>
      <c r="J109" s="539">
        <v>91.13</v>
      </c>
      <c r="K109" s="451">
        <f t="shared" si="48"/>
        <v>24318.95</v>
      </c>
      <c r="L109" s="451">
        <f t="shared" si="50"/>
        <v>0</v>
      </c>
      <c r="M109" s="451">
        <f t="shared" si="49"/>
        <v>0</v>
      </c>
      <c r="N109" s="451">
        <f t="shared" si="47"/>
        <v>24318.95</v>
      </c>
      <c r="S109" s="32"/>
    </row>
    <row r="110" spans="1:19" ht="25.5" x14ac:dyDescent="0.25">
      <c r="A110" s="219" t="s">
        <v>533</v>
      </c>
      <c r="B110" s="219" t="s">
        <v>534</v>
      </c>
      <c r="C110" s="55">
        <v>10710</v>
      </c>
      <c r="D110" s="40" t="s">
        <v>135</v>
      </c>
      <c r="E110" s="59" t="s">
        <v>78</v>
      </c>
      <c r="F110" s="87">
        <v>232.520000000001</v>
      </c>
      <c r="G110" s="146"/>
      <c r="H110" s="146"/>
      <c r="I110" s="146">
        <f t="shared" si="46"/>
        <v>232.520000000001</v>
      </c>
      <c r="J110" s="536">
        <v>155.20999999999998</v>
      </c>
      <c r="K110" s="451">
        <f t="shared" si="48"/>
        <v>36089.43</v>
      </c>
      <c r="L110" s="451">
        <f t="shared" si="50"/>
        <v>0</v>
      </c>
      <c r="M110" s="451">
        <f t="shared" si="49"/>
        <v>0</v>
      </c>
      <c r="N110" s="451">
        <f t="shared" si="47"/>
        <v>36089.43</v>
      </c>
      <c r="S110" s="32"/>
    </row>
    <row r="111" spans="1:19" ht="38.25" x14ac:dyDescent="0.25">
      <c r="A111" s="219" t="s">
        <v>863</v>
      </c>
      <c r="B111" s="455" t="s">
        <v>864</v>
      </c>
      <c r="C111" s="457" t="s">
        <v>896</v>
      </c>
      <c r="D111" s="456" t="s">
        <v>134</v>
      </c>
      <c r="E111" s="454" t="s">
        <v>400</v>
      </c>
      <c r="F111" s="453"/>
      <c r="G111" s="452">
        <f>Memorial!L588</f>
        <v>182.17999999999998</v>
      </c>
      <c r="H111" s="452"/>
      <c r="I111" s="514">
        <f t="shared" si="46"/>
        <v>182.17999999999998</v>
      </c>
      <c r="J111" s="543">
        <f>'Preço novos'!I9</f>
        <v>228.00648487499998</v>
      </c>
      <c r="K111" s="451">
        <f t="shared" si="48"/>
        <v>0</v>
      </c>
      <c r="L111" s="451">
        <f t="shared" si="50"/>
        <v>41538.221414527492</v>
      </c>
      <c r="M111" s="451">
        <f t="shared" si="49"/>
        <v>0</v>
      </c>
      <c r="N111" s="451">
        <f t="shared" si="47"/>
        <v>41538.221414527492</v>
      </c>
      <c r="O111" s="451">
        <v>0</v>
      </c>
      <c r="P111" s="451">
        <v>69625.136800000007</v>
      </c>
      <c r="S111" s="32"/>
    </row>
    <row r="112" spans="1:19" s="449" customFormat="1" x14ac:dyDescent="0.25">
      <c r="A112" s="429"/>
      <c r="B112" s="445"/>
      <c r="C112" s="428"/>
      <c r="D112" s="462"/>
      <c r="E112" s="447"/>
      <c r="F112" s="446"/>
      <c r="G112" s="463"/>
      <c r="H112" s="463"/>
      <c r="I112" s="463"/>
      <c r="J112" s="544"/>
      <c r="K112" s="443"/>
      <c r="L112" s="458"/>
      <c r="M112" s="448"/>
      <c r="N112" s="458"/>
      <c r="O112" s="442"/>
      <c r="P112" s="442"/>
      <c r="S112" s="450"/>
    </row>
    <row r="113" spans="1:19" x14ac:dyDescent="0.25">
      <c r="A113" s="195">
        <v>8</v>
      </c>
      <c r="B113" s="196" t="s">
        <v>94</v>
      </c>
      <c r="C113" s="66"/>
      <c r="D113" s="78"/>
      <c r="E113" s="197"/>
      <c r="F113" s="197"/>
      <c r="G113" s="222"/>
      <c r="H113" s="222"/>
      <c r="I113" s="222"/>
      <c r="J113" s="532"/>
      <c r="K113" s="141">
        <f>SUM(K114:K125)</f>
        <v>39103.269999999997</v>
      </c>
      <c r="L113" s="141">
        <f t="shared" ref="L113:N113" si="51">SUM(L114:L125)</f>
        <v>24032.555173524983</v>
      </c>
      <c r="M113" s="141">
        <f t="shared" si="51"/>
        <v>0</v>
      </c>
      <c r="N113" s="141">
        <f t="shared" si="51"/>
        <v>63135.82517352498</v>
      </c>
      <c r="S113" s="32"/>
    </row>
    <row r="114" spans="1:19" ht="22.5" customHeight="1" x14ac:dyDescent="0.25">
      <c r="A114" s="219" t="s">
        <v>535</v>
      </c>
      <c r="B114" s="219" t="s">
        <v>536</v>
      </c>
      <c r="C114" s="55" t="s">
        <v>205</v>
      </c>
      <c r="D114" s="40" t="s">
        <v>135</v>
      </c>
      <c r="E114" s="59" t="s">
        <v>78</v>
      </c>
      <c r="F114" s="87">
        <v>797.16</v>
      </c>
      <c r="G114" s="146">
        <v>649.65</v>
      </c>
      <c r="H114" s="146"/>
      <c r="I114" s="146">
        <f t="shared" ref="I114:I124" si="52">F114+G114+H114</f>
        <v>1446.81</v>
      </c>
      <c r="J114" s="536">
        <v>2.61</v>
      </c>
      <c r="K114" s="33">
        <f>ROUND(J114*F114,2)</f>
        <v>2080.59</v>
      </c>
      <c r="L114" s="33">
        <f>G114*J114</f>
        <v>1695.5864999999999</v>
      </c>
      <c r="M114" s="33">
        <f>H114*J114</f>
        <v>0</v>
      </c>
      <c r="N114" s="451">
        <f t="shared" ref="N114:N125" si="53">K114+L114+M114</f>
        <v>3776.1765</v>
      </c>
      <c r="S114" s="32"/>
    </row>
    <row r="115" spans="1:19" ht="22.5" customHeight="1" x14ac:dyDescent="0.25">
      <c r="A115" s="219" t="s">
        <v>537</v>
      </c>
      <c r="B115" s="219" t="s">
        <v>538</v>
      </c>
      <c r="C115" s="55" t="s">
        <v>206</v>
      </c>
      <c r="D115" s="40" t="s">
        <v>135</v>
      </c>
      <c r="E115" s="59" t="s">
        <v>78</v>
      </c>
      <c r="F115" s="87">
        <v>338.69</v>
      </c>
      <c r="G115" s="146">
        <v>63.437500000000057</v>
      </c>
      <c r="H115" s="146"/>
      <c r="I115" s="146">
        <f t="shared" si="52"/>
        <v>402.12750000000005</v>
      </c>
      <c r="J115" s="536">
        <v>2.97</v>
      </c>
      <c r="K115" s="451">
        <f t="shared" ref="K115:K125" si="54">ROUND(J115*F115,2)</f>
        <v>1005.91</v>
      </c>
      <c r="L115" s="451">
        <f t="shared" ref="L115:L125" si="55">G115*J115</f>
        <v>188.40937500000018</v>
      </c>
      <c r="M115" s="451">
        <f t="shared" ref="M115:M125" si="56">H115*J115</f>
        <v>0</v>
      </c>
      <c r="N115" s="451">
        <f t="shared" si="53"/>
        <v>1194.319375</v>
      </c>
      <c r="S115" s="32"/>
    </row>
    <row r="116" spans="1:19" ht="25.5" x14ac:dyDescent="0.25">
      <c r="A116" s="219" t="s">
        <v>539</v>
      </c>
      <c r="B116" s="219" t="s">
        <v>540</v>
      </c>
      <c r="C116" s="55" t="s">
        <v>207</v>
      </c>
      <c r="D116" s="40" t="s">
        <v>134</v>
      </c>
      <c r="E116" s="59" t="s">
        <v>400</v>
      </c>
      <c r="F116" s="87">
        <v>364.06000000000103</v>
      </c>
      <c r="G116" s="146">
        <v>45.359999999998934</v>
      </c>
      <c r="H116" s="146"/>
      <c r="I116" s="146">
        <f t="shared" si="52"/>
        <v>409.41999999999996</v>
      </c>
      <c r="J116" s="536">
        <v>18.34</v>
      </c>
      <c r="K116" s="451">
        <f t="shared" si="54"/>
        <v>6676.86</v>
      </c>
      <c r="L116" s="451">
        <f t="shared" si="55"/>
        <v>831.90239999998039</v>
      </c>
      <c r="M116" s="451">
        <f t="shared" si="56"/>
        <v>0</v>
      </c>
      <c r="N116" s="451">
        <f t="shared" si="53"/>
        <v>7508.7623999999796</v>
      </c>
      <c r="S116" s="32"/>
    </row>
    <row r="117" spans="1:19" ht="25.5" x14ac:dyDescent="0.25">
      <c r="A117" s="219" t="s">
        <v>541</v>
      </c>
      <c r="B117" s="219" t="s">
        <v>542</v>
      </c>
      <c r="C117" s="55" t="s">
        <v>208</v>
      </c>
      <c r="D117" s="40" t="s">
        <v>135</v>
      </c>
      <c r="E117" s="59" t="s">
        <v>78</v>
      </c>
      <c r="F117" s="87">
        <v>433.10000000000099</v>
      </c>
      <c r="G117" s="146"/>
      <c r="H117" s="146"/>
      <c r="I117" s="146">
        <f t="shared" si="52"/>
        <v>433.10000000000099</v>
      </c>
      <c r="J117" s="536">
        <v>13.08</v>
      </c>
      <c r="K117" s="451">
        <f t="shared" si="54"/>
        <v>5664.95</v>
      </c>
      <c r="L117" s="451">
        <f t="shared" si="55"/>
        <v>0</v>
      </c>
      <c r="M117" s="451">
        <f t="shared" si="56"/>
        <v>0</v>
      </c>
      <c r="N117" s="451">
        <f t="shared" si="53"/>
        <v>5664.95</v>
      </c>
      <c r="S117" s="32"/>
    </row>
    <row r="118" spans="1:19" ht="24.75" customHeight="1" x14ac:dyDescent="0.25">
      <c r="A118" s="219" t="s">
        <v>543</v>
      </c>
      <c r="B118" s="219" t="s">
        <v>544</v>
      </c>
      <c r="C118" s="55" t="s">
        <v>209</v>
      </c>
      <c r="D118" s="40" t="s">
        <v>135</v>
      </c>
      <c r="E118" s="59" t="s">
        <v>78</v>
      </c>
      <c r="F118" s="87">
        <v>338.69</v>
      </c>
      <c r="G118" s="146">
        <v>63.437500000000057</v>
      </c>
      <c r="H118" s="146"/>
      <c r="I118" s="146">
        <f t="shared" si="52"/>
        <v>402.12750000000005</v>
      </c>
      <c r="J118" s="536">
        <v>17.43</v>
      </c>
      <c r="K118" s="451">
        <f t="shared" si="54"/>
        <v>5903.37</v>
      </c>
      <c r="L118" s="451">
        <f t="shared" si="55"/>
        <v>1105.715625000001</v>
      </c>
      <c r="M118" s="451">
        <f t="shared" si="56"/>
        <v>0</v>
      </c>
      <c r="N118" s="451">
        <f t="shared" si="53"/>
        <v>7009.0856250000006</v>
      </c>
      <c r="S118" s="32"/>
    </row>
    <row r="119" spans="1:19" ht="25.5" x14ac:dyDescent="0.25">
      <c r="A119" s="219" t="s">
        <v>545</v>
      </c>
      <c r="B119" s="219" t="s">
        <v>546</v>
      </c>
      <c r="C119" s="44" t="s">
        <v>210</v>
      </c>
      <c r="D119" s="40" t="s">
        <v>135</v>
      </c>
      <c r="E119" s="59" t="s">
        <v>78</v>
      </c>
      <c r="F119" s="87">
        <v>338.69</v>
      </c>
      <c r="G119" s="146">
        <v>63.437500000000057</v>
      </c>
      <c r="H119" s="146"/>
      <c r="I119" s="146">
        <f t="shared" si="52"/>
        <v>402.12750000000005</v>
      </c>
      <c r="J119" s="536">
        <v>15.43</v>
      </c>
      <c r="K119" s="451">
        <f t="shared" si="54"/>
        <v>5225.99</v>
      </c>
      <c r="L119" s="451">
        <f t="shared" si="55"/>
        <v>978.84062500000084</v>
      </c>
      <c r="M119" s="451">
        <f t="shared" si="56"/>
        <v>0</v>
      </c>
      <c r="N119" s="451">
        <f t="shared" si="53"/>
        <v>6204.8306250000005</v>
      </c>
      <c r="S119" s="32"/>
    </row>
    <row r="120" spans="1:19" ht="25.5" x14ac:dyDescent="0.25">
      <c r="A120" s="219" t="s">
        <v>547</v>
      </c>
      <c r="B120" s="219" t="s">
        <v>548</v>
      </c>
      <c r="C120" s="44" t="s">
        <v>211</v>
      </c>
      <c r="D120" s="40" t="s">
        <v>135</v>
      </c>
      <c r="E120" s="59" t="s">
        <v>78</v>
      </c>
      <c r="F120" s="87">
        <v>797.16</v>
      </c>
      <c r="G120" s="146">
        <v>883.03000000000009</v>
      </c>
      <c r="H120" s="146"/>
      <c r="I120" s="146">
        <f t="shared" si="52"/>
        <v>1680.19</v>
      </c>
      <c r="J120" s="536">
        <v>13.77</v>
      </c>
      <c r="K120" s="451">
        <f t="shared" si="54"/>
        <v>10976.89</v>
      </c>
      <c r="L120" s="451">
        <f t="shared" si="55"/>
        <v>12159.323100000001</v>
      </c>
      <c r="M120" s="451">
        <f t="shared" si="56"/>
        <v>0</v>
      </c>
      <c r="N120" s="451">
        <f t="shared" si="53"/>
        <v>23136.213100000001</v>
      </c>
      <c r="S120" s="32"/>
    </row>
    <row r="121" spans="1:19" ht="38.25" x14ac:dyDescent="0.25">
      <c r="A121" s="219" t="s">
        <v>549</v>
      </c>
      <c r="B121" s="219" t="s">
        <v>550</v>
      </c>
      <c r="C121" s="44" t="s">
        <v>212</v>
      </c>
      <c r="D121" s="40" t="s">
        <v>135</v>
      </c>
      <c r="E121" s="59" t="s">
        <v>78</v>
      </c>
      <c r="F121" s="87">
        <v>7.56</v>
      </c>
      <c r="G121" s="146">
        <v>126.96000000000001</v>
      </c>
      <c r="H121" s="146"/>
      <c r="I121" s="146">
        <f t="shared" si="52"/>
        <v>134.52000000000001</v>
      </c>
      <c r="J121" s="536">
        <v>20.54</v>
      </c>
      <c r="K121" s="451">
        <f t="shared" si="54"/>
        <v>155.28</v>
      </c>
      <c r="L121" s="451">
        <f t="shared" si="55"/>
        <v>2607.7584000000002</v>
      </c>
      <c r="M121" s="451">
        <f t="shared" si="56"/>
        <v>0</v>
      </c>
      <c r="N121" s="451">
        <f t="shared" si="53"/>
        <v>2763.0384000000004</v>
      </c>
      <c r="S121" s="32"/>
    </row>
    <row r="122" spans="1:19" ht="25.5" x14ac:dyDescent="0.25">
      <c r="A122" s="219" t="s">
        <v>551</v>
      </c>
      <c r="B122" s="219" t="s">
        <v>552</v>
      </c>
      <c r="C122" s="44" t="s">
        <v>213</v>
      </c>
      <c r="D122" s="40" t="s">
        <v>135</v>
      </c>
      <c r="E122" s="59" t="s">
        <v>78</v>
      </c>
      <c r="F122" s="87">
        <v>29</v>
      </c>
      <c r="G122" s="146"/>
      <c r="H122" s="146"/>
      <c r="I122" s="146">
        <f t="shared" si="52"/>
        <v>29</v>
      </c>
      <c r="J122" s="536">
        <v>17.940000000000001</v>
      </c>
      <c r="K122" s="451">
        <f t="shared" si="54"/>
        <v>520.26</v>
      </c>
      <c r="L122" s="451">
        <f t="shared" si="55"/>
        <v>0</v>
      </c>
      <c r="M122" s="451">
        <f t="shared" si="56"/>
        <v>0</v>
      </c>
      <c r="N122" s="451">
        <f t="shared" si="53"/>
        <v>520.26</v>
      </c>
      <c r="S122" s="32"/>
    </row>
    <row r="123" spans="1:19" ht="25.5" x14ac:dyDescent="0.25">
      <c r="A123" s="219" t="s">
        <v>553</v>
      </c>
      <c r="B123" s="219" t="s">
        <v>554</v>
      </c>
      <c r="C123" s="44" t="s">
        <v>214</v>
      </c>
      <c r="D123" s="40" t="s">
        <v>135</v>
      </c>
      <c r="E123" s="59" t="s">
        <v>78</v>
      </c>
      <c r="F123" s="87">
        <v>29</v>
      </c>
      <c r="G123" s="146">
        <v>34.840000000000003</v>
      </c>
      <c r="H123" s="146"/>
      <c r="I123" s="146">
        <f t="shared" si="52"/>
        <v>63.84</v>
      </c>
      <c r="J123" s="536">
        <v>12.959999999999999</v>
      </c>
      <c r="K123" s="451">
        <f t="shared" si="54"/>
        <v>375.84</v>
      </c>
      <c r="L123" s="451">
        <f t="shared" si="55"/>
        <v>451.52640000000002</v>
      </c>
      <c r="M123" s="451">
        <f t="shared" si="56"/>
        <v>0</v>
      </c>
      <c r="N123" s="451">
        <f t="shared" si="53"/>
        <v>827.3664</v>
      </c>
      <c r="S123" s="32"/>
    </row>
    <row r="124" spans="1:19" ht="25.5" x14ac:dyDescent="0.25">
      <c r="A124" s="219" t="s">
        <v>555</v>
      </c>
      <c r="B124" s="219" t="s">
        <v>556</v>
      </c>
      <c r="C124" s="56" t="s">
        <v>215</v>
      </c>
      <c r="D124" s="58" t="s">
        <v>135</v>
      </c>
      <c r="E124" s="59" t="s">
        <v>78</v>
      </c>
      <c r="F124" s="87">
        <v>30.36</v>
      </c>
      <c r="G124" s="146"/>
      <c r="H124" s="146"/>
      <c r="I124" s="146">
        <f t="shared" si="52"/>
        <v>30.36</v>
      </c>
      <c r="J124" s="536">
        <v>17.04</v>
      </c>
      <c r="K124" s="451">
        <f t="shared" si="54"/>
        <v>517.33000000000004</v>
      </c>
      <c r="L124" s="451">
        <f t="shared" si="55"/>
        <v>0</v>
      </c>
      <c r="M124" s="451">
        <f t="shared" si="56"/>
        <v>0</v>
      </c>
      <c r="N124" s="451">
        <f t="shared" si="53"/>
        <v>517.33000000000004</v>
      </c>
      <c r="S124" s="32"/>
    </row>
    <row r="125" spans="1:19" s="449" customFormat="1" ht="25.5" x14ac:dyDescent="0.25">
      <c r="A125" s="219" t="s">
        <v>974</v>
      </c>
      <c r="B125" s="219" t="s">
        <v>975</v>
      </c>
      <c r="C125" s="56" t="s">
        <v>976</v>
      </c>
      <c r="D125" s="58" t="s">
        <v>135</v>
      </c>
      <c r="E125" s="59" t="s">
        <v>78</v>
      </c>
      <c r="F125" s="87"/>
      <c r="G125" s="514">
        <v>280.10000000000002</v>
      </c>
      <c r="H125" s="514"/>
      <c r="I125" s="514">
        <f t="shared" ref="I125" si="57">F125+G125+H125</f>
        <v>280.10000000000002</v>
      </c>
      <c r="J125" s="536">
        <f>'Preço novos'!I14</f>
        <v>14.328785250000001</v>
      </c>
      <c r="K125" s="451">
        <f t="shared" si="54"/>
        <v>0</v>
      </c>
      <c r="L125" s="451">
        <f t="shared" si="55"/>
        <v>4013.4927485250005</v>
      </c>
      <c r="M125" s="451">
        <f t="shared" si="56"/>
        <v>0</v>
      </c>
      <c r="N125" s="451">
        <f t="shared" si="53"/>
        <v>4013.4927485250005</v>
      </c>
      <c r="S125" s="450"/>
    </row>
    <row r="126" spans="1:19" x14ac:dyDescent="0.25">
      <c r="A126" s="219"/>
      <c r="B126" s="219"/>
      <c r="C126" s="56"/>
      <c r="D126" s="157"/>
      <c r="E126" s="59"/>
      <c r="F126" s="87"/>
      <c r="G126" s="146"/>
      <c r="H126" s="146"/>
      <c r="I126" s="146"/>
      <c r="J126" s="536"/>
      <c r="K126" s="33"/>
      <c r="L126" s="33"/>
      <c r="M126" s="33"/>
      <c r="N126" s="33"/>
      <c r="S126" s="32"/>
    </row>
    <row r="127" spans="1:19" x14ac:dyDescent="0.25">
      <c r="A127" s="182">
        <v>9</v>
      </c>
      <c r="B127" s="223" t="s">
        <v>93</v>
      </c>
      <c r="C127" s="72"/>
      <c r="D127" s="73"/>
      <c r="E127" s="223"/>
      <c r="F127" s="223"/>
      <c r="G127" s="224"/>
      <c r="H127" s="224"/>
      <c r="I127" s="146"/>
      <c r="J127" s="545"/>
      <c r="K127" s="141">
        <f>SUM(K128:K158)</f>
        <v>9197.3200000000015</v>
      </c>
      <c r="L127" s="141">
        <f t="shared" ref="L127:N127" si="58">SUM(L128:L158)</f>
        <v>5354.1033855000005</v>
      </c>
      <c r="M127" s="141">
        <f t="shared" si="58"/>
        <v>-4708.875</v>
      </c>
      <c r="N127" s="141">
        <f t="shared" si="58"/>
        <v>9842.5483855000002</v>
      </c>
      <c r="S127" s="32"/>
    </row>
    <row r="128" spans="1:19" x14ac:dyDescent="0.25">
      <c r="A128" s="182" t="s">
        <v>92</v>
      </c>
      <c r="B128" s="183" t="s">
        <v>91</v>
      </c>
      <c r="C128" s="70"/>
      <c r="D128" s="71"/>
      <c r="E128" s="184"/>
      <c r="F128" s="184"/>
      <c r="G128" s="211"/>
      <c r="H128" s="211"/>
      <c r="I128" s="211"/>
      <c r="J128" s="534"/>
      <c r="K128" s="33"/>
      <c r="L128" s="184"/>
      <c r="M128" s="184"/>
      <c r="N128" s="204"/>
      <c r="S128" s="32"/>
    </row>
    <row r="129" spans="1:19" ht="38.25" x14ac:dyDescent="0.25">
      <c r="A129" s="219" t="s">
        <v>557</v>
      </c>
      <c r="B129" s="219" t="s">
        <v>558</v>
      </c>
      <c r="C129" s="44" t="s">
        <v>216</v>
      </c>
      <c r="D129" s="40" t="s">
        <v>135</v>
      </c>
      <c r="E129" s="59" t="s">
        <v>7</v>
      </c>
      <c r="F129" s="87">
        <v>8</v>
      </c>
      <c r="G129" s="146"/>
      <c r="H129" s="146"/>
      <c r="I129" s="146">
        <f t="shared" ref="I129:I155" si="59">F129+G129+H129</f>
        <v>8</v>
      </c>
      <c r="J129" s="536">
        <v>125.42999999999999</v>
      </c>
      <c r="K129" s="33">
        <f>ROUND(J129*F129,2)</f>
        <v>1003.44</v>
      </c>
      <c r="L129" s="33">
        <f t="shared" ref="L129:L136" si="60">G129*J129</f>
        <v>0</v>
      </c>
      <c r="M129" s="33">
        <f t="shared" ref="M129:M136" si="61">H129*J129</f>
        <v>0</v>
      </c>
      <c r="N129" s="451">
        <f t="shared" ref="N129:N136" si="62">K129+L129+M129</f>
        <v>1003.44</v>
      </c>
      <c r="S129" s="32"/>
    </row>
    <row r="130" spans="1:19" ht="25.5" x14ac:dyDescent="0.25">
      <c r="A130" s="219" t="s">
        <v>559</v>
      </c>
      <c r="B130" s="219" t="s">
        <v>560</v>
      </c>
      <c r="C130" s="44" t="s">
        <v>217</v>
      </c>
      <c r="D130" s="40" t="s">
        <v>135</v>
      </c>
      <c r="E130" s="59" t="s">
        <v>7</v>
      </c>
      <c r="F130" s="87">
        <v>4</v>
      </c>
      <c r="G130" s="146"/>
      <c r="H130" s="146"/>
      <c r="I130" s="146">
        <f t="shared" si="59"/>
        <v>4</v>
      </c>
      <c r="J130" s="536">
        <v>112.72</v>
      </c>
      <c r="K130" s="451">
        <f t="shared" ref="K130:K136" si="63">ROUND(J130*F130,2)</f>
        <v>450.88</v>
      </c>
      <c r="L130" s="422">
        <f t="shared" si="60"/>
        <v>0</v>
      </c>
      <c r="M130" s="422">
        <f t="shared" si="61"/>
        <v>0</v>
      </c>
      <c r="N130" s="451">
        <f t="shared" si="62"/>
        <v>450.88</v>
      </c>
      <c r="S130" s="32"/>
    </row>
    <row r="131" spans="1:19" ht="25.5" x14ac:dyDescent="0.25">
      <c r="A131" s="219" t="s">
        <v>561</v>
      </c>
      <c r="B131" s="219" t="s">
        <v>562</v>
      </c>
      <c r="C131" s="44" t="s">
        <v>218</v>
      </c>
      <c r="D131" s="40" t="s">
        <v>135</v>
      </c>
      <c r="E131" s="59" t="s">
        <v>67</v>
      </c>
      <c r="F131" s="87">
        <v>15</v>
      </c>
      <c r="G131" s="146"/>
      <c r="H131" s="146"/>
      <c r="I131" s="146">
        <f t="shared" si="59"/>
        <v>15</v>
      </c>
      <c r="J131" s="536">
        <v>18.5</v>
      </c>
      <c r="K131" s="451">
        <f t="shared" si="63"/>
        <v>277.5</v>
      </c>
      <c r="L131" s="422">
        <f t="shared" si="60"/>
        <v>0</v>
      </c>
      <c r="M131" s="422">
        <f t="shared" si="61"/>
        <v>0</v>
      </c>
      <c r="N131" s="451">
        <f t="shared" si="62"/>
        <v>277.5</v>
      </c>
      <c r="S131" s="32"/>
    </row>
    <row r="132" spans="1:19" ht="25.5" x14ac:dyDescent="0.25">
      <c r="A132" s="219" t="s">
        <v>563</v>
      </c>
      <c r="B132" s="219" t="s">
        <v>564</v>
      </c>
      <c r="C132" s="46" t="s">
        <v>219</v>
      </c>
      <c r="D132" s="40" t="s">
        <v>135</v>
      </c>
      <c r="E132" s="59" t="s">
        <v>7</v>
      </c>
      <c r="F132" s="87">
        <v>2</v>
      </c>
      <c r="G132" s="146"/>
      <c r="H132" s="146"/>
      <c r="I132" s="146">
        <f t="shared" si="59"/>
        <v>2</v>
      </c>
      <c r="J132" s="536">
        <v>4.24</v>
      </c>
      <c r="K132" s="451">
        <f t="shared" si="63"/>
        <v>8.48</v>
      </c>
      <c r="L132" s="422">
        <f t="shared" si="60"/>
        <v>0</v>
      </c>
      <c r="M132" s="422">
        <f t="shared" si="61"/>
        <v>0</v>
      </c>
      <c r="N132" s="451">
        <f t="shared" si="62"/>
        <v>8.48</v>
      </c>
      <c r="S132" s="32"/>
    </row>
    <row r="133" spans="1:19" ht="25.5" x14ac:dyDescent="0.25">
      <c r="A133" s="219" t="s">
        <v>565</v>
      </c>
      <c r="B133" s="219" t="s">
        <v>566</v>
      </c>
      <c r="C133" s="46" t="s">
        <v>220</v>
      </c>
      <c r="D133" s="40" t="s">
        <v>135</v>
      </c>
      <c r="E133" s="59" t="s">
        <v>7</v>
      </c>
      <c r="F133" s="87">
        <v>4</v>
      </c>
      <c r="G133" s="146"/>
      <c r="H133" s="146"/>
      <c r="I133" s="146">
        <f t="shared" si="59"/>
        <v>4</v>
      </c>
      <c r="J133" s="536">
        <v>7.26</v>
      </c>
      <c r="K133" s="451">
        <f t="shared" si="63"/>
        <v>29.04</v>
      </c>
      <c r="L133" s="422">
        <f t="shared" si="60"/>
        <v>0</v>
      </c>
      <c r="M133" s="422">
        <f t="shared" si="61"/>
        <v>0</v>
      </c>
      <c r="N133" s="451">
        <f t="shared" si="62"/>
        <v>29.04</v>
      </c>
      <c r="S133" s="32"/>
    </row>
    <row r="134" spans="1:19" ht="25.5" x14ac:dyDescent="0.25">
      <c r="A134" s="219" t="s">
        <v>567</v>
      </c>
      <c r="B134" s="219" t="s">
        <v>568</v>
      </c>
      <c r="C134" s="46" t="s">
        <v>221</v>
      </c>
      <c r="D134" s="40" t="s">
        <v>135</v>
      </c>
      <c r="E134" s="59" t="s">
        <v>7</v>
      </c>
      <c r="F134" s="87">
        <v>2</v>
      </c>
      <c r="G134" s="146"/>
      <c r="H134" s="146"/>
      <c r="I134" s="146">
        <f t="shared" si="59"/>
        <v>2</v>
      </c>
      <c r="J134" s="536">
        <v>11.82</v>
      </c>
      <c r="K134" s="451">
        <f t="shared" si="63"/>
        <v>23.64</v>
      </c>
      <c r="L134" s="422">
        <f t="shared" si="60"/>
        <v>0</v>
      </c>
      <c r="M134" s="422">
        <f t="shared" si="61"/>
        <v>0</v>
      </c>
      <c r="N134" s="451">
        <f t="shared" si="62"/>
        <v>23.64</v>
      </c>
      <c r="S134" s="32"/>
    </row>
    <row r="135" spans="1:19" ht="25.5" x14ac:dyDescent="0.25">
      <c r="A135" s="219" t="s">
        <v>569</v>
      </c>
      <c r="B135" s="219" t="s">
        <v>570</v>
      </c>
      <c r="C135" s="44" t="s">
        <v>222</v>
      </c>
      <c r="D135" s="40" t="s">
        <v>135</v>
      </c>
      <c r="E135" s="59" t="s">
        <v>7</v>
      </c>
      <c r="F135" s="87">
        <v>2</v>
      </c>
      <c r="G135" s="146"/>
      <c r="H135" s="146"/>
      <c r="I135" s="146">
        <f t="shared" si="59"/>
        <v>2</v>
      </c>
      <c r="J135" s="536">
        <v>7.81</v>
      </c>
      <c r="K135" s="451">
        <f t="shared" si="63"/>
        <v>15.62</v>
      </c>
      <c r="L135" s="422">
        <f t="shared" si="60"/>
        <v>0</v>
      </c>
      <c r="M135" s="422">
        <f t="shared" si="61"/>
        <v>0</v>
      </c>
      <c r="N135" s="451">
        <f t="shared" si="62"/>
        <v>15.62</v>
      </c>
      <c r="S135" s="32"/>
    </row>
    <row r="136" spans="1:19" ht="38.25" x14ac:dyDescent="0.25">
      <c r="A136" s="219" t="s">
        <v>571</v>
      </c>
      <c r="B136" s="219" t="s">
        <v>572</v>
      </c>
      <c r="C136" s="46" t="s">
        <v>223</v>
      </c>
      <c r="D136" s="40" t="s">
        <v>135</v>
      </c>
      <c r="E136" s="59" t="s">
        <v>7</v>
      </c>
      <c r="F136" s="87">
        <v>3</v>
      </c>
      <c r="G136" s="146"/>
      <c r="H136" s="146"/>
      <c r="I136" s="146">
        <f t="shared" si="59"/>
        <v>3</v>
      </c>
      <c r="J136" s="536">
        <v>6.05</v>
      </c>
      <c r="K136" s="451">
        <f t="shared" si="63"/>
        <v>18.149999999999999</v>
      </c>
      <c r="L136" s="422">
        <f t="shared" si="60"/>
        <v>0</v>
      </c>
      <c r="M136" s="422">
        <f t="shared" si="61"/>
        <v>0</v>
      </c>
      <c r="N136" s="451">
        <f t="shared" si="62"/>
        <v>18.149999999999999</v>
      </c>
      <c r="S136" s="32"/>
    </row>
    <row r="137" spans="1:19" s="449" customFormat="1" x14ac:dyDescent="0.25">
      <c r="A137" s="219"/>
      <c r="B137" s="225"/>
      <c r="C137" s="46"/>
      <c r="D137" s="456"/>
      <c r="E137" s="226"/>
      <c r="F137" s="213"/>
      <c r="G137" s="383"/>
      <c r="H137" s="383"/>
      <c r="I137" s="383"/>
      <c r="J137" s="537"/>
      <c r="K137" s="451"/>
      <c r="L137" s="143"/>
      <c r="M137" s="143"/>
      <c r="N137" s="380"/>
      <c r="S137" s="450"/>
    </row>
    <row r="138" spans="1:19" x14ac:dyDescent="0.25">
      <c r="A138" s="182" t="s">
        <v>90</v>
      </c>
      <c r="B138" s="183" t="s">
        <v>89</v>
      </c>
      <c r="C138" s="54"/>
      <c r="D138" s="43"/>
      <c r="E138" s="184"/>
      <c r="F138" s="184"/>
      <c r="G138" s="211"/>
      <c r="H138" s="211"/>
      <c r="I138" s="211"/>
      <c r="J138" s="534"/>
      <c r="K138" s="33"/>
      <c r="L138" s="184"/>
      <c r="M138" s="184"/>
      <c r="N138" s="204"/>
      <c r="S138" s="32"/>
    </row>
    <row r="139" spans="1:19" ht="25.5" x14ac:dyDescent="0.25">
      <c r="A139" s="219" t="s">
        <v>573</v>
      </c>
      <c r="B139" s="219" t="s">
        <v>574</v>
      </c>
      <c r="C139" s="44" t="s">
        <v>224</v>
      </c>
      <c r="D139" s="40" t="s">
        <v>134</v>
      </c>
      <c r="E139" s="59" t="s">
        <v>575</v>
      </c>
      <c r="F139" s="87">
        <v>2</v>
      </c>
      <c r="G139" s="146"/>
      <c r="H139" s="146"/>
      <c r="I139" s="146">
        <f t="shared" si="59"/>
        <v>2</v>
      </c>
      <c r="J139" s="536">
        <v>148.91</v>
      </c>
      <c r="K139" s="33">
        <f>ROUND(J139*F139,2)</f>
        <v>297.82</v>
      </c>
      <c r="L139" s="33">
        <f t="shared" ref="L139:L147" si="64">G139*J139</f>
        <v>0</v>
      </c>
      <c r="M139" s="33">
        <f t="shared" ref="M139:M147" si="65">H139*J139</f>
        <v>0</v>
      </c>
      <c r="N139" s="451">
        <f t="shared" ref="N139:N147" si="66">K139+L139+M139</f>
        <v>297.82</v>
      </c>
      <c r="S139" s="32"/>
    </row>
    <row r="140" spans="1:19" ht="25.5" x14ac:dyDescent="0.25">
      <c r="A140" s="219" t="s">
        <v>576</v>
      </c>
      <c r="B140" s="219" t="s">
        <v>577</v>
      </c>
      <c r="C140" s="44" t="s">
        <v>225</v>
      </c>
      <c r="D140" s="40" t="s">
        <v>134</v>
      </c>
      <c r="E140" s="59" t="s">
        <v>5</v>
      </c>
      <c r="F140" s="87">
        <v>1</v>
      </c>
      <c r="G140" s="146"/>
      <c r="H140" s="146"/>
      <c r="I140" s="146">
        <f t="shared" si="59"/>
        <v>1</v>
      </c>
      <c r="J140" s="536">
        <v>145.68</v>
      </c>
      <c r="K140" s="451">
        <f t="shared" ref="K140:K147" si="67">ROUND(J140*F140,2)</f>
        <v>145.68</v>
      </c>
      <c r="L140" s="33">
        <f t="shared" si="64"/>
        <v>0</v>
      </c>
      <c r="M140" s="33">
        <f t="shared" si="65"/>
        <v>0</v>
      </c>
      <c r="N140" s="451">
        <f t="shared" si="66"/>
        <v>145.68</v>
      </c>
      <c r="S140" s="32"/>
    </row>
    <row r="141" spans="1:19" ht="25.5" x14ac:dyDescent="0.25">
      <c r="A141" s="219" t="s">
        <v>578</v>
      </c>
      <c r="B141" s="219" t="s">
        <v>579</v>
      </c>
      <c r="C141" s="44" t="s">
        <v>226</v>
      </c>
      <c r="D141" s="40" t="s">
        <v>134</v>
      </c>
      <c r="E141" s="59" t="s">
        <v>5</v>
      </c>
      <c r="F141" s="87">
        <v>2</v>
      </c>
      <c r="G141" s="146"/>
      <c r="H141" s="146"/>
      <c r="I141" s="146">
        <f t="shared" si="59"/>
        <v>2</v>
      </c>
      <c r="J141" s="536">
        <v>91.070000000000007</v>
      </c>
      <c r="K141" s="451">
        <f t="shared" si="67"/>
        <v>182.14</v>
      </c>
      <c r="L141" s="33">
        <f t="shared" si="64"/>
        <v>0</v>
      </c>
      <c r="M141" s="33">
        <f t="shared" si="65"/>
        <v>0</v>
      </c>
      <c r="N141" s="451">
        <f t="shared" si="66"/>
        <v>182.14</v>
      </c>
      <c r="S141" s="32"/>
    </row>
    <row r="142" spans="1:19" ht="25.5" x14ac:dyDescent="0.25">
      <c r="A142" s="219" t="s">
        <v>580</v>
      </c>
      <c r="B142" s="219" t="s">
        <v>581</v>
      </c>
      <c r="C142" s="44" t="s">
        <v>227</v>
      </c>
      <c r="D142" s="40" t="s">
        <v>135</v>
      </c>
      <c r="E142" s="59" t="s">
        <v>7</v>
      </c>
      <c r="F142" s="87">
        <v>1</v>
      </c>
      <c r="G142" s="146"/>
      <c r="H142" s="146"/>
      <c r="I142" s="146">
        <f t="shared" si="59"/>
        <v>1</v>
      </c>
      <c r="J142" s="536">
        <v>325.86</v>
      </c>
      <c r="K142" s="451">
        <f t="shared" si="67"/>
        <v>325.86</v>
      </c>
      <c r="L142" s="33">
        <f t="shared" si="64"/>
        <v>0</v>
      </c>
      <c r="M142" s="33">
        <f t="shared" si="65"/>
        <v>0</v>
      </c>
      <c r="N142" s="451">
        <f t="shared" si="66"/>
        <v>325.86</v>
      </c>
      <c r="S142" s="32"/>
    </row>
    <row r="143" spans="1:19" ht="38.25" x14ac:dyDescent="0.25">
      <c r="A143" s="219" t="s">
        <v>582</v>
      </c>
      <c r="B143" s="219" t="s">
        <v>583</v>
      </c>
      <c r="C143" s="44" t="s">
        <v>228</v>
      </c>
      <c r="D143" s="40" t="s">
        <v>135</v>
      </c>
      <c r="E143" s="59" t="s">
        <v>7</v>
      </c>
      <c r="F143" s="87">
        <v>1</v>
      </c>
      <c r="G143" s="146"/>
      <c r="H143" s="146"/>
      <c r="I143" s="146">
        <f t="shared" si="59"/>
        <v>1</v>
      </c>
      <c r="J143" s="536">
        <v>414.77</v>
      </c>
      <c r="K143" s="451">
        <f t="shared" si="67"/>
        <v>414.77</v>
      </c>
      <c r="L143" s="33">
        <f t="shared" si="64"/>
        <v>0</v>
      </c>
      <c r="M143" s="33">
        <f t="shared" si="65"/>
        <v>0</v>
      </c>
      <c r="N143" s="451">
        <f t="shared" si="66"/>
        <v>414.77</v>
      </c>
      <c r="S143" s="32"/>
    </row>
    <row r="144" spans="1:19" ht="38.25" x14ac:dyDescent="0.25">
      <c r="A144" s="219" t="s">
        <v>584</v>
      </c>
      <c r="B144" s="219" t="s">
        <v>585</v>
      </c>
      <c r="C144" s="46" t="s">
        <v>229</v>
      </c>
      <c r="D144" s="40" t="s">
        <v>135</v>
      </c>
      <c r="E144" s="59" t="s">
        <v>7</v>
      </c>
      <c r="F144" s="87">
        <v>4</v>
      </c>
      <c r="G144" s="146"/>
      <c r="H144" s="146"/>
      <c r="I144" s="146">
        <f t="shared" si="59"/>
        <v>4</v>
      </c>
      <c r="J144" s="536">
        <v>33.739999999999995</v>
      </c>
      <c r="K144" s="451">
        <f t="shared" si="67"/>
        <v>134.96</v>
      </c>
      <c r="L144" s="33">
        <f t="shared" si="64"/>
        <v>0</v>
      </c>
      <c r="M144" s="33">
        <f t="shared" si="65"/>
        <v>0</v>
      </c>
      <c r="N144" s="451">
        <f t="shared" si="66"/>
        <v>134.96</v>
      </c>
      <c r="S144" s="32"/>
    </row>
    <row r="145" spans="1:19" ht="25.5" x14ac:dyDescent="0.25">
      <c r="A145" s="219" t="s">
        <v>586</v>
      </c>
      <c r="B145" s="219" t="s">
        <v>587</v>
      </c>
      <c r="C145" s="44" t="s">
        <v>230</v>
      </c>
      <c r="D145" s="40" t="s">
        <v>135</v>
      </c>
      <c r="E145" s="59" t="s">
        <v>67</v>
      </c>
      <c r="F145" s="87">
        <v>17</v>
      </c>
      <c r="G145" s="146"/>
      <c r="H145" s="146"/>
      <c r="I145" s="146">
        <f t="shared" si="59"/>
        <v>17</v>
      </c>
      <c r="J145" s="536">
        <v>15.59</v>
      </c>
      <c r="K145" s="451">
        <f t="shared" si="67"/>
        <v>265.02999999999997</v>
      </c>
      <c r="L145" s="33">
        <f t="shared" si="64"/>
        <v>0</v>
      </c>
      <c r="M145" s="33">
        <f t="shared" si="65"/>
        <v>0</v>
      </c>
      <c r="N145" s="451">
        <f t="shared" si="66"/>
        <v>265.02999999999997</v>
      </c>
      <c r="S145" s="32"/>
    </row>
    <row r="146" spans="1:19" ht="25.5" x14ac:dyDescent="0.25">
      <c r="A146" s="219" t="s">
        <v>588</v>
      </c>
      <c r="B146" s="219" t="s">
        <v>589</v>
      </c>
      <c r="C146" s="44" t="s">
        <v>231</v>
      </c>
      <c r="D146" s="40" t="s">
        <v>134</v>
      </c>
      <c r="E146" s="59" t="s">
        <v>5</v>
      </c>
      <c r="F146" s="87">
        <v>1</v>
      </c>
      <c r="G146" s="146"/>
      <c r="H146" s="146"/>
      <c r="I146" s="146">
        <f t="shared" si="59"/>
        <v>1</v>
      </c>
      <c r="J146" s="536">
        <v>11.63</v>
      </c>
      <c r="K146" s="451">
        <f t="shared" si="67"/>
        <v>11.63</v>
      </c>
      <c r="L146" s="33">
        <f t="shared" si="64"/>
        <v>0</v>
      </c>
      <c r="M146" s="33">
        <f t="shared" si="65"/>
        <v>0</v>
      </c>
      <c r="N146" s="451">
        <f t="shared" si="66"/>
        <v>11.63</v>
      </c>
      <c r="S146" s="32"/>
    </row>
    <row r="147" spans="1:19" ht="25.5" x14ac:dyDescent="0.25">
      <c r="A147" s="219" t="s">
        <v>590</v>
      </c>
      <c r="B147" s="219" t="s">
        <v>591</v>
      </c>
      <c r="C147" s="44" t="s">
        <v>232</v>
      </c>
      <c r="D147" s="40" t="s">
        <v>135</v>
      </c>
      <c r="E147" s="59" t="s">
        <v>67</v>
      </c>
      <c r="F147" s="87">
        <v>15</v>
      </c>
      <c r="G147" s="146"/>
      <c r="H147" s="146"/>
      <c r="I147" s="146">
        <f t="shared" si="59"/>
        <v>15</v>
      </c>
      <c r="J147" s="536">
        <v>29.46</v>
      </c>
      <c r="K147" s="451">
        <f t="shared" si="67"/>
        <v>441.9</v>
      </c>
      <c r="L147" s="33">
        <f t="shared" si="64"/>
        <v>0</v>
      </c>
      <c r="M147" s="33">
        <f t="shared" si="65"/>
        <v>0</v>
      </c>
      <c r="N147" s="451">
        <f t="shared" si="66"/>
        <v>441.9</v>
      </c>
      <c r="S147" s="32"/>
    </row>
    <row r="148" spans="1:19" s="449" customFormat="1" x14ac:dyDescent="0.25">
      <c r="A148" s="219"/>
      <c r="B148" s="225"/>
      <c r="C148" s="44"/>
      <c r="D148" s="456"/>
      <c r="E148" s="226"/>
      <c r="F148" s="213"/>
      <c r="G148" s="383"/>
      <c r="H148" s="383"/>
      <c r="I148" s="383"/>
      <c r="J148" s="537"/>
      <c r="K148" s="451"/>
      <c r="L148" s="143"/>
      <c r="M148" s="143"/>
      <c r="N148" s="380"/>
      <c r="S148" s="450"/>
    </row>
    <row r="149" spans="1:19" x14ac:dyDescent="0.25">
      <c r="A149" s="182" t="s">
        <v>88</v>
      </c>
      <c r="B149" s="183" t="s">
        <v>87</v>
      </c>
      <c r="C149" s="54"/>
      <c r="D149" s="43"/>
      <c r="E149" s="184"/>
      <c r="F149" s="184"/>
      <c r="G149" s="211"/>
      <c r="H149" s="211"/>
      <c r="I149" s="211"/>
      <c r="J149" s="534"/>
      <c r="K149" s="33"/>
      <c r="L149" s="184"/>
      <c r="M149" s="184"/>
      <c r="N149" s="204"/>
      <c r="S149" s="32"/>
    </row>
    <row r="150" spans="1:19" ht="25.5" x14ac:dyDescent="0.25">
      <c r="A150" s="219" t="s">
        <v>592</v>
      </c>
      <c r="B150" s="219" t="s">
        <v>593</v>
      </c>
      <c r="C150" s="44" t="s">
        <v>233</v>
      </c>
      <c r="D150" s="40" t="s">
        <v>135</v>
      </c>
      <c r="E150" s="59" t="s">
        <v>67</v>
      </c>
      <c r="F150" s="87">
        <v>70.5</v>
      </c>
      <c r="G150" s="146"/>
      <c r="H150" s="146">
        <v>-70.5</v>
      </c>
      <c r="I150" s="146">
        <f t="shared" si="59"/>
        <v>0</v>
      </c>
      <c r="J150" s="536">
        <v>33.15</v>
      </c>
      <c r="K150" s="33">
        <f t="shared" ref="K150:K158" si="68">ROUND(J150*F150,2)</f>
        <v>2337.08</v>
      </c>
      <c r="L150" s="33">
        <f>G150*J150</f>
        <v>0</v>
      </c>
      <c r="M150" s="33">
        <f>H150*J150</f>
        <v>-2337.0749999999998</v>
      </c>
      <c r="N150" s="451">
        <f t="shared" ref="N150:N158" si="69">K150+L150+M150</f>
        <v>5.0000000001091394E-3</v>
      </c>
      <c r="S150" s="32"/>
    </row>
    <row r="151" spans="1:19" ht="38.25" x14ac:dyDescent="0.25">
      <c r="A151" s="219" t="s">
        <v>594</v>
      </c>
      <c r="B151" s="219" t="s">
        <v>595</v>
      </c>
      <c r="C151" s="48" t="s">
        <v>234</v>
      </c>
      <c r="D151" s="40" t="s">
        <v>135</v>
      </c>
      <c r="E151" s="59" t="s">
        <v>7</v>
      </c>
      <c r="F151" s="87">
        <v>5</v>
      </c>
      <c r="G151" s="146"/>
      <c r="H151" s="146">
        <v>-5</v>
      </c>
      <c r="I151" s="146">
        <f t="shared" si="59"/>
        <v>0</v>
      </c>
      <c r="J151" s="536">
        <v>33.950000000000003</v>
      </c>
      <c r="K151" s="451">
        <f t="shared" si="68"/>
        <v>169.75</v>
      </c>
      <c r="L151" s="451">
        <f t="shared" ref="L151:L158" si="70">G151*J151</f>
        <v>0</v>
      </c>
      <c r="M151" s="451">
        <f t="shared" ref="M151:M158" si="71">H151*J151</f>
        <v>-169.75</v>
      </c>
      <c r="N151" s="451">
        <f t="shared" si="69"/>
        <v>0</v>
      </c>
      <c r="S151" s="32"/>
    </row>
    <row r="152" spans="1:19" ht="38.25" x14ac:dyDescent="0.25">
      <c r="A152" s="219" t="s">
        <v>596</v>
      </c>
      <c r="B152" s="219" t="s">
        <v>597</v>
      </c>
      <c r="C152" s="46" t="s">
        <v>235</v>
      </c>
      <c r="D152" s="40" t="s">
        <v>135</v>
      </c>
      <c r="E152" s="59" t="s">
        <v>7</v>
      </c>
      <c r="F152" s="87">
        <v>10</v>
      </c>
      <c r="G152" s="146"/>
      <c r="H152" s="146">
        <v>-10</v>
      </c>
      <c r="I152" s="146">
        <f t="shared" si="59"/>
        <v>0</v>
      </c>
      <c r="J152" s="536">
        <v>27.51</v>
      </c>
      <c r="K152" s="451">
        <f t="shared" si="68"/>
        <v>275.10000000000002</v>
      </c>
      <c r="L152" s="451">
        <f t="shared" si="70"/>
        <v>0</v>
      </c>
      <c r="M152" s="451">
        <f t="shared" si="71"/>
        <v>-275.10000000000002</v>
      </c>
      <c r="N152" s="451">
        <f t="shared" si="69"/>
        <v>0</v>
      </c>
      <c r="S152" s="32"/>
    </row>
    <row r="153" spans="1:19" ht="25.5" x14ac:dyDescent="0.25">
      <c r="A153" s="219" t="s">
        <v>598</v>
      </c>
      <c r="B153" s="219" t="s">
        <v>599</v>
      </c>
      <c r="C153" s="46" t="s">
        <v>236</v>
      </c>
      <c r="D153" s="40" t="s">
        <v>135</v>
      </c>
      <c r="E153" s="59" t="s">
        <v>7</v>
      </c>
      <c r="F153" s="87">
        <v>6</v>
      </c>
      <c r="G153" s="146"/>
      <c r="H153" s="146">
        <v>-6</v>
      </c>
      <c r="I153" s="146">
        <f t="shared" si="59"/>
        <v>0</v>
      </c>
      <c r="J153" s="536">
        <v>53.25</v>
      </c>
      <c r="K153" s="451">
        <f t="shared" si="68"/>
        <v>319.5</v>
      </c>
      <c r="L153" s="451">
        <f t="shared" si="70"/>
        <v>0</v>
      </c>
      <c r="M153" s="451">
        <f t="shared" si="71"/>
        <v>-319.5</v>
      </c>
      <c r="N153" s="451">
        <f t="shared" si="69"/>
        <v>0</v>
      </c>
      <c r="S153" s="32"/>
    </row>
    <row r="154" spans="1:19" ht="38.25" x14ac:dyDescent="0.25">
      <c r="A154" s="219" t="s">
        <v>600</v>
      </c>
      <c r="B154" s="219" t="s">
        <v>597</v>
      </c>
      <c r="C154" s="46" t="s">
        <v>235</v>
      </c>
      <c r="D154" s="40" t="s">
        <v>135</v>
      </c>
      <c r="E154" s="59" t="s">
        <v>7</v>
      </c>
      <c r="F154" s="87">
        <v>3</v>
      </c>
      <c r="G154" s="146"/>
      <c r="H154" s="146">
        <v>-3</v>
      </c>
      <c r="I154" s="146">
        <f t="shared" si="59"/>
        <v>0</v>
      </c>
      <c r="J154" s="536">
        <v>27.51</v>
      </c>
      <c r="K154" s="451">
        <f t="shared" si="68"/>
        <v>82.53</v>
      </c>
      <c r="L154" s="451">
        <f t="shared" si="70"/>
        <v>0</v>
      </c>
      <c r="M154" s="451">
        <f t="shared" si="71"/>
        <v>-82.53</v>
      </c>
      <c r="N154" s="451">
        <f t="shared" si="69"/>
        <v>0</v>
      </c>
      <c r="S154" s="32"/>
    </row>
    <row r="155" spans="1:19" ht="38.25" x14ac:dyDescent="0.25">
      <c r="A155" s="219" t="s">
        <v>601</v>
      </c>
      <c r="B155" s="219" t="s">
        <v>602</v>
      </c>
      <c r="C155" s="44" t="s">
        <v>237</v>
      </c>
      <c r="D155" s="40" t="s">
        <v>135</v>
      </c>
      <c r="E155" s="59" t="s">
        <v>7</v>
      </c>
      <c r="F155" s="87">
        <v>2</v>
      </c>
      <c r="G155" s="146"/>
      <c r="H155" s="146">
        <v>-2</v>
      </c>
      <c r="I155" s="146">
        <f t="shared" si="59"/>
        <v>0</v>
      </c>
      <c r="J155" s="536">
        <v>762.46</v>
      </c>
      <c r="K155" s="451">
        <f t="shared" si="68"/>
        <v>1524.92</v>
      </c>
      <c r="L155" s="451">
        <f t="shared" si="70"/>
        <v>0</v>
      </c>
      <c r="M155" s="451">
        <f t="shared" si="71"/>
        <v>-1524.92</v>
      </c>
      <c r="N155" s="451">
        <f t="shared" si="69"/>
        <v>0</v>
      </c>
      <c r="S155" s="32"/>
    </row>
    <row r="156" spans="1:19" s="449" customFormat="1" ht="25.5" x14ac:dyDescent="0.25">
      <c r="A156" s="219" t="s">
        <v>867</v>
      </c>
      <c r="B156" s="219" t="s">
        <v>960</v>
      </c>
      <c r="C156" s="44" t="s">
        <v>232</v>
      </c>
      <c r="D156" s="456" t="s">
        <v>135</v>
      </c>
      <c r="E156" s="59" t="s">
        <v>67</v>
      </c>
      <c r="F156" s="87">
        <v>15</v>
      </c>
      <c r="G156" s="514">
        <v>71</v>
      </c>
      <c r="H156" s="514"/>
      <c r="I156" s="514">
        <f t="shared" ref="I156" si="72">F156+G156+H156</f>
        <v>86</v>
      </c>
      <c r="J156" s="536">
        <v>29.46</v>
      </c>
      <c r="K156" s="451">
        <f t="shared" si="68"/>
        <v>441.9</v>
      </c>
      <c r="L156" s="451">
        <f t="shared" si="70"/>
        <v>2091.66</v>
      </c>
      <c r="M156" s="451">
        <f t="shared" si="71"/>
        <v>0</v>
      </c>
      <c r="N156" s="451">
        <f t="shared" si="69"/>
        <v>2533.56</v>
      </c>
      <c r="S156" s="450"/>
    </row>
    <row r="157" spans="1:19" s="449" customFormat="1" ht="25.5" x14ac:dyDescent="0.25">
      <c r="A157" s="219" t="s">
        <v>868</v>
      </c>
      <c r="B157" s="219" t="s">
        <v>959</v>
      </c>
      <c r="C157" s="44" t="s">
        <v>232</v>
      </c>
      <c r="D157" s="456" t="s">
        <v>135</v>
      </c>
      <c r="E157" s="59" t="s">
        <v>67</v>
      </c>
      <c r="F157" s="87"/>
      <c r="G157" s="514">
        <v>30</v>
      </c>
      <c r="H157" s="514"/>
      <c r="I157" s="514">
        <f t="shared" ref="I157:I158" si="73">F157+G157+H157</f>
        <v>30</v>
      </c>
      <c r="J157" s="536">
        <f>'Preço novos'!I12</f>
        <v>71.87984212500001</v>
      </c>
      <c r="K157" s="451">
        <f t="shared" si="68"/>
        <v>0</v>
      </c>
      <c r="L157" s="451">
        <f t="shared" si="70"/>
        <v>2156.3952637500001</v>
      </c>
      <c r="M157" s="451">
        <f t="shared" si="71"/>
        <v>0</v>
      </c>
      <c r="N157" s="451">
        <f t="shared" si="69"/>
        <v>2156.3952637500001</v>
      </c>
      <c r="S157" s="450"/>
    </row>
    <row r="158" spans="1:19" s="449" customFormat="1" ht="38.25" x14ac:dyDescent="0.25">
      <c r="A158" s="219" t="s">
        <v>963</v>
      </c>
      <c r="B158" s="219" t="s">
        <v>602</v>
      </c>
      <c r="C158" s="44" t="s">
        <v>964</v>
      </c>
      <c r="D158" s="456" t="s">
        <v>135</v>
      </c>
      <c r="E158" s="59" t="s">
        <v>7</v>
      </c>
      <c r="F158" s="87"/>
      <c r="G158" s="514">
        <v>2</v>
      </c>
      <c r="H158" s="514"/>
      <c r="I158" s="514">
        <f t="shared" si="73"/>
        <v>2</v>
      </c>
      <c r="J158" s="536">
        <f>'Preço novos'!I13</f>
        <v>553.02406087500003</v>
      </c>
      <c r="K158" s="451">
        <f t="shared" si="68"/>
        <v>0</v>
      </c>
      <c r="L158" s="451">
        <f t="shared" si="70"/>
        <v>1106.0481217500001</v>
      </c>
      <c r="M158" s="451">
        <f t="shared" si="71"/>
        <v>0</v>
      </c>
      <c r="N158" s="451">
        <f t="shared" si="69"/>
        <v>1106.0481217500001</v>
      </c>
      <c r="S158" s="450"/>
    </row>
    <row r="159" spans="1:19" x14ac:dyDescent="0.25">
      <c r="A159" s="219"/>
      <c r="B159" s="225"/>
      <c r="C159" s="158"/>
      <c r="D159" s="138"/>
      <c r="E159" s="226"/>
      <c r="F159" s="213"/>
      <c r="G159" s="162"/>
      <c r="H159" s="162"/>
      <c r="I159" s="162"/>
      <c r="J159" s="537"/>
      <c r="K159" s="33"/>
      <c r="L159" s="143"/>
      <c r="M159" s="143"/>
      <c r="N159" s="144"/>
      <c r="S159" s="32"/>
    </row>
    <row r="160" spans="1:19" x14ac:dyDescent="0.25">
      <c r="A160" s="182">
        <v>10</v>
      </c>
      <c r="B160" s="183" t="s">
        <v>86</v>
      </c>
      <c r="C160" s="67"/>
      <c r="D160" s="68"/>
      <c r="E160" s="184"/>
      <c r="F160" s="184"/>
      <c r="G160" s="211"/>
      <c r="H160" s="211"/>
      <c r="I160" s="211"/>
      <c r="J160" s="534"/>
      <c r="K160" s="141">
        <f>SUM(K161:K199)</f>
        <v>57846.86</v>
      </c>
      <c r="L160" s="141">
        <f t="shared" ref="L160:N160" si="74">SUM(L161:L199)</f>
        <v>0</v>
      </c>
      <c r="M160" s="141">
        <f t="shared" si="74"/>
        <v>0</v>
      </c>
      <c r="N160" s="141">
        <f t="shared" si="74"/>
        <v>57846.86</v>
      </c>
      <c r="S160" s="32"/>
    </row>
    <row r="161" spans="1:19" ht="25.5" x14ac:dyDescent="0.25">
      <c r="A161" s="219" t="s">
        <v>603</v>
      </c>
      <c r="B161" s="219" t="s">
        <v>604</v>
      </c>
      <c r="C161" s="44" t="s">
        <v>238</v>
      </c>
      <c r="D161" s="40" t="s">
        <v>135</v>
      </c>
      <c r="E161" s="59" t="s">
        <v>67</v>
      </c>
      <c r="F161" s="87">
        <v>150</v>
      </c>
      <c r="G161" s="146"/>
      <c r="H161" s="146"/>
      <c r="I161" s="146">
        <f t="shared" ref="I161:I199" si="75">F161+G161+H161</f>
        <v>150</v>
      </c>
      <c r="J161" s="536">
        <v>5.3599999999999994</v>
      </c>
      <c r="K161" s="33">
        <f>ROUND(J161*F161,2)</f>
        <v>804</v>
      </c>
      <c r="L161" s="33">
        <f t="shared" ref="L161:L193" si="76">G161*J161</f>
        <v>0</v>
      </c>
      <c r="M161" s="33">
        <f t="shared" ref="M161:M199" si="77">H161*J161</f>
        <v>0</v>
      </c>
      <c r="N161" s="451">
        <f t="shared" ref="N161:N199" si="78">K161+L161+M161</f>
        <v>804</v>
      </c>
      <c r="S161" s="32"/>
    </row>
    <row r="162" spans="1:19" ht="25.5" x14ac:dyDescent="0.25">
      <c r="A162" s="219" t="s">
        <v>605</v>
      </c>
      <c r="B162" s="219" t="s">
        <v>606</v>
      </c>
      <c r="C162" s="44" t="s">
        <v>239</v>
      </c>
      <c r="D162" s="40" t="s">
        <v>135</v>
      </c>
      <c r="E162" s="59" t="s">
        <v>67</v>
      </c>
      <c r="F162" s="87">
        <v>220</v>
      </c>
      <c r="G162" s="146"/>
      <c r="H162" s="146"/>
      <c r="I162" s="146">
        <f t="shared" si="75"/>
        <v>220</v>
      </c>
      <c r="J162" s="536">
        <v>7.53</v>
      </c>
      <c r="K162" s="451">
        <f t="shared" ref="K162:K198" si="79">ROUND(J162*F162,2)</f>
        <v>1656.6</v>
      </c>
      <c r="L162" s="33">
        <f t="shared" si="76"/>
        <v>0</v>
      </c>
      <c r="M162" s="33">
        <f t="shared" si="77"/>
        <v>0</v>
      </c>
      <c r="N162" s="451">
        <f t="shared" si="78"/>
        <v>1656.6</v>
      </c>
      <c r="S162" s="32"/>
    </row>
    <row r="163" spans="1:19" ht="25.5" x14ac:dyDescent="0.25">
      <c r="A163" s="219" t="s">
        <v>607</v>
      </c>
      <c r="B163" s="219" t="s">
        <v>608</v>
      </c>
      <c r="C163" s="44" t="s">
        <v>240</v>
      </c>
      <c r="D163" s="40" t="s">
        <v>135</v>
      </c>
      <c r="E163" s="59" t="s">
        <v>67</v>
      </c>
      <c r="F163" s="87">
        <v>25</v>
      </c>
      <c r="G163" s="146"/>
      <c r="H163" s="146"/>
      <c r="I163" s="146">
        <f t="shared" si="75"/>
        <v>25</v>
      </c>
      <c r="J163" s="536">
        <v>8.85</v>
      </c>
      <c r="K163" s="451">
        <f t="shared" si="79"/>
        <v>221.25</v>
      </c>
      <c r="L163" s="33">
        <f t="shared" si="76"/>
        <v>0</v>
      </c>
      <c r="M163" s="33">
        <f t="shared" si="77"/>
        <v>0</v>
      </c>
      <c r="N163" s="451">
        <f t="shared" si="78"/>
        <v>221.25</v>
      </c>
      <c r="S163" s="32"/>
    </row>
    <row r="164" spans="1:19" ht="25.5" x14ac:dyDescent="0.25">
      <c r="A164" s="219" t="s">
        <v>609</v>
      </c>
      <c r="B164" s="219" t="s">
        <v>610</v>
      </c>
      <c r="C164" s="44" t="s">
        <v>241</v>
      </c>
      <c r="D164" s="40" t="s">
        <v>135</v>
      </c>
      <c r="E164" s="59" t="s">
        <v>67</v>
      </c>
      <c r="F164" s="87">
        <v>21</v>
      </c>
      <c r="G164" s="146"/>
      <c r="H164" s="146"/>
      <c r="I164" s="146">
        <f t="shared" si="75"/>
        <v>21</v>
      </c>
      <c r="J164" s="536">
        <v>12.81</v>
      </c>
      <c r="K164" s="451">
        <f t="shared" si="79"/>
        <v>269.01</v>
      </c>
      <c r="L164" s="33">
        <f t="shared" si="76"/>
        <v>0</v>
      </c>
      <c r="M164" s="33">
        <f t="shared" si="77"/>
        <v>0</v>
      </c>
      <c r="N164" s="451">
        <f t="shared" si="78"/>
        <v>269.01</v>
      </c>
      <c r="S164" s="32"/>
    </row>
    <row r="165" spans="1:19" ht="25.5" x14ac:dyDescent="0.25">
      <c r="A165" s="219" t="s">
        <v>611</v>
      </c>
      <c r="B165" s="219" t="s">
        <v>612</v>
      </c>
      <c r="C165" s="44" t="s">
        <v>242</v>
      </c>
      <c r="D165" s="40" t="s">
        <v>135</v>
      </c>
      <c r="E165" s="59" t="s">
        <v>7</v>
      </c>
      <c r="F165" s="87">
        <v>7</v>
      </c>
      <c r="G165" s="146"/>
      <c r="H165" s="146"/>
      <c r="I165" s="146">
        <f t="shared" si="75"/>
        <v>7</v>
      </c>
      <c r="J165" s="536">
        <v>11.829999999999998</v>
      </c>
      <c r="K165" s="451">
        <f t="shared" si="79"/>
        <v>82.81</v>
      </c>
      <c r="L165" s="33">
        <f t="shared" si="76"/>
        <v>0</v>
      </c>
      <c r="M165" s="33">
        <f t="shared" si="77"/>
        <v>0</v>
      </c>
      <c r="N165" s="451">
        <f t="shared" si="78"/>
        <v>82.81</v>
      </c>
      <c r="S165" s="32"/>
    </row>
    <row r="166" spans="1:19" ht="25.5" x14ac:dyDescent="0.25">
      <c r="A166" s="219" t="s">
        <v>613</v>
      </c>
      <c r="B166" s="219" t="s">
        <v>614</v>
      </c>
      <c r="C166" s="44" t="s">
        <v>243</v>
      </c>
      <c r="D166" s="40" t="s">
        <v>135</v>
      </c>
      <c r="E166" s="59" t="s">
        <v>7</v>
      </c>
      <c r="F166" s="87">
        <v>45</v>
      </c>
      <c r="G166" s="146"/>
      <c r="H166" s="146"/>
      <c r="I166" s="146">
        <f t="shared" si="75"/>
        <v>45</v>
      </c>
      <c r="J166" s="536">
        <v>12.2</v>
      </c>
      <c r="K166" s="451">
        <f t="shared" si="79"/>
        <v>549</v>
      </c>
      <c r="L166" s="33">
        <f t="shared" si="76"/>
        <v>0</v>
      </c>
      <c r="M166" s="33">
        <f t="shared" si="77"/>
        <v>0</v>
      </c>
      <c r="N166" s="451">
        <f t="shared" si="78"/>
        <v>549</v>
      </c>
      <c r="S166" s="32"/>
    </row>
    <row r="167" spans="1:19" ht="25.5" x14ac:dyDescent="0.25">
      <c r="A167" s="219" t="s">
        <v>615</v>
      </c>
      <c r="B167" s="219" t="s">
        <v>616</v>
      </c>
      <c r="C167" s="44" t="s">
        <v>244</v>
      </c>
      <c r="D167" s="40" t="s">
        <v>135</v>
      </c>
      <c r="E167" s="59" t="s">
        <v>7</v>
      </c>
      <c r="F167" s="87">
        <v>16</v>
      </c>
      <c r="G167" s="146"/>
      <c r="H167" s="146"/>
      <c r="I167" s="146">
        <f t="shared" si="75"/>
        <v>16</v>
      </c>
      <c r="J167" s="536">
        <v>15.86</v>
      </c>
      <c r="K167" s="451">
        <f t="shared" si="79"/>
        <v>253.76</v>
      </c>
      <c r="L167" s="33">
        <f t="shared" si="76"/>
        <v>0</v>
      </c>
      <c r="M167" s="33">
        <f t="shared" si="77"/>
        <v>0</v>
      </c>
      <c r="N167" s="451">
        <f t="shared" si="78"/>
        <v>253.76</v>
      </c>
      <c r="S167" s="32"/>
    </row>
    <row r="168" spans="1:19" ht="25.5" x14ac:dyDescent="0.25">
      <c r="A168" s="219" t="s">
        <v>617</v>
      </c>
      <c r="B168" s="219" t="s">
        <v>618</v>
      </c>
      <c r="C168" s="44" t="s">
        <v>245</v>
      </c>
      <c r="D168" s="40" t="s">
        <v>135</v>
      </c>
      <c r="E168" s="59" t="s">
        <v>7</v>
      </c>
      <c r="F168" s="87">
        <v>32</v>
      </c>
      <c r="G168" s="146"/>
      <c r="H168" s="146"/>
      <c r="I168" s="146">
        <f t="shared" si="75"/>
        <v>32</v>
      </c>
      <c r="J168" s="536">
        <v>10.959999999999999</v>
      </c>
      <c r="K168" s="451">
        <f t="shared" si="79"/>
        <v>350.72</v>
      </c>
      <c r="L168" s="33">
        <f t="shared" si="76"/>
        <v>0</v>
      </c>
      <c r="M168" s="33">
        <f t="shared" si="77"/>
        <v>0</v>
      </c>
      <c r="N168" s="451">
        <f t="shared" si="78"/>
        <v>350.72</v>
      </c>
      <c r="S168" s="32"/>
    </row>
    <row r="169" spans="1:19" ht="25.5" x14ac:dyDescent="0.25">
      <c r="A169" s="219" t="s">
        <v>619</v>
      </c>
      <c r="B169" s="219" t="s">
        <v>620</v>
      </c>
      <c r="C169" s="44" t="s">
        <v>246</v>
      </c>
      <c r="D169" s="40" t="s">
        <v>134</v>
      </c>
      <c r="E169" s="59" t="s">
        <v>5</v>
      </c>
      <c r="F169" s="87">
        <v>2</v>
      </c>
      <c r="G169" s="146"/>
      <c r="H169" s="146"/>
      <c r="I169" s="146">
        <f t="shared" si="75"/>
        <v>2</v>
      </c>
      <c r="J169" s="536">
        <v>45.449999999999996</v>
      </c>
      <c r="K169" s="451">
        <f t="shared" si="79"/>
        <v>90.9</v>
      </c>
      <c r="L169" s="33">
        <f t="shared" si="76"/>
        <v>0</v>
      </c>
      <c r="M169" s="33">
        <f t="shared" si="77"/>
        <v>0</v>
      </c>
      <c r="N169" s="451">
        <f t="shared" si="78"/>
        <v>90.9</v>
      </c>
      <c r="S169" s="32"/>
    </row>
    <row r="170" spans="1:19" ht="25.5" x14ac:dyDescent="0.25">
      <c r="A170" s="219" t="s">
        <v>621</v>
      </c>
      <c r="B170" s="219" t="s">
        <v>622</v>
      </c>
      <c r="C170" s="44" t="s">
        <v>247</v>
      </c>
      <c r="D170" s="40" t="s">
        <v>135</v>
      </c>
      <c r="E170" s="59" t="s">
        <v>67</v>
      </c>
      <c r="F170" s="87">
        <v>1050</v>
      </c>
      <c r="G170" s="146"/>
      <c r="H170" s="146"/>
      <c r="I170" s="146">
        <f t="shared" si="75"/>
        <v>1050</v>
      </c>
      <c r="J170" s="536">
        <v>3.04</v>
      </c>
      <c r="K170" s="451">
        <f t="shared" si="79"/>
        <v>3192</v>
      </c>
      <c r="L170" s="33">
        <f t="shared" si="76"/>
        <v>0</v>
      </c>
      <c r="M170" s="33">
        <f t="shared" si="77"/>
        <v>0</v>
      </c>
      <c r="N170" s="451">
        <f t="shared" si="78"/>
        <v>3192</v>
      </c>
      <c r="S170" s="32"/>
    </row>
    <row r="171" spans="1:19" ht="25.5" x14ac:dyDescent="0.25">
      <c r="A171" s="219" t="s">
        <v>623</v>
      </c>
      <c r="B171" s="219" t="s">
        <v>624</v>
      </c>
      <c r="C171" s="44" t="s">
        <v>248</v>
      </c>
      <c r="D171" s="40" t="s">
        <v>135</v>
      </c>
      <c r="E171" s="59" t="s">
        <v>67</v>
      </c>
      <c r="F171" s="87">
        <v>750</v>
      </c>
      <c r="G171" s="146"/>
      <c r="H171" s="146"/>
      <c r="I171" s="146">
        <f t="shared" si="75"/>
        <v>750</v>
      </c>
      <c r="J171" s="536">
        <v>4.55</v>
      </c>
      <c r="K171" s="451">
        <f t="shared" si="79"/>
        <v>3412.5</v>
      </c>
      <c r="L171" s="33">
        <f t="shared" si="76"/>
        <v>0</v>
      </c>
      <c r="M171" s="33">
        <f t="shared" si="77"/>
        <v>0</v>
      </c>
      <c r="N171" s="451">
        <f t="shared" si="78"/>
        <v>3412.5</v>
      </c>
      <c r="S171" s="32"/>
    </row>
    <row r="172" spans="1:19" ht="25.5" x14ac:dyDescent="0.25">
      <c r="A172" s="219" t="s">
        <v>625</v>
      </c>
      <c r="B172" s="219" t="s">
        <v>626</v>
      </c>
      <c r="C172" s="44" t="s">
        <v>249</v>
      </c>
      <c r="D172" s="40" t="s">
        <v>135</v>
      </c>
      <c r="E172" s="59" t="s">
        <v>67</v>
      </c>
      <c r="F172" s="87">
        <v>450</v>
      </c>
      <c r="G172" s="146"/>
      <c r="H172" s="146"/>
      <c r="I172" s="146">
        <f t="shared" si="75"/>
        <v>450</v>
      </c>
      <c r="J172" s="536">
        <v>7.59</v>
      </c>
      <c r="K172" s="451">
        <f t="shared" si="79"/>
        <v>3415.5</v>
      </c>
      <c r="L172" s="33">
        <f t="shared" si="76"/>
        <v>0</v>
      </c>
      <c r="M172" s="33">
        <f t="shared" si="77"/>
        <v>0</v>
      </c>
      <c r="N172" s="451">
        <f t="shared" si="78"/>
        <v>3415.5</v>
      </c>
      <c r="S172" s="32"/>
    </row>
    <row r="173" spans="1:19" ht="25.5" x14ac:dyDescent="0.25">
      <c r="A173" s="219" t="s">
        <v>627</v>
      </c>
      <c r="B173" s="219" t="s">
        <v>628</v>
      </c>
      <c r="C173" s="44" t="s">
        <v>250</v>
      </c>
      <c r="D173" s="40" t="s">
        <v>134</v>
      </c>
      <c r="E173" s="59" t="s">
        <v>1</v>
      </c>
      <c r="F173" s="87">
        <v>150</v>
      </c>
      <c r="G173" s="146"/>
      <c r="H173" s="146"/>
      <c r="I173" s="146">
        <f t="shared" si="75"/>
        <v>150</v>
      </c>
      <c r="J173" s="536">
        <v>21.11</v>
      </c>
      <c r="K173" s="451">
        <f t="shared" si="79"/>
        <v>3166.5</v>
      </c>
      <c r="L173" s="33">
        <f t="shared" si="76"/>
        <v>0</v>
      </c>
      <c r="M173" s="33">
        <f t="shared" si="77"/>
        <v>0</v>
      </c>
      <c r="N173" s="451">
        <f t="shared" si="78"/>
        <v>3166.5</v>
      </c>
      <c r="S173" s="32"/>
    </row>
    <row r="174" spans="1:19" ht="25.5" x14ac:dyDescent="0.25">
      <c r="A174" s="219" t="s">
        <v>629</v>
      </c>
      <c r="B174" s="219" t="s">
        <v>630</v>
      </c>
      <c r="C174" s="44" t="s">
        <v>251</v>
      </c>
      <c r="D174" s="40" t="s">
        <v>135</v>
      </c>
      <c r="E174" s="59" t="s">
        <v>7</v>
      </c>
      <c r="F174" s="87">
        <v>5</v>
      </c>
      <c r="G174" s="146"/>
      <c r="H174" s="146"/>
      <c r="I174" s="146">
        <f t="shared" si="75"/>
        <v>5</v>
      </c>
      <c r="J174" s="536">
        <v>23.53</v>
      </c>
      <c r="K174" s="451">
        <f t="shared" si="79"/>
        <v>117.65</v>
      </c>
      <c r="L174" s="33">
        <f t="shared" si="76"/>
        <v>0</v>
      </c>
      <c r="M174" s="33">
        <f t="shared" si="77"/>
        <v>0</v>
      </c>
      <c r="N174" s="451">
        <f t="shared" si="78"/>
        <v>117.65</v>
      </c>
      <c r="S174" s="32"/>
    </row>
    <row r="175" spans="1:19" ht="25.5" x14ac:dyDescent="0.25">
      <c r="A175" s="219" t="s">
        <v>631</v>
      </c>
      <c r="B175" s="219" t="s">
        <v>632</v>
      </c>
      <c r="C175" s="44" t="s">
        <v>252</v>
      </c>
      <c r="D175" s="40" t="s">
        <v>135</v>
      </c>
      <c r="E175" s="59" t="s">
        <v>7</v>
      </c>
      <c r="F175" s="87">
        <v>2</v>
      </c>
      <c r="G175" s="146"/>
      <c r="H175" s="146"/>
      <c r="I175" s="146">
        <f t="shared" si="75"/>
        <v>2</v>
      </c>
      <c r="J175" s="536">
        <v>37.299999999999997</v>
      </c>
      <c r="K175" s="451">
        <f t="shared" si="79"/>
        <v>74.599999999999994</v>
      </c>
      <c r="L175" s="33">
        <f t="shared" si="76"/>
        <v>0</v>
      </c>
      <c r="M175" s="33">
        <f t="shared" si="77"/>
        <v>0</v>
      </c>
      <c r="N175" s="451">
        <f t="shared" si="78"/>
        <v>74.599999999999994</v>
      </c>
      <c r="S175" s="32"/>
    </row>
    <row r="176" spans="1:19" ht="25.5" x14ac:dyDescent="0.25">
      <c r="A176" s="219" t="s">
        <v>633</v>
      </c>
      <c r="B176" s="219" t="s">
        <v>634</v>
      </c>
      <c r="C176" s="44" t="s">
        <v>253</v>
      </c>
      <c r="D176" s="40" t="s">
        <v>135</v>
      </c>
      <c r="E176" s="59" t="s">
        <v>7</v>
      </c>
      <c r="F176" s="87">
        <v>1</v>
      </c>
      <c r="G176" s="146"/>
      <c r="H176" s="146"/>
      <c r="I176" s="146">
        <f t="shared" si="75"/>
        <v>1</v>
      </c>
      <c r="J176" s="536">
        <v>51.050000000000004</v>
      </c>
      <c r="K176" s="451">
        <f t="shared" si="79"/>
        <v>51.05</v>
      </c>
      <c r="L176" s="33">
        <f t="shared" si="76"/>
        <v>0</v>
      </c>
      <c r="M176" s="33">
        <f t="shared" si="77"/>
        <v>0</v>
      </c>
      <c r="N176" s="451">
        <f t="shared" si="78"/>
        <v>51.05</v>
      </c>
      <c r="S176" s="32"/>
    </row>
    <row r="177" spans="1:19" ht="25.5" x14ac:dyDescent="0.25">
      <c r="A177" s="219" t="s">
        <v>635</v>
      </c>
      <c r="B177" s="219" t="s">
        <v>636</v>
      </c>
      <c r="C177" s="44" t="s">
        <v>254</v>
      </c>
      <c r="D177" s="40" t="s">
        <v>135</v>
      </c>
      <c r="E177" s="59" t="s">
        <v>7</v>
      </c>
      <c r="F177" s="87">
        <v>2</v>
      </c>
      <c r="G177" s="146"/>
      <c r="H177" s="146"/>
      <c r="I177" s="146">
        <f t="shared" si="75"/>
        <v>2</v>
      </c>
      <c r="J177" s="536">
        <v>48.14</v>
      </c>
      <c r="K177" s="451">
        <f t="shared" si="79"/>
        <v>96.28</v>
      </c>
      <c r="L177" s="33">
        <f t="shared" si="76"/>
        <v>0</v>
      </c>
      <c r="M177" s="33">
        <f t="shared" si="77"/>
        <v>0</v>
      </c>
      <c r="N177" s="451">
        <f t="shared" si="78"/>
        <v>96.28</v>
      </c>
      <c r="S177" s="32"/>
    </row>
    <row r="178" spans="1:19" ht="25.5" x14ac:dyDescent="0.25">
      <c r="A178" s="219" t="s">
        <v>637</v>
      </c>
      <c r="B178" s="219" t="s">
        <v>638</v>
      </c>
      <c r="C178" s="44" t="s">
        <v>255</v>
      </c>
      <c r="D178" s="40" t="s">
        <v>135</v>
      </c>
      <c r="E178" s="59" t="s">
        <v>7</v>
      </c>
      <c r="F178" s="87">
        <v>26</v>
      </c>
      <c r="G178" s="146"/>
      <c r="H178" s="146"/>
      <c r="I178" s="146">
        <f t="shared" si="75"/>
        <v>26</v>
      </c>
      <c r="J178" s="536">
        <v>24.939999999999998</v>
      </c>
      <c r="K178" s="451">
        <f t="shared" si="79"/>
        <v>648.44000000000005</v>
      </c>
      <c r="L178" s="33">
        <f t="shared" si="76"/>
        <v>0</v>
      </c>
      <c r="M178" s="33">
        <f t="shared" si="77"/>
        <v>0</v>
      </c>
      <c r="N178" s="451">
        <f t="shared" si="78"/>
        <v>648.44000000000005</v>
      </c>
      <c r="S178" s="32"/>
    </row>
    <row r="179" spans="1:19" ht="25.5" x14ac:dyDescent="0.25">
      <c r="A179" s="219" t="s">
        <v>639</v>
      </c>
      <c r="B179" s="219" t="s">
        <v>640</v>
      </c>
      <c r="C179" s="44" t="s">
        <v>256</v>
      </c>
      <c r="D179" s="40" t="s">
        <v>135</v>
      </c>
      <c r="E179" s="59" t="s">
        <v>7</v>
      </c>
      <c r="F179" s="87">
        <v>6</v>
      </c>
      <c r="G179" s="146"/>
      <c r="H179" s="146"/>
      <c r="I179" s="146">
        <f t="shared" si="75"/>
        <v>6</v>
      </c>
      <c r="J179" s="536">
        <v>37.43</v>
      </c>
      <c r="K179" s="451">
        <f t="shared" si="79"/>
        <v>224.58</v>
      </c>
      <c r="L179" s="33">
        <f t="shared" si="76"/>
        <v>0</v>
      </c>
      <c r="M179" s="33">
        <f t="shared" si="77"/>
        <v>0</v>
      </c>
      <c r="N179" s="451">
        <f t="shared" si="78"/>
        <v>224.58</v>
      </c>
      <c r="S179" s="32"/>
    </row>
    <row r="180" spans="1:19" ht="25.5" x14ac:dyDescent="0.25">
      <c r="A180" s="219" t="s">
        <v>641</v>
      </c>
      <c r="B180" s="219" t="s">
        <v>642</v>
      </c>
      <c r="C180" s="44" t="s">
        <v>257</v>
      </c>
      <c r="D180" s="44" t="s">
        <v>138</v>
      </c>
      <c r="E180" s="59" t="s">
        <v>7</v>
      </c>
      <c r="F180" s="87">
        <v>36</v>
      </c>
      <c r="G180" s="146"/>
      <c r="H180" s="146"/>
      <c r="I180" s="146">
        <f t="shared" si="75"/>
        <v>36</v>
      </c>
      <c r="J180" s="536">
        <v>157.72</v>
      </c>
      <c r="K180" s="451">
        <f t="shared" si="79"/>
        <v>5677.92</v>
      </c>
      <c r="L180" s="33">
        <f t="shared" si="76"/>
        <v>0</v>
      </c>
      <c r="M180" s="33">
        <f t="shared" si="77"/>
        <v>0</v>
      </c>
      <c r="N180" s="451">
        <f t="shared" si="78"/>
        <v>5677.92</v>
      </c>
      <c r="S180" s="32"/>
    </row>
    <row r="181" spans="1:19" ht="25.5" x14ac:dyDescent="0.25">
      <c r="A181" s="219" t="s">
        <v>643</v>
      </c>
      <c r="B181" s="219" t="s">
        <v>644</v>
      </c>
      <c r="C181" s="44" t="s">
        <v>258</v>
      </c>
      <c r="D181" s="44" t="s">
        <v>138</v>
      </c>
      <c r="E181" s="59" t="s">
        <v>7</v>
      </c>
      <c r="F181" s="87">
        <v>26</v>
      </c>
      <c r="G181" s="146"/>
      <c r="H181" s="146"/>
      <c r="I181" s="146">
        <f t="shared" si="75"/>
        <v>26</v>
      </c>
      <c r="J181" s="536">
        <v>95.72</v>
      </c>
      <c r="K181" s="451">
        <f t="shared" si="79"/>
        <v>2488.7199999999998</v>
      </c>
      <c r="L181" s="33">
        <f t="shared" si="76"/>
        <v>0</v>
      </c>
      <c r="M181" s="33">
        <f t="shared" si="77"/>
        <v>0</v>
      </c>
      <c r="N181" s="451">
        <f t="shared" si="78"/>
        <v>2488.7199999999998</v>
      </c>
      <c r="S181" s="32"/>
    </row>
    <row r="182" spans="1:19" ht="25.5" x14ac:dyDescent="0.25">
      <c r="A182" s="219" t="s">
        <v>645</v>
      </c>
      <c r="B182" s="219" t="s">
        <v>646</v>
      </c>
      <c r="C182" s="44" t="s">
        <v>259</v>
      </c>
      <c r="D182" s="40" t="s">
        <v>134</v>
      </c>
      <c r="E182" s="59" t="s">
        <v>5</v>
      </c>
      <c r="F182" s="87">
        <v>39</v>
      </c>
      <c r="G182" s="146"/>
      <c r="H182" s="146"/>
      <c r="I182" s="146">
        <f t="shared" si="75"/>
        <v>39</v>
      </c>
      <c r="J182" s="536">
        <v>127.92</v>
      </c>
      <c r="K182" s="451">
        <f t="shared" si="79"/>
        <v>4988.88</v>
      </c>
      <c r="L182" s="33">
        <f t="shared" si="76"/>
        <v>0</v>
      </c>
      <c r="M182" s="33">
        <f t="shared" si="77"/>
        <v>0</v>
      </c>
      <c r="N182" s="451">
        <f t="shared" si="78"/>
        <v>4988.88</v>
      </c>
      <c r="S182" s="32"/>
    </row>
    <row r="183" spans="1:19" ht="25.5" x14ac:dyDescent="0.25">
      <c r="A183" s="219" t="s">
        <v>647</v>
      </c>
      <c r="B183" s="219" t="s">
        <v>648</v>
      </c>
      <c r="C183" s="44" t="s">
        <v>260</v>
      </c>
      <c r="D183" s="40" t="s">
        <v>134</v>
      </c>
      <c r="E183" s="59" t="s">
        <v>5</v>
      </c>
      <c r="F183" s="87">
        <v>16</v>
      </c>
      <c r="G183" s="146"/>
      <c r="H183" s="146"/>
      <c r="I183" s="146">
        <f t="shared" si="75"/>
        <v>16</v>
      </c>
      <c r="J183" s="536">
        <v>143.57</v>
      </c>
      <c r="K183" s="451">
        <f t="shared" si="79"/>
        <v>2297.12</v>
      </c>
      <c r="L183" s="33">
        <f t="shared" si="76"/>
        <v>0</v>
      </c>
      <c r="M183" s="33">
        <f t="shared" si="77"/>
        <v>0</v>
      </c>
      <c r="N183" s="451">
        <f t="shared" si="78"/>
        <v>2297.12</v>
      </c>
      <c r="S183" s="32"/>
    </row>
    <row r="184" spans="1:19" ht="25.5" x14ac:dyDescent="0.25">
      <c r="A184" s="219" t="s">
        <v>649</v>
      </c>
      <c r="B184" s="219" t="s">
        <v>650</v>
      </c>
      <c r="C184" s="44" t="s">
        <v>261</v>
      </c>
      <c r="D184" s="42" t="s">
        <v>137</v>
      </c>
      <c r="E184" s="59" t="s">
        <v>7</v>
      </c>
      <c r="F184" s="87">
        <v>8</v>
      </c>
      <c r="G184" s="146"/>
      <c r="H184" s="146"/>
      <c r="I184" s="146">
        <f t="shared" si="75"/>
        <v>8</v>
      </c>
      <c r="J184" s="536">
        <v>56.28</v>
      </c>
      <c r="K184" s="451">
        <f t="shared" si="79"/>
        <v>450.24</v>
      </c>
      <c r="L184" s="33">
        <f t="shared" si="76"/>
        <v>0</v>
      </c>
      <c r="M184" s="33">
        <f t="shared" si="77"/>
        <v>0</v>
      </c>
      <c r="N184" s="451">
        <f t="shared" si="78"/>
        <v>450.24</v>
      </c>
      <c r="S184" s="32"/>
    </row>
    <row r="185" spans="1:19" x14ac:dyDescent="0.25">
      <c r="A185" s="219" t="s">
        <v>651</v>
      </c>
      <c r="B185" s="219" t="s">
        <v>652</v>
      </c>
      <c r="C185" s="44" t="s">
        <v>262</v>
      </c>
      <c r="D185" s="44" t="s">
        <v>136</v>
      </c>
      <c r="E185" s="59" t="s">
        <v>7</v>
      </c>
      <c r="F185" s="87">
        <v>8</v>
      </c>
      <c r="G185" s="146"/>
      <c r="H185" s="146"/>
      <c r="I185" s="146">
        <f t="shared" si="75"/>
        <v>8</v>
      </c>
      <c r="J185" s="536">
        <v>807.2</v>
      </c>
      <c r="K185" s="451">
        <f t="shared" si="79"/>
        <v>6457.6</v>
      </c>
      <c r="L185" s="33">
        <f t="shared" si="76"/>
        <v>0</v>
      </c>
      <c r="M185" s="33">
        <f t="shared" si="77"/>
        <v>0</v>
      </c>
      <c r="N185" s="451">
        <f t="shared" si="78"/>
        <v>6457.6</v>
      </c>
      <c r="S185" s="32"/>
    </row>
    <row r="186" spans="1:19" x14ac:dyDescent="0.25">
      <c r="A186" s="219" t="s">
        <v>653</v>
      </c>
      <c r="B186" s="219" t="s">
        <v>654</v>
      </c>
      <c r="C186" s="44" t="s">
        <v>139</v>
      </c>
      <c r="D186" s="44" t="s">
        <v>139</v>
      </c>
      <c r="E186" s="59" t="s">
        <v>67</v>
      </c>
      <c r="F186" s="87">
        <v>111.8</v>
      </c>
      <c r="G186" s="146"/>
      <c r="H186" s="146"/>
      <c r="I186" s="146">
        <f t="shared" si="75"/>
        <v>111.8</v>
      </c>
      <c r="J186" s="536">
        <v>104.94</v>
      </c>
      <c r="K186" s="451">
        <f t="shared" si="79"/>
        <v>11732.29</v>
      </c>
      <c r="L186" s="33">
        <f t="shared" si="76"/>
        <v>0</v>
      </c>
      <c r="M186" s="33">
        <f t="shared" si="77"/>
        <v>0</v>
      </c>
      <c r="N186" s="451">
        <f t="shared" si="78"/>
        <v>11732.29</v>
      </c>
      <c r="S186" s="32"/>
    </row>
    <row r="187" spans="1:19" ht="25.5" x14ac:dyDescent="0.25">
      <c r="A187" s="219" t="s">
        <v>655</v>
      </c>
      <c r="B187" s="219" t="s">
        <v>656</v>
      </c>
      <c r="C187" s="44" t="s">
        <v>263</v>
      </c>
      <c r="D187" s="40" t="s">
        <v>135</v>
      </c>
      <c r="E187" s="59" t="s">
        <v>7</v>
      </c>
      <c r="F187" s="87">
        <v>3</v>
      </c>
      <c r="G187" s="146"/>
      <c r="H187" s="146"/>
      <c r="I187" s="146">
        <f t="shared" si="75"/>
        <v>3</v>
      </c>
      <c r="J187" s="536">
        <v>10.66</v>
      </c>
      <c r="K187" s="451">
        <f t="shared" si="79"/>
        <v>31.98</v>
      </c>
      <c r="L187" s="33">
        <f t="shared" si="76"/>
        <v>0</v>
      </c>
      <c r="M187" s="33">
        <f t="shared" si="77"/>
        <v>0</v>
      </c>
      <c r="N187" s="451">
        <f t="shared" si="78"/>
        <v>31.98</v>
      </c>
      <c r="S187" s="32"/>
    </row>
    <row r="188" spans="1:19" ht="25.5" x14ac:dyDescent="0.25">
      <c r="A188" s="219" t="s">
        <v>657</v>
      </c>
      <c r="B188" s="219" t="s">
        <v>658</v>
      </c>
      <c r="C188" s="44" t="s">
        <v>264</v>
      </c>
      <c r="D188" s="40" t="s">
        <v>135</v>
      </c>
      <c r="E188" s="59" t="s">
        <v>7</v>
      </c>
      <c r="F188" s="87">
        <v>3</v>
      </c>
      <c r="G188" s="146"/>
      <c r="H188" s="146"/>
      <c r="I188" s="146">
        <f t="shared" si="75"/>
        <v>3</v>
      </c>
      <c r="J188" s="536">
        <v>11.14</v>
      </c>
      <c r="K188" s="451">
        <f t="shared" si="79"/>
        <v>33.42</v>
      </c>
      <c r="L188" s="33">
        <f t="shared" si="76"/>
        <v>0</v>
      </c>
      <c r="M188" s="33">
        <f t="shared" si="77"/>
        <v>0</v>
      </c>
      <c r="N188" s="451">
        <f t="shared" si="78"/>
        <v>33.42</v>
      </c>
      <c r="S188" s="32"/>
    </row>
    <row r="189" spans="1:19" ht="25.5" x14ac:dyDescent="0.25">
      <c r="A189" s="219" t="s">
        <v>659</v>
      </c>
      <c r="B189" s="219" t="s">
        <v>660</v>
      </c>
      <c r="C189" s="44" t="s">
        <v>265</v>
      </c>
      <c r="D189" s="40" t="s">
        <v>135</v>
      </c>
      <c r="E189" s="59" t="s">
        <v>7</v>
      </c>
      <c r="F189" s="87">
        <v>2</v>
      </c>
      <c r="G189" s="146"/>
      <c r="H189" s="146"/>
      <c r="I189" s="146">
        <f t="shared" si="75"/>
        <v>2</v>
      </c>
      <c r="J189" s="536">
        <v>12.09</v>
      </c>
      <c r="K189" s="451">
        <f t="shared" si="79"/>
        <v>24.18</v>
      </c>
      <c r="L189" s="33">
        <f t="shared" si="76"/>
        <v>0</v>
      </c>
      <c r="M189" s="33">
        <f t="shared" si="77"/>
        <v>0</v>
      </c>
      <c r="N189" s="451">
        <f t="shared" si="78"/>
        <v>24.18</v>
      </c>
      <c r="S189" s="32"/>
    </row>
    <row r="190" spans="1:19" ht="25.5" x14ac:dyDescent="0.25">
      <c r="A190" s="219" t="s">
        <v>661</v>
      </c>
      <c r="B190" s="219" t="s">
        <v>662</v>
      </c>
      <c r="C190" s="44" t="s">
        <v>266</v>
      </c>
      <c r="D190" s="40" t="s">
        <v>135</v>
      </c>
      <c r="E190" s="59" t="s">
        <v>7</v>
      </c>
      <c r="F190" s="87">
        <v>5</v>
      </c>
      <c r="G190" s="146"/>
      <c r="H190" s="146"/>
      <c r="I190" s="146">
        <f t="shared" si="75"/>
        <v>5</v>
      </c>
      <c r="J190" s="536">
        <v>13.209999999999999</v>
      </c>
      <c r="K190" s="451">
        <f t="shared" si="79"/>
        <v>66.05</v>
      </c>
      <c r="L190" s="33">
        <f t="shared" si="76"/>
        <v>0</v>
      </c>
      <c r="M190" s="33">
        <f t="shared" si="77"/>
        <v>0</v>
      </c>
      <c r="N190" s="451">
        <f t="shared" si="78"/>
        <v>66.05</v>
      </c>
      <c r="S190" s="32"/>
    </row>
    <row r="191" spans="1:19" ht="25.5" x14ac:dyDescent="0.25">
      <c r="A191" s="219" t="s">
        <v>663</v>
      </c>
      <c r="B191" s="219" t="s">
        <v>664</v>
      </c>
      <c r="C191" s="159" t="s">
        <v>267</v>
      </c>
      <c r="D191" s="160" t="s">
        <v>137</v>
      </c>
      <c r="E191" s="59" t="s">
        <v>7</v>
      </c>
      <c r="F191" s="87">
        <v>1</v>
      </c>
      <c r="G191" s="146"/>
      <c r="H191" s="146"/>
      <c r="I191" s="146">
        <f t="shared" si="75"/>
        <v>1</v>
      </c>
      <c r="J191" s="536">
        <v>385.5</v>
      </c>
      <c r="K191" s="451">
        <f t="shared" si="79"/>
        <v>385.5</v>
      </c>
      <c r="L191" s="33">
        <f t="shared" si="76"/>
        <v>0</v>
      </c>
      <c r="M191" s="33">
        <f t="shared" si="77"/>
        <v>0</v>
      </c>
      <c r="N191" s="451">
        <f t="shared" si="78"/>
        <v>385.5</v>
      </c>
      <c r="S191" s="32"/>
    </row>
    <row r="192" spans="1:19" ht="25.5" x14ac:dyDescent="0.25">
      <c r="A192" s="219" t="s">
        <v>665</v>
      </c>
      <c r="B192" s="219" t="s">
        <v>666</v>
      </c>
      <c r="C192" s="159" t="s">
        <v>268</v>
      </c>
      <c r="D192" s="161" t="s">
        <v>134</v>
      </c>
      <c r="E192" s="59" t="s">
        <v>5</v>
      </c>
      <c r="F192" s="87">
        <v>6</v>
      </c>
      <c r="G192" s="146"/>
      <c r="H192" s="146"/>
      <c r="I192" s="146">
        <f t="shared" si="75"/>
        <v>6</v>
      </c>
      <c r="J192" s="536">
        <v>185.29</v>
      </c>
      <c r="K192" s="451">
        <f t="shared" si="79"/>
        <v>1111.74</v>
      </c>
      <c r="L192" s="33">
        <f t="shared" si="76"/>
        <v>0</v>
      </c>
      <c r="M192" s="33">
        <f t="shared" si="77"/>
        <v>0</v>
      </c>
      <c r="N192" s="451">
        <f t="shared" si="78"/>
        <v>1111.74</v>
      </c>
      <c r="S192" s="32"/>
    </row>
    <row r="193" spans="1:19" ht="25.5" x14ac:dyDescent="0.25">
      <c r="A193" s="219" t="s">
        <v>667</v>
      </c>
      <c r="B193" s="219" t="s">
        <v>668</v>
      </c>
      <c r="C193" s="159" t="s">
        <v>269</v>
      </c>
      <c r="D193" s="161" t="s">
        <v>134</v>
      </c>
      <c r="E193" s="59" t="s">
        <v>5</v>
      </c>
      <c r="F193" s="87">
        <v>6</v>
      </c>
      <c r="G193" s="146"/>
      <c r="H193" s="146"/>
      <c r="I193" s="146">
        <f t="shared" si="75"/>
        <v>6</v>
      </c>
      <c r="J193" s="536">
        <v>175.39</v>
      </c>
      <c r="K193" s="451">
        <f t="shared" si="79"/>
        <v>1052.3399999999999</v>
      </c>
      <c r="L193" s="33">
        <f t="shared" si="76"/>
        <v>0</v>
      </c>
      <c r="M193" s="33">
        <f t="shared" si="77"/>
        <v>0</v>
      </c>
      <c r="N193" s="451">
        <f t="shared" si="78"/>
        <v>1052.3399999999999</v>
      </c>
      <c r="S193" s="32"/>
    </row>
    <row r="194" spans="1:19" ht="25.5" x14ac:dyDescent="0.25">
      <c r="A194" s="219" t="s">
        <v>669</v>
      </c>
      <c r="B194" s="169" t="s">
        <v>64</v>
      </c>
      <c r="C194" s="170" t="s">
        <v>65</v>
      </c>
      <c r="D194" s="161" t="s">
        <v>135</v>
      </c>
      <c r="E194" s="170" t="s">
        <v>67</v>
      </c>
      <c r="F194" s="87">
        <v>150</v>
      </c>
      <c r="G194" s="146"/>
      <c r="H194" s="146"/>
      <c r="I194" s="146">
        <f t="shared" si="75"/>
        <v>150</v>
      </c>
      <c r="J194" s="536">
        <v>10.02</v>
      </c>
      <c r="K194" s="451">
        <f t="shared" si="79"/>
        <v>1503</v>
      </c>
      <c r="L194" s="33">
        <f>G194*J194</f>
        <v>0</v>
      </c>
      <c r="M194" s="33">
        <f t="shared" si="77"/>
        <v>0</v>
      </c>
      <c r="N194" s="451">
        <f t="shared" si="78"/>
        <v>1503</v>
      </c>
      <c r="S194" s="32"/>
    </row>
    <row r="195" spans="1:19" ht="25.5" x14ac:dyDescent="0.25">
      <c r="A195" s="219" t="s">
        <v>670</v>
      </c>
      <c r="B195" s="169" t="s">
        <v>66</v>
      </c>
      <c r="C195" s="170">
        <v>91873</v>
      </c>
      <c r="D195" s="161" t="s">
        <v>314</v>
      </c>
      <c r="E195" s="170" t="s">
        <v>67</v>
      </c>
      <c r="F195" s="87">
        <v>27</v>
      </c>
      <c r="G195" s="146"/>
      <c r="H195" s="146"/>
      <c r="I195" s="146">
        <f t="shared" si="75"/>
        <v>27</v>
      </c>
      <c r="J195" s="536">
        <v>15.7</v>
      </c>
      <c r="K195" s="451">
        <f t="shared" si="79"/>
        <v>423.9</v>
      </c>
      <c r="L195" s="33">
        <f>G195*J195</f>
        <v>0</v>
      </c>
      <c r="M195" s="33">
        <f t="shared" si="77"/>
        <v>0</v>
      </c>
      <c r="N195" s="451">
        <f t="shared" si="78"/>
        <v>423.9</v>
      </c>
      <c r="S195" s="32"/>
    </row>
    <row r="196" spans="1:19" ht="25.5" x14ac:dyDescent="0.25">
      <c r="A196" s="219" t="s">
        <v>671</v>
      </c>
      <c r="B196" s="169" t="s">
        <v>68</v>
      </c>
      <c r="C196" s="170" t="s">
        <v>69</v>
      </c>
      <c r="D196" s="161" t="s">
        <v>315</v>
      </c>
      <c r="E196" s="170" t="s">
        <v>7</v>
      </c>
      <c r="F196" s="87">
        <v>27</v>
      </c>
      <c r="G196" s="146"/>
      <c r="H196" s="146"/>
      <c r="I196" s="146">
        <f t="shared" si="75"/>
        <v>27</v>
      </c>
      <c r="J196" s="536">
        <v>5.21</v>
      </c>
      <c r="K196" s="451">
        <f t="shared" si="79"/>
        <v>140.66999999999999</v>
      </c>
      <c r="L196" s="33">
        <f t="shared" ref="L196:L199" si="80">G196*J196</f>
        <v>0</v>
      </c>
      <c r="M196" s="33">
        <f t="shared" si="77"/>
        <v>0</v>
      </c>
      <c r="N196" s="451">
        <f t="shared" si="78"/>
        <v>140.66999999999999</v>
      </c>
      <c r="S196" s="32"/>
    </row>
    <row r="197" spans="1:19" ht="25.5" x14ac:dyDescent="0.25">
      <c r="A197" s="219" t="s">
        <v>672</v>
      </c>
      <c r="B197" s="169" t="s">
        <v>71</v>
      </c>
      <c r="C197" s="170" t="s">
        <v>70</v>
      </c>
      <c r="D197" s="161" t="s">
        <v>316</v>
      </c>
      <c r="E197" s="170" t="s">
        <v>7</v>
      </c>
      <c r="F197" s="87">
        <v>27</v>
      </c>
      <c r="G197" s="146"/>
      <c r="H197" s="146"/>
      <c r="I197" s="146">
        <f t="shared" si="75"/>
        <v>27</v>
      </c>
      <c r="J197" s="536">
        <v>9.1300000000000008</v>
      </c>
      <c r="K197" s="451">
        <f t="shared" si="79"/>
        <v>246.51</v>
      </c>
      <c r="L197" s="33">
        <f t="shared" si="80"/>
        <v>0</v>
      </c>
      <c r="M197" s="33">
        <f t="shared" si="77"/>
        <v>0</v>
      </c>
      <c r="N197" s="451">
        <f t="shared" si="78"/>
        <v>246.51</v>
      </c>
      <c r="S197" s="32"/>
    </row>
    <row r="198" spans="1:19" ht="38.25" x14ac:dyDescent="0.25">
      <c r="A198" s="219" t="s">
        <v>673</v>
      </c>
      <c r="B198" s="169" t="s">
        <v>73</v>
      </c>
      <c r="C198" s="170" t="s">
        <v>72</v>
      </c>
      <c r="D198" s="161" t="s">
        <v>317</v>
      </c>
      <c r="E198" s="170" t="s">
        <v>7</v>
      </c>
      <c r="F198" s="87">
        <v>5</v>
      </c>
      <c r="G198" s="146"/>
      <c r="H198" s="146"/>
      <c r="I198" s="146">
        <f t="shared" si="75"/>
        <v>5</v>
      </c>
      <c r="J198" s="536">
        <v>8.65</v>
      </c>
      <c r="K198" s="451">
        <f t="shared" si="79"/>
        <v>43.25</v>
      </c>
      <c r="L198" s="33">
        <f t="shared" si="80"/>
        <v>0</v>
      </c>
      <c r="M198" s="33">
        <f t="shared" si="77"/>
        <v>0</v>
      </c>
      <c r="N198" s="451">
        <f t="shared" si="78"/>
        <v>43.25</v>
      </c>
      <c r="S198" s="32"/>
    </row>
    <row r="199" spans="1:19" ht="38.25" x14ac:dyDescent="0.25">
      <c r="A199" s="219" t="s">
        <v>674</v>
      </c>
      <c r="B199" s="169" t="s">
        <v>75</v>
      </c>
      <c r="C199" s="170" t="s">
        <v>74</v>
      </c>
      <c r="D199" s="161" t="s">
        <v>318</v>
      </c>
      <c r="E199" s="170" t="s">
        <v>7</v>
      </c>
      <c r="F199" s="87">
        <v>1</v>
      </c>
      <c r="G199" s="146"/>
      <c r="H199" s="146"/>
      <c r="I199" s="146">
        <f t="shared" si="75"/>
        <v>1</v>
      </c>
      <c r="J199" s="536">
        <v>14.4</v>
      </c>
      <c r="K199" s="451">
        <f>ROUND(J199*F199,2)</f>
        <v>14.4</v>
      </c>
      <c r="L199" s="33">
        <f t="shared" si="80"/>
        <v>0</v>
      </c>
      <c r="M199" s="33">
        <f t="shared" si="77"/>
        <v>0</v>
      </c>
      <c r="N199" s="451">
        <f t="shared" si="78"/>
        <v>14.4</v>
      </c>
      <c r="S199" s="32"/>
    </row>
    <row r="200" spans="1:19" x14ac:dyDescent="0.25">
      <c r="A200" s="227"/>
      <c r="B200" s="228"/>
      <c r="C200" s="229"/>
      <c r="D200" s="230"/>
      <c r="E200" s="231"/>
      <c r="F200" s="232"/>
      <c r="G200" s="194"/>
      <c r="H200" s="194"/>
      <c r="I200" s="194"/>
      <c r="J200" s="546"/>
      <c r="K200" s="57"/>
      <c r="L200" s="139"/>
      <c r="M200" s="139"/>
      <c r="N200" s="233"/>
      <c r="S200" s="32"/>
    </row>
    <row r="201" spans="1:19" x14ac:dyDescent="0.25">
      <c r="A201" s="195">
        <v>11</v>
      </c>
      <c r="B201" s="196" t="s">
        <v>85</v>
      </c>
      <c r="C201" s="76"/>
      <c r="D201" s="68"/>
      <c r="E201" s="197"/>
      <c r="F201" s="197"/>
      <c r="G201" s="222"/>
      <c r="H201" s="222"/>
      <c r="I201" s="222"/>
      <c r="J201" s="532"/>
      <c r="K201" s="141">
        <f>SUM(K202:K231)</f>
        <v>79461.470000000016</v>
      </c>
      <c r="L201" s="141">
        <f t="shared" ref="L201:N201" si="81">SUM(L202:L231)</f>
        <v>0</v>
      </c>
      <c r="M201" s="141">
        <f t="shared" si="81"/>
        <v>0</v>
      </c>
      <c r="N201" s="141">
        <f t="shared" si="81"/>
        <v>79461.470000000016</v>
      </c>
      <c r="S201" s="32"/>
    </row>
    <row r="202" spans="1:19" ht="25.5" x14ac:dyDescent="0.25">
      <c r="A202" s="219" t="s">
        <v>675</v>
      </c>
      <c r="B202" s="219" t="s">
        <v>676</v>
      </c>
      <c r="C202" s="45" t="s">
        <v>270</v>
      </c>
      <c r="D202" s="41" t="s">
        <v>135</v>
      </c>
      <c r="E202" s="59" t="s">
        <v>7</v>
      </c>
      <c r="F202" s="87">
        <v>1</v>
      </c>
      <c r="G202" s="146"/>
      <c r="H202" s="146"/>
      <c r="I202" s="146">
        <f t="shared" ref="I202:I231" si="82">F202+G202+H202</f>
        <v>1</v>
      </c>
      <c r="J202" s="536">
        <v>6732.1399999999994</v>
      </c>
      <c r="K202" s="33">
        <f>ROUND(J202*F202,2)</f>
        <v>6732.14</v>
      </c>
      <c r="L202" s="33">
        <f t="shared" ref="L202:L231" si="83">G202*J202</f>
        <v>0</v>
      </c>
      <c r="M202" s="33">
        <f t="shared" ref="M202:M231" si="84">H202*J202</f>
        <v>0</v>
      </c>
      <c r="N202" s="451">
        <f t="shared" ref="N202:N231" si="85">K202+L202+M202</f>
        <v>6732.14</v>
      </c>
      <c r="S202" s="32"/>
    </row>
    <row r="203" spans="1:19" ht="25.5" x14ac:dyDescent="0.25">
      <c r="A203" s="219" t="s">
        <v>677</v>
      </c>
      <c r="B203" s="219" t="s">
        <v>678</v>
      </c>
      <c r="C203" s="44" t="s">
        <v>271</v>
      </c>
      <c r="D203" s="40" t="s">
        <v>134</v>
      </c>
      <c r="E203" s="59" t="s">
        <v>5</v>
      </c>
      <c r="F203" s="87">
        <v>2</v>
      </c>
      <c r="G203" s="146"/>
      <c r="H203" s="146"/>
      <c r="I203" s="146">
        <f t="shared" si="82"/>
        <v>2</v>
      </c>
      <c r="J203" s="536">
        <v>221.51</v>
      </c>
      <c r="K203" s="451">
        <f t="shared" ref="K203:K231" si="86">ROUND(J203*F203,2)</f>
        <v>443.02</v>
      </c>
      <c r="L203" s="33">
        <f t="shared" si="83"/>
        <v>0</v>
      </c>
      <c r="M203" s="33">
        <f t="shared" si="84"/>
        <v>0</v>
      </c>
      <c r="N203" s="451">
        <f t="shared" si="85"/>
        <v>443.02</v>
      </c>
      <c r="S203" s="32"/>
    </row>
    <row r="204" spans="1:19" ht="25.5" x14ac:dyDescent="0.25">
      <c r="A204" s="219" t="s">
        <v>679</v>
      </c>
      <c r="B204" s="219" t="s">
        <v>680</v>
      </c>
      <c r="C204" s="44" t="s">
        <v>272</v>
      </c>
      <c r="D204" s="40" t="s">
        <v>135</v>
      </c>
      <c r="E204" s="59" t="s">
        <v>7</v>
      </c>
      <c r="F204" s="87">
        <v>6</v>
      </c>
      <c r="G204" s="146"/>
      <c r="H204" s="146"/>
      <c r="I204" s="146">
        <f t="shared" si="82"/>
        <v>6</v>
      </c>
      <c r="J204" s="536">
        <v>430.46</v>
      </c>
      <c r="K204" s="451">
        <f t="shared" si="86"/>
        <v>2582.7600000000002</v>
      </c>
      <c r="L204" s="33">
        <f t="shared" si="83"/>
        <v>0</v>
      </c>
      <c r="M204" s="33">
        <f t="shared" si="84"/>
        <v>0</v>
      </c>
      <c r="N204" s="451">
        <f t="shared" si="85"/>
        <v>2582.7600000000002</v>
      </c>
      <c r="S204" s="32"/>
    </row>
    <row r="205" spans="1:19" ht="25.5" x14ac:dyDescent="0.25">
      <c r="A205" s="219" t="s">
        <v>681</v>
      </c>
      <c r="B205" s="219" t="s">
        <v>682</v>
      </c>
      <c r="C205" s="44" t="s">
        <v>273</v>
      </c>
      <c r="D205" s="40" t="s">
        <v>135</v>
      </c>
      <c r="E205" s="59" t="s">
        <v>7</v>
      </c>
      <c r="F205" s="87">
        <v>5</v>
      </c>
      <c r="G205" s="146"/>
      <c r="H205" s="146"/>
      <c r="I205" s="146">
        <f t="shared" si="82"/>
        <v>5</v>
      </c>
      <c r="J205" s="536">
        <v>278.60000000000002</v>
      </c>
      <c r="K205" s="451">
        <f t="shared" si="86"/>
        <v>1393</v>
      </c>
      <c r="L205" s="33">
        <f t="shared" si="83"/>
        <v>0</v>
      </c>
      <c r="M205" s="33">
        <f t="shared" si="84"/>
        <v>0</v>
      </c>
      <c r="N205" s="451">
        <f t="shared" si="85"/>
        <v>1393</v>
      </c>
      <c r="S205" s="32"/>
    </row>
    <row r="206" spans="1:19" ht="38.25" x14ac:dyDescent="0.25">
      <c r="A206" s="219" t="s">
        <v>683</v>
      </c>
      <c r="B206" s="219" t="s">
        <v>684</v>
      </c>
      <c r="C206" s="44">
        <v>37558</v>
      </c>
      <c r="D206" s="40" t="s">
        <v>135</v>
      </c>
      <c r="E206" s="59" t="s">
        <v>7</v>
      </c>
      <c r="F206" s="87">
        <v>17</v>
      </c>
      <c r="G206" s="146"/>
      <c r="H206" s="146"/>
      <c r="I206" s="146">
        <f t="shared" si="82"/>
        <v>17</v>
      </c>
      <c r="J206" s="536">
        <v>34.72</v>
      </c>
      <c r="K206" s="451">
        <f t="shared" si="86"/>
        <v>590.24</v>
      </c>
      <c r="L206" s="33">
        <f t="shared" si="83"/>
        <v>0</v>
      </c>
      <c r="M206" s="33">
        <f t="shared" si="84"/>
        <v>0</v>
      </c>
      <c r="N206" s="451">
        <f t="shared" si="85"/>
        <v>590.24</v>
      </c>
      <c r="S206" s="32"/>
    </row>
    <row r="207" spans="1:19" ht="38.25" x14ac:dyDescent="0.25">
      <c r="A207" s="219" t="s">
        <v>685</v>
      </c>
      <c r="B207" s="219" t="s">
        <v>686</v>
      </c>
      <c r="C207" s="44">
        <v>37556</v>
      </c>
      <c r="D207" s="40" t="s">
        <v>135</v>
      </c>
      <c r="E207" s="59" t="s">
        <v>7</v>
      </c>
      <c r="F207" s="87">
        <v>17</v>
      </c>
      <c r="G207" s="146"/>
      <c r="H207" s="146"/>
      <c r="I207" s="146">
        <f t="shared" si="82"/>
        <v>17</v>
      </c>
      <c r="J207" s="536">
        <v>21.55</v>
      </c>
      <c r="K207" s="451">
        <f t="shared" si="86"/>
        <v>366.35</v>
      </c>
      <c r="L207" s="33">
        <f t="shared" si="83"/>
        <v>0</v>
      </c>
      <c r="M207" s="33">
        <f t="shared" si="84"/>
        <v>0</v>
      </c>
      <c r="N207" s="451">
        <f t="shared" si="85"/>
        <v>366.35</v>
      </c>
      <c r="S207" s="32"/>
    </row>
    <row r="208" spans="1:19" ht="25.5" x14ac:dyDescent="0.25">
      <c r="A208" s="219" t="s">
        <v>687</v>
      </c>
      <c r="B208" s="219" t="s">
        <v>688</v>
      </c>
      <c r="C208" s="56">
        <v>11867</v>
      </c>
      <c r="D208" s="40" t="s">
        <v>134</v>
      </c>
      <c r="E208" s="59" t="s">
        <v>5</v>
      </c>
      <c r="F208" s="87">
        <v>8</v>
      </c>
      <c r="G208" s="146"/>
      <c r="H208" s="146"/>
      <c r="I208" s="146">
        <f t="shared" si="82"/>
        <v>8</v>
      </c>
      <c r="J208" s="536">
        <v>180.42</v>
      </c>
      <c r="K208" s="451">
        <f t="shared" si="86"/>
        <v>1443.36</v>
      </c>
      <c r="L208" s="33">
        <f t="shared" si="83"/>
        <v>0</v>
      </c>
      <c r="M208" s="33">
        <f t="shared" si="84"/>
        <v>0</v>
      </c>
      <c r="N208" s="451">
        <f t="shared" si="85"/>
        <v>1443.36</v>
      </c>
      <c r="S208" s="32"/>
    </row>
    <row r="209" spans="1:19" ht="25.5" x14ac:dyDescent="0.25">
      <c r="A209" s="219" t="s">
        <v>689</v>
      </c>
      <c r="B209" s="219" t="s">
        <v>690</v>
      </c>
      <c r="C209" s="56" t="s">
        <v>274</v>
      </c>
      <c r="D209" s="40" t="s">
        <v>135</v>
      </c>
      <c r="E209" s="59" t="s">
        <v>7</v>
      </c>
      <c r="F209" s="87">
        <v>2</v>
      </c>
      <c r="G209" s="146"/>
      <c r="H209" s="146"/>
      <c r="I209" s="146">
        <f t="shared" si="82"/>
        <v>2</v>
      </c>
      <c r="J209" s="536">
        <v>31.709999999999997</v>
      </c>
      <c r="K209" s="451">
        <f t="shared" si="86"/>
        <v>63.42</v>
      </c>
      <c r="L209" s="33">
        <f t="shared" si="83"/>
        <v>0</v>
      </c>
      <c r="M209" s="33">
        <f t="shared" si="84"/>
        <v>0</v>
      </c>
      <c r="N209" s="451">
        <f t="shared" si="85"/>
        <v>63.42</v>
      </c>
      <c r="S209" s="32"/>
    </row>
    <row r="210" spans="1:19" ht="25.5" x14ac:dyDescent="0.25">
      <c r="A210" s="219" t="s">
        <v>691</v>
      </c>
      <c r="B210" s="219" t="s">
        <v>692</v>
      </c>
      <c r="C210" s="56" t="s">
        <v>275</v>
      </c>
      <c r="D210" s="40" t="s">
        <v>135</v>
      </c>
      <c r="E210" s="59" t="s">
        <v>7</v>
      </c>
      <c r="F210" s="87">
        <v>4</v>
      </c>
      <c r="G210" s="146"/>
      <c r="H210" s="146"/>
      <c r="I210" s="146">
        <f t="shared" si="82"/>
        <v>4</v>
      </c>
      <c r="J210" s="536">
        <v>719.26</v>
      </c>
      <c r="K210" s="451">
        <f t="shared" si="86"/>
        <v>2877.04</v>
      </c>
      <c r="L210" s="33">
        <f t="shared" si="83"/>
        <v>0</v>
      </c>
      <c r="M210" s="33">
        <f t="shared" si="84"/>
        <v>0</v>
      </c>
      <c r="N210" s="451">
        <f t="shared" si="85"/>
        <v>2877.04</v>
      </c>
      <c r="S210" s="32"/>
    </row>
    <row r="211" spans="1:19" ht="38.25" x14ac:dyDescent="0.25">
      <c r="A211" s="219" t="s">
        <v>693</v>
      </c>
      <c r="B211" s="219" t="s">
        <v>694</v>
      </c>
      <c r="C211" s="56">
        <v>37527</v>
      </c>
      <c r="D211" s="40" t="s">
        <v>135</v>
      </c>
      <c r="E211" s="59" t="s">
        <v>7</v>
      </c>
      <c r="F211" s="87">
        <v>8</v>
      </c>
      <c r="G211" s="146"/>
      <c r="H211" s="146"/>
      <c r="I211" s="146">
        <f t="shared" si="82"/>
        <v>8</v>
      </c>
      <c r="J211" s="536">
        <v>551.36</v>
      </c>
      <c r="K211" s="451">
        <f t="shared" si="86"/>
        <v>4410.88</v>
      </c>
      <c r="L211" s="33">
        <f t="shared" si="83"/>
        <v>0</v>
      </c>
      <c r="M211" s="33">
        <f t="shared" si="84"/>
        <v>0</v>
      </c>
      <c r="N211" s="451">
        <f t="shared" si="85"/>
        <v>4410.88</v>
      </c>
      <c r="S211" s="32"/>
    </row>
    <row r="212" spans="1:19" ht="25.5" x14ac:dyDescent="0.25">
      <c r="A212" s="219" t="s">
        <v>695</v>
      </c>
      <c r="B212" s="219" t="s">
        <v>696</v>
      </c>
      <c r="C212" s="56">
        <v>37554</v>
      </c>
      <c r="D212" s="40" t="s">
        <v>135</v>
      </c>
      <c r="E212" s="59" t="s">
        <v>7</v>
      </c>
      <c r="F212" s="87">
        <v>4</v>
      </c>
      <c r="G212" s="146"/>
      <c r="H212" s="146"/>
      <c r="I212" s="146">
        <f t="shared" si="82"/>
        <v>4</v>
      </c>
      <c r="J212" s="536">
        <v>291.63</v>
      </c>
      <c r="K212" s="451">
        <f t="shared" si="86"/>
        <v>1166.52</v>
      </c>
      <c r="L212" s="33">
        <f t="shared" si="83"/>
        <v>0</v>
      </c>
      <c r="M212" s="33">
        <f t="shared" si="84"/>
        <v>0</v>
      </c>
      <c r="N212" s="451">
        <f t="shared" si="85"/>
        <v>1166.52</v>
      </c>
      <c r="S212" s="32"/>
    </row>
    <row r="213" spans="1:19" ht="25.5" x14ac:dyDescent="0.25">
      <c r="A213" s="219" t="s">
        <v>697</v>
      </c>
      <c r="B213" s="219" t="s">
        <v>698</v>
      </c>
      <c r="C213" s="56">
        <v>20971</v>
      </c>
      <c r="D213" s="40" t="s">
        <v>135</v>
      </c>
      <c r="E213" s="59" t="s">
        <v>7</v>
      </c>
      <c r="F213" s="87">
        <v>4</v>
      </c>
      <c r="G213" s="146"/>
      <c r="H213" s="146"/>
      <c r="I213" s="146">
        <f t="shared" si="82"/>
        <v>4</v>
      </c>
      <c r="J213" s="536">
        <v>23.64</v>
      </c>
      <c r="K213" s="451">
        <f t="shared" si="86"/>
        <v>94.56</v>
      </c>
      <c r="L213" s="33">
        <f t="shared" si="83"/>
        <v>0</v>
      </c>
      <c r="M213" s="33">
        <f t="shared" si="84"/>
        <v>0</v>
      </c>
      <c r="N213" s="451">
        <f t="shared" si="85"/>
        <v>94.56</v>
      </c>
      <c r="S213" s="32"/>
    </row>
    <row r="214" spans="1:19" ht="38.25" x14ac:dyDescent="0.25">
      <c r="A214" s="219" t="s">
        <v>699</v>
      </c>
      <c r="B214" s="219" t="s">
        <v>700</v>
      </c>
      <c r="C214" s="56">
        <v>10904</v>
      </c>
      <c r="D214" s="40" t="s">
        <v>135</v>
      </c>
      <c r="E214" s="59" t="s">
        <v>7</v>
      </c>
      <c r="F214" s="87">
        <v>5</v>
      </c>
      <c r="G214" s="146"/>
      <c r="H214" s="146"/>
      <c r="I214" s="146">
        <f t="shared" si="82"/>
        <v>5</v>
      </c>
      <c r="J214" s="536">
        <v>248.32999999999998</v>
      </c>
      <c r="K214" s="451">
        <f t="shared" si="86"/>
        <v>1241.6500000000001</v>
      </c>
      <c r="L214" s="33">
        <f t="shared" si="83"/>
        <v>0</v>
      </c>
      <c r="M214" s="33">
        <f t="shared" si="84"/>
        <v>0</v>
      </c>
      <c r="N214" s="451">
        <f t="shared" si="85"/>
        <v>1241.6500000000001</v>
      </c>
      <c r="S214" s="32"/>
    </row>
    <row r="215" spans="1:19" ht="25.5" x14ac:dyDescent="0.25">
      <c r="A215" s="219" t="s">
        <v>701</v>
      </c>
      <c r="B215" s="219" t="s">
        <v>702</v>
      </c>
      <c r="C215" s="56" t="s">
        <v>276</v>
      </c>
      <c r="D215" s="40" t="s">
        <v>134</v>
      </c>
      <c r="E215" s="59" t="s">
        <v>5</v>
      </c>
      <c r="F215" s="87">
        <v>1</v>
      </c>
      <c r="G215" s="146"/>
      <c r="H215" s="146"/>
      <c r="I215" s="146">
        <f t="shared" si="82"/>
        <v>1</v>
      </c>
      <c r="J215" s="536">
        <v>235.19</v>
      </c>
      <c r="K215" s="451">
        <f t="shared" si="86"/>
        <v>235.19</v>
      </c>
      <c r="L215" s="33">
        <f t="shared" si="83"/>
        <v>0</v>
      </c>
      <c r="M215" s="33">
        <f t="shared" si="84"/>
        <v>0</v>
      </c>
      <c r="N215" s="451">
        <f t="shared" si="85"/>
        <v>235.19</v>
      </c>
      <c r="S215" s="32"/>
    </row>
    <row r="216" spans="1:19" ht="25.5" x14ac:dyDescent="0.25">
      <c r="A216" s="219" t="s">
        <v>703</v>
      </c>
      <c r="B216" s="219" t="s">
        <v>704</v>
      </c>
      <c r="C216" s="56">
        <v>10900</v>
      </c>
      <c r="D216" s="40" t="s">
        <v>135</v>
      </c>
      <c r="E216" s="59" t="s">
        <v>7</v>
      </c>
      <c r="F216" s="87">
        <v>4</v>
      </c>
      <c r="G216" s="146"/>
      <c r="H216" s="146"/>
      <c r="I216" s="146">
        <f t="shared" si="82"/>
        <v>4</v>
      </c>
      <c r="J216" s="536">
        <v>85.15</v>
      </c>
      <c r="K216" s="451">
        <f t="shared" si="86"/>
        <v>340.6</v>
      </c>
      <c r="L216" s="33">
        <f t="shared" si="83"/>
        <v>0</v>
      </c>
      <c r="M216" s="33">
        <f t="shared" si="84"/>
        <v>0</v>
      </c>
      <c r="N216" s="451">
        <f t="shared" si="85"/>
        <v>340.6</v>
      </c>
      <c r="S216" s="32"/>
    </row>
    <row r="217" spans="1:19" ht="25.5" x14ac:dyDescent="0.25">
      <c r="A217" s="219" t="s">
        <v>705</v>
      </c>
      <c r="B217" s="219" t="s">
        <v>706</v>
      </c>
      <c r="C217" s="56">
        <v>10905</v>
      </c>
      <c r="D217" s="40" t="s">
        <v>135</v>
      </c>
      <c r="E217" s="59" t="s">
        <v>7</v>
      </c>
      <c r="F217" s="87">
        <v>4</v>
      </c>
      <c r="G217" s="146"/>
      <c r="H217" s="146"/>
      <c r="I217" s="146">
        <f t="shared" si="82"/>
        <v>4</v>
      </c>
      <c r="J217" s="536">
        <v>130.08000000000001</v>
      </c>
      <c r="K217" s="451">
        <f t="shared" si="86"/>
        <v>520.32000000000005</v>
      </c>
      <c r="L217" s="33">
        <f t="shared" si="83"/>
        <v>0</v>
      </c>
      <c r="M217" s="33">
        <f t="shared" si="84"/>
        <v>0</v>
      </c>
      <c r="N217" s="451">
        <f t="shared" si="85"/>
        <v>520.32000000000005</v>
      </c>
      <c r="S217" s="32"/>
    </row>
    <row r="218" spans="1:19" ht="25.5" x14ac:dyDescent="0.25">
      <c r="A218" s="219" t="s">
        <v>707</v>
      </c>
      <c r="B218" s="219" t="s">
        <v>708</v>
      </c>
      <c r="C218" s="56" t="s">
        <v>277</v>
      </c>
      <c r="D218" s="40" t="s">
        <v>134</v>
      </c>
      <c r="E218" s="59" t="s">
        <v>5</v>
      </c>
      <c r="F218" s="87">
        <v>2</v>
      </c>
      <c r="G218" s="146"/>
      <c r="H218" s="146"/>
      <c r="I218" s="146">
        <f t="shared" si="82"/>
        <v>2</v>
      </c>
      <c r="J218" s="536">
        <v>6966.52</v>
      </c>
      <c r="K218" s="451">
        <f t="shared" si="86"/>
        <v>13933.04</v>
      </c>
      <c r="L218" s="33">
        <f t="shared" si="83"/>
        <v>0</v>
      </c>
      <c r="M218" s="33">
        <f t="shared" si="84"/>
        <v>0</v>
      </c>
      <c r="N218" s="451">
        <f t="shared" si="85"/>
        <v>13933.04</v>
      </c>
      <c r="S218" s="32"/>
    </row>
    <row r="219" spans="1:19" ht="25.5" x14ac:dyDescent="0.25">
      <c r="A219" s="219" t="s">
        <v>709</v>
      </c>
      <c r="B219" s="219" t="s">
        <v>710</v>
      </c>
      <c r="C219" s="56" t="s">
        <v>278</v>
      </c>
      <c r="D219" s="40" t="s">
        <v>134</v>
      </c>
      <c r="E219" s="59" t="s">
        <v>5</v>
      </c>
      <c r="F219" s="87">
        <v>1</v>
      </c>
      <c r="G219" s="146"/>
      <c r="H219" s="146"/>
      <c r="I219" s="146">
        <f t="shared" si="82"/>
        <v>1</v>
      </c>
      <c r="J219" s="536">
        <v>2393</v>
      </c>
      <c r="K219" s="451">
        <f t="shared" si="86"/>
        <v>2393</v>
      </c>
      <c r="L219" s="33">
        <f t="shared" si="83"/>
        <v>0</v>
      </c>
      <c r="M219" s="33">
        <f t="shared" si="84"/>
        <v>0</v>
      </c>
      <c r="N219" s="451">
        <f t="shared" si="85"/>
        <v>2393</v>
      </c>
      <c r="S219" s="32"/>
    </row>
    <row r="220" spans="1:19" ht="25.5" x14ac:dyDescent="0.25">
      <c r="A220" s="219" t="s">
        <v>711</v>
      </c>
      <c r="B220" s="219" t="s">
        <v>712</v>
      </c>
      <c r="C220" s="56" t="s">
        <v>279</v>
      </c>
      <c r="D220" s="40" t="s">
        <v>135</v>
      </c>
      <c r="E220" s="59" t="s">
        <v>7</v>
      </c>
      <c r="F220" s="87">
        <v>1</v>
      </c>
      <c r="G220" s="146"/>
      <c r="H220" s="146"/>
      <c r="I220" s="146">
        <f t="shared" si="82"/>
        <v>1</v>
      </c>
      <c r="J220" s="536">
        <v>141.22</v>
      </c>
      <c r="K220" s="451">
        <f t="shared" si="86"/>
        <v>141.22</v>
      </c>
      <c r="L220" s="33">
        <f t="shared" si="83"/>
        <v>0</v>
      </c>
      <c r="M220" s="33">
        <f t="shared" si="84"/>
        <v>0</v>
      </c>
      <c r="N220" s="451">
        <f t="shared" si="85"/>
        <v>141.22</v>
      </c>
      <c r="S220" s="32"/>
    </row>
    <row r="221" spans="1:19" x14ac:dyDescent="0.25">
      <c r="A221" s="219" t="s">
        <v>713</v>
      </c>
      <c r="B221" s="219" t="s">
        <v>714</v>
      </c>
      <c r="C221" s="40" t="s">
        <v>139</v>
      </c>
      <c r="D221" s="40" t="s">
        <v>139</v>
      </c>
      <c r="E221" s="59" t="s">
        <v>7</v>
      </c>
      <c r="F221" s="87">
        <v>1</v>
      </c>
      <c r="G221" s="146"/>
      <c r="H221" s="146"/>
      <c r="I221" s="146">
        <f t="shared" si="82"/>
        <v>1</v>
      </c>
      <c r="J221" s="536">
        <v>241.39000000000001</v>
      </c>
      <c r="K221" s="451">
        <f t="shared" si="86"/>
        <v>241.39</v>
      </c>
      <c r="L221" s="33">
        <f t="shared" si="83"/>
        <v>0</v>
      </c>
      <c r="M221" s="33">
        <f t="shared" si="84"/>
        <v>0</v>
      </c>
      <c r="N221" s="451">
        <f t="shared" si="85"/>
        <v>241.39</v>
      </c>
      <c r="S221" s="32"/>
    </row>
    <row r="222" spans="1:19" ht="25.5" x14ac:dyDescent="0.25">
      <c r="A222" s="219" t="s">
        <v>715</v>
      </c>
      <c r="B222" s="219" t="s">
        <v>716</v>
      </c>
      <c r="C222" s="56" t="s">
        <v>280</v>
      </c>
      <c r="D222" s="40" t="s">
        <v>134</v>
      </c>
      <c r="E222" s="59" t="s">
        <v>5</v>
      </c>
      <c r="F222" s="87">
        <v>1</v>
      </c>
      <c r="G222" s="146"/>
      <c r="H222" s="146"/>
      <c r="I222" s="146">
        <f t="shared" si="82"/>
        <v>1</v>
      </c>
      <c r="J222" s="536">
        <v>209.97</v>
      </c>
      <c r="K222" s="451">
        <f t="shared" si="86"/>
        <v>209.97</v>
      </c>
      <c r="L222" s="33">
        <f t="shared" si="83"/>
        <v>0</v>
      </c>
      <c r="M222" s="33">
        <f t="shared" si="84"/>
        <v>0</v>
      </c>
      <c r="N222" s="451">
        <f t="shared" si="85"/>
        <v>209.97</v>
      </c>
      <c r="S222" s="32"/>
    </row>
    <row r="223" spans="1:19" ht="25.5" x14ac:dyDescent="0.25">
      <c r="A223" s="219" t="s">
        <v>717</v>
      </c>
      <c r="B223" s="219" t="s">
        <v>718</v>
      </c>
      <c r="C223" s="56" t="s">
        <v>281</v>
      </c>
      <c r="D223" s="40" t="s">
        <v>135</v>
      </c>
      <c r="E223" s="59" t="s">
        <v>7</v>
      </c>
      <c r="F223" s="87">
        <v>5</v>
      </c>
      <c r="G223" s="146"/>
      <c r="H223" s="146"/>
      <c r="I223" s="146">
        <f t="shared" si="82"/>
        <v>5</v>
      </c>
      <c r="J223" s="536">
        <v>352.85</v>
      </c>
      <c r="K223" s="451">
        <f t="shared" si="86"/>
        <v>1764.25</v>
      </c>
      <c r="L223" s="33">
        <f t="shared" si="83"/>
        <v>0</v>
      </c>
      <c r="M223" s="33">
        <f t="shared" si="84"/>
        <v>0</v>
      </c>
      <c r="N223" s="451">
        <f t="shared" si="85"/>
        <v>1764.25</v>
      </c>
      <c r="S223" s="32"/>
    </row>
    <row r="224" spans="1:19" ht="25.5" x14ac:dyDescent="0.25">
      <c r="A224" s="219" t="s">
        <v>719</v>
      </c>
      <c r="B224" s="219" t="s">
        <v>720</v>
      </c>
      <c r="C224" s="56">
        <v>12657</v>
      </c>
      <c r="D224" s="40" t="s">
        <v>135</v>
      </c>
      <c r="E224" s="59" t="s">
        <v>7</v>
      </c>
      <c r="F224" s="87">
        <v>1</v>
      </c>
      <c r="G224" s="146"/>
      <c r="H224" s="146"/>
      <c r="I224" s="146">
        <f t="shared" si="82"/>
        <v>1</v>
      </c>
      <c r="J224" s="536">
        <v>329.38</v>
      </c>
      <c r="K224" s="451">
        <f t="shared" si="86"/>
        <v>329.38</v>
      </c>
      <c r="L224" s="33">
        <f t="shared" si="83"/>
        <v>0</v>
      </c>
      <c r="M224" s="33">
        <f t="shared" si="84"/>
        <v>0</v>
      </c>
      <c r="N224" s="451">
        <f t="shared" si="85"/>
        <v>329.38</v>
      </c>
      <c r="S224" s="32"/>
    </row>
    <row r="225" spans="1:19" ht="25.5" x14ac:dyDescent="0.25">
      <c r="A225" s="219" t="s">
        <v>721</v>
      </c>
      <c r="B225" s="219" t="s">
        <v>722</v>
      </c>
      <c r="C225" s="56">
        <v>10405</v>
      </c>
      <c r="D225" s="40" t="s">
        <v>135</v>
      </c>
      <c r="E225" s="59" t="s">
        <v>7</v>
      </c>
      <c r="F225" s="87">
        <v>1</v>
      </c>
      <c r="G225" s="146"/>
      <c r="H225" s="146"/>
      <c r="I225" s="146">
        <f t="shared" si="82"/>
        <v>1</v>
      </c>
      <c r="J225" s="536">
        <v>530.9</v>
      </c>
      <c r="K225" s="451">
        <f t="shared" si="86"/>
        <v>530.9</v>
      </c>
      <c r="L225" s="33">
        <f t="shared" si="83"/>
        <v>0</v>
      </c>
      <c r="M225" s="33">
        <f t="shared" si="84"/>
        <v>0</v>
      </c>
      <c r="N225" s="451">
        <f t="shared" si="85"/>
        <v>530.9</v>
      </c>
      <c r="S225" s="32"/>
    </row>
    <row r="226" spans="1:19" ht="25.5" x14ac:dyDescent="0.25">
      <c r="A226" s="219" t="s">
        <v>723</v>
      </c>
      <c r="B226" s="219" t="s">
        <v>724</v>
      </c>
      <c r="C226" s="56">
        <v>10405</v>
      </c>
      <c r="D226" s="40" t="s">
        <v>134</v>
      </c>
      <c r="E226" s="59" t="s">
        <v>5</v>
      </c>
      <c r="F226" s="87">
        <v>6</v>
      </c>
      <c r="G226" s="146"/>
      <c r="H226" s="146"/>
      <c r="I226" s="146">
        <f t="shared" si="82"/>
        <v>6</v>
      </c>
      <c r="J226" s="536">
        <v>326.5</v>
      </c>
      <c r="K226" s="451">
        <f t="shared" si="86"/>
        <v>1959</v>
      </c>
      <c r="L226" s="33">
        <f t="shared" si="83"/>
        <v>0</v>
      </c>
      <c r="M226" s="33">
        <f t="shared" si="84"/>
        <v>0</v>
      </c>
      <c r="N226" s="451">
        <f t="shared" si="85"/>
        <v>1959</v>
      </c>
      <c r="S226" s="32"/>
    </row>
    <row r="227" spans="1:19" ht="25.5" x14ac:dyDescent="0.25">
      <c r="A227" s="219" t="s">
        <v>725</v>
      </c>
      <c r="B227" s="219" t="s">
        <v>726</v>
      </c>
      <c r="C227" s="56">
        <v>3453</v>
      </c>
      <c r="D227" s="40" t="s">
        <v>135</v>
      </c>
      <c r="E227" s="59" t="s">
        <v>7</v>
      </c>
      <c r="F227" s="87">
        <v>22</v>
      </c>
      <c r="G227" s="146"/>
      <c r="H227" s="146"/>
      <c r="I227" s="146">
        <f t="shared" si="82"/>
        <v>22</v>
      </c>
      <c r="J227" s="536">
        <v>142.11000000000001</v>
      </c>
      <c r="K227" s="451">
        <f t="shared" si="86"/>
        <v>3126.42</v>
      </c>
      <c r="L227" s="33">
        <f t="shared" si="83"/>
        <v>0</v>
      </c>
      <c r="M227" s="33">
        <f t="shared" si="84"/>
        <v>0</v>
      </c>
      <c r="N227" s="451">
        <f t="shared" si="85"/>
        <v>3126.42</v>
      </c>
      <c r="S227" s="32"/>
    </row>
    <row r="228" spans="1:19" ht="25.5" x14ac:dyDescent="0.25">
      <c r="A228" s="219" t="s">
        <v>727</v>
      </c>
      <c r="B228" s="219" t="s">
        <v>728</v>
      </c>
      <c r="C228" s="56" t="s">
        <v>282</v>
      </c>
      <c r="D228" s="40" t="s">
        <v>135</v>
      </c>
      <c r="E228" s="59" t="s">
        <v>7</v>
      </c>
      <c r="F228" s="87">
        <v>16</v>
      </c>
      <c r="G228" s="146"/>
      <c r="H228" s="146"/>
      <c r="I228" s="146">
        <f t="shared" si="82"/>
        <v>16</v>
      </c>
      <c r="J228" s="536">
        <v>91.509999999999991</v>
      </c>
      <c r="K228" s="451">
        <f t="shared" si="86"/>
        <v>1464.16</v>
      </c>
      <c r="L228" s="33">
        <f t="shared" si="83"/>
        <v>0</v>
      </c>
      <c r="M228" s="33">
        <f t="shared" si="84"/>
        <v>0</v>
      </c>
      <c r="N228" s="451">
        <f t="shared" si="85"/>
        <v>1464.16</v>
      </c>
      <c r="S228" s="32"/>
    </row>
    <row r="229" spans="1:19" ht="25.5" x14ac:dyDescent="0.25">
      <c r="A229" s="219" t="s">
        <v>729</v>
      </c>
      <c r="B229" s="219" t="s">
        <v>730</v>
      </c>
      <c r="C229" s="56" t="s">
        <v>283</v>
      </c>
      <c r="D229" s="40" t="s">
        <v>135</v>
      </c>
      <c r="E229" s="59" t="s">
        <v>7</v>
      </c>
      <c r="F229" s="87">
        <v>12</v>
      </c>
      <c r="G229" s="146"/>
      <c r="H229" s="146"/>
      <c r="I229" s="146">
        <f t="shared" si="82"/>
        <v>12</v>
      </c>
      <c r="J229" s="536">
        <v>204.72</v>
      </c>
      <c r="K229" s="451">
        <f t="shared" si="86"/>
        <v>2456.64</v>
      </c>
      <c r="L229" s="33">
        <f t="shared" si="83"/>
        <v>0</v>
      </c>
      <c r="M229" s="33">
        <f t="shared" si="84"/>
        <v>0</v>
      </c>
      <c r="N229" s="451">
        <f t="shared" si="85"/>
        <v>2456.64</v>
      </c>
      <c r="S229" s="32"/>
    </row>
    <row r="230" spans="1:19" ht="38.25" x14ac:dyDescent="0.25">
      <c r="A230" s="219" t="s">
        <v>731</v>
      </c>
      <c r="B230" s="219" t="s">
        <v>732</v>
      </c>
      <c r="C230" s="56" t="s">
        <v>284</v>
      </c>
      <c r="D230" s="40" t="s">
        <v>135</v>
      </c>
      <c r="E230" s="59" t="s">
        <v>67</v>
      </c>
      <c r="F230" s="87">
        <v>150</v>
      </c>
      <c r="G230" s="146"/>
      <c r="H230" s="146"/>
      <c r="I230" s="146">
        <f t="shared" si="82"/>
        <v>150</v>
      </c>
      <c r="J230" s="536">
        <v>172.32</v>
      </c>
      <c r="K230" s="451">
        <f t="shared" si="86"/>
        <v>25848</v>
      </c>
      <c r="L230" s="33">
        <f t="shared" si="83"/>
        <v>0</v>
      </c>
      <c r="M230" s="33">
        <f t="shared" si="84"/>
        <v>0</v>
      </c>
      <c r="N230" s="451">
        <f t="shared" si="85"/>
        <v>25848</v>
      </c>
      <c r="S230" s="32"/>
    </row>
    <row r="231" spans="1:19" ht="25.5" x14ac:dyDescent="0.25">
      <c r="A231" s="219" t="s">
        <v>733</v>
      </c>
      <c r="B231" s="219" t="s">
        <v>734</v>
      </c>
      <c r="C231" s="44" t="s">
        <v>285</v>
      </c>
      <c r="D231" s="40" t="s">
        <v>134</v>
      </c>
      <c r="E231" s="59" t="s">
        <v>5</v>
      </c>
      <c r="F231" s="87">
        <v>1</v>
      </c>
      <c r="G231" s="146"/>
      <c r="H231" s="146"/>
      <c r="I231" s="146">
        <f t="shared" si="82"/>
        <v>1</v>
      </c>
      <c r="J231" s="536">
        <v>563.04999999999995</v>
      </c>
      <c r="K231" s="451">
        <f t="shared" si="86"/>
        <v>563.04999999999995</v>
      </c>
      <c r="L231" s="33">
        <f t="shared" si="83"/>
        <v>0</v>
      </c>
      <c r="M231" s="33">
        <f t="shared" si="84"/>
        <v>0</v>
      </c>
      <c r="N231" s="451">
        <f t="shared" si="85"/>
        <v>563.04999999999995</v>
      </c>
      <c r="S231" s="32"/>
    </row>
    <row r="232" spans="1:19" x14ac:dyDescent="0.25">
      <c r="A232" s="219"/>
      <c r="B232" s="225"/>
      <c r="C232" s="155"/>
      <c r="D232" s="138"/>
      <c r="E232" s="226"/>
      <c r="F232" s="213"/>
      <c r="G232" s="162"/>
      <c r="H232" s="162"/>
      <c r="I232" s="162"/>
      <c r="J232" s="537"/>
      <c r="K232" s="33"/>
      <c r="L232" s="143"/>
      <c r="M232" s="143"/>
      <c r="N232" s="144"/>
      <c r="S232" s="32"/>
    </row>
    <row r="233" spans="1:19" x14ac:dyDescent="0.25">
      <c r="A233" s="182">
        <v>12</v>
      </c>
      <c r="B233" s="183" t="s">
        <v>84</v>
      </c>
      <c r="C233" s="76"/>
      <c r="D233" s="68"/>
      <c r="E233" s="184"/>
      <c r="F233" s="184"/>
      <c r="G233" s="211"/>
      <c r="H233" s="211"/>
      <c r="I233" s="211"/>
      <c r="J233" s="534"/>
      <c r="K233" s="141">
        <f>SUM(K234:K243)</f>
        <v>20155.159999999996</v>
      </c>
      <c r="L233" s="141">
        <f t="shared" ref="L233:N233" si="87">SUM(L234:L243)</f>
        <v>2711.7909000000004</v>
      </c>
      <c r="M233" s="141">
        <f t="shared" si="87"/>
        <v>0</v>
      </c>
      <c r="N233" s="141">
        <f t="shared" si="87"/>
        <v>22866.950899999996</v>
      </c>
      <c r="S233" s="32"/>
    </row>
    <row r="234" spans="1:19" ht="25.5" x14ac:dyDescent="0.25">
      <c r="A234" s="219" t="s">
        <v>735</v>
      </c>
      <c r="B234" s="219" t="s">
        <v>736</v>
      </c>
      <c r="C234" s="44" t="s">
        <v>286</v>
      </c>
      <c r="D234" s="40" t="s">
        <v>134</v>
      </c>
      <c r="E234" s="59" t="s">
        <v>400</v>
      </c>
      <c r="F234" s="87">
        <v>2</v>
      </c>
      <c r="G234" s="146"/>
      <c r="H234" s="146"/>
      <c r="I234" s="146">
        <f t="shared" ref="I234:I243" si="88">F234+G234+H234</f>
        <v>2</v>
      </c>
      <c r="J234" s="536">
        <v>576.92999999999995</v>
      </c>
      <c r="K234" s="33">
        <f>ROUND(J234*F234,2)</f>
        <v>1153.8599999999999</v>
      </c>
      <c r="L234" s="33">
        <f>G234*J234</f>
        <v>0</v>
      </c>
      <c r="M234" s="33">
        <f>H234*J234</f>
        <v>0</v>
      </c>
      <c r="N234" s="451">
        <f t="shared" ref="N234:N243" si="89">K234+L234+M234</f>
        <v>1153.8599999999999</v>
      </c>
      <c r="S234" s="32"/>
    </row>
    <row r="235" spans="1:19" ht="25.5" x14ac:dyDescent="0.25">
      <c r="A235" s="219" t="s">
        <v>737</v>
      </c>
      <c r="B235" s="219" t="s">
        <v>738</v>
      </c>
      <c r="C235" s="44" t="s">
        <v>287</v>
      </c>
      <c r="D235" s="40" t="s">
        <v>135</v>
      </c>
      <c r="E235" s="59" t="s">
        <v>78</v>
      </c>
      <c r="F235" s="87">
        <v>1.7</v>
      </c>
      <c r="G235" s="146"/>
      <c r="H235" s="146"/>
      <c r="I235" s="146">
        <f t="shared" si="88"/>
        <v>1.7</v>
      </c>
      <c r="J235" s="536">
        <v>471.54999999999995</v>
      </c>
      <c r="K235" s="451">
        <f t="shared" ref="K235:K243" si="90">ROUND(J235*F235,2)</f>
        <v>801.64</v>
      </c>
      <c r="L235" s="451">
        <f t="shared" ref="L235:L243" si="91">G235*J235</f>
        <v>0</v>
      </c>
      <c r="M235" s="451">
        <f t="shared" ref="M235:M243" si="92">H235*J235</f>
        <v>0</v>
      </c>
      <c r="N235" s="451">
        <f t="shared" si="89"/>
        <v>801.64</v>
      </c>
      <c r="S235" s="32"/>
    </row>
    <row r="236" spans="1:19" ht="51" x14ac:dyDescent="0.25">
      <c r="A236" s="219" t="s">
        <v>739</v>
      </c>
      <c r="B236" s="219" t="s">
        <v>740</v>
      </c>
      <c r="C236" s="44" t="s">
        <v>288</v>
      </c>
      <c r="D236" s="40" t="s">
        <v>135</v>
      </c>
      <c r="E236" s="59" t="s">
        <v>7</v>
      </c>
      <c r="F236" s="87">
        <v>4</v>
      </c>
      <c r="G236" s="146"/>
      <c r="H236" s="146"/>
      <c r="I236" s="146">
        <f t="shared" si="88"/>
        <v>4</v>
      </c>
      <c r="J236" s="536">
        <v>1028.96</v>
      </c>
      <c r="K236" s="451">
        <f t="shared" si="90"/>
        <v>4115.84</v>
      </c>
      <c r="L236" s="451">
        <f t="shared" si="91"/>
        <v>0</v>
      </c>
      <c r="M236" s="451">
        <f t="shared" si="92"/>
        <v>0</v>
      </c>
      <c r="N236" s="451">
        <f t="shared" si="89"/>
        <v>4115.84</v>
      </c>
      <c r="S236" s="32"/>
    </row>
    <row r="237" spans="1:19" ht="51" x14ac:dyDescent="0.25">
      <c r="A237" s="219" t="s">
        <v>741</v>
      </c>
      <c r="B237" s="219" t="s">
        <v>742</v>
      </c>
      <c r="C237" s="44" t="s">
        <v>289</v>
      </c>
      <c r="D237" s="40" t="s">
        <v>135</v>
      </c>
      <c r="E237" s="59" t="s">
        <v>7</v>
      </c>
      <c r="F237" s="87">
        <v>2</v>
      </c>
      <c r="G237" s="146"/>
      <c r="H237" s="146"/>
      <c r="I237" s="146">
        <f t="shared" si="88"/>
        <v>2</v>
      </c>
      <c r="J237" s="536">
        <v>1094.32</v>
      </c>
      <c r="K237" s="451">
        <f t="shared" si="90"/>
        <v>2188.64</v>
      </c>
      <c r="L237" s="451">
        <f t="shared" si="91"/>
        <v>0</v>
      </c>
      <c r="M237" s="451">
        <f t="shared" si="92"/>
        <v>0</v>
      </c>
      <c r="N237" s="451">
        <f t="shared" si="89"/>
        <v>2188.64</v>
      </c>
      <c r="S237" s="32"/>
    </row>
    <row r="238" spans="1:19" ht="25.5" x14ac:dyDescent="0.25">
      <c r="A238" s="219" t="s">
        <v>743</v>
      </c>
      <c r="B238" s="219" t="s">
        <v>744</v>
      </c>
      <c r="C238" s="44" t="s">
        <v>290</v>
      </c>
      <c r="D238" s="40" t="s">
        <v>134</v>
      </c>
      <c r="E238" s="59" t="s">
        <v>1</v>
      </c>
      <c r="F238" s="87">
        <v>6.6</v>
      </c>
      <c r="G238" s="146"/>
      <c r="H238" s="146"/>
      <c r="I238" s="146">
        <f t="shared" si="88"/>
        <v>6.6</v>
      </c>
      <c r="J238" s="536">
        <v>80.460000000000008</v>
      </c>
      <c r="K238" s="451">
        <f t="shared" si="90"/>
        <v>531.04</v>
      </c>
      <c r="L238" s="451">
        <f t="shared" si="91"/>
        <v>0</v>
      </c>
      <c r="M238" s="451">
        <f t="shared" si="92"/>
        <v>0</v>
      </c>
      <c r="N238" s="451">
        <f t="shared" si="89"/>
        <v>531.04</v>
      </c>
      <c r="S238" s="32"/>
    </row>
    <row r="239" spans="1:19" x14ac:dyDescent="0.25">
      <c r="A239" s="219" t="s">
        <v>745</v>
      </c>
      <c r="B239" s="219" t="s">
        <v>746</v>
      </c>
      <c r="C239" s="40" t="s">
        <v>291</v>
      </c>
      <c r="D239" s="40" t="s">
        <v>136</v>
      </c>
      <c r="E239" s="59" t="s">
        <v>7</v>
      </c>
      <c r="F239" s="87">
        <v>2</v>
      </c>
      <c r="G239" s="146"/>
      <c r="H239" s="146"/>
      <c r="I239" s="146">
        <f t="shared" si="88"/>
        <v>2</v>
      </c>
      <c r="J239" s="536">
        <v>4243.8599999999997</v>
      </c>
      <c r="K239" s="451">
        <f t="shared" si="90"/>
        <v>8487.7199999999993</v>
      </c>
      <c r="L239" s="451">
        <f t="shared" si="91"/>
        <v>0</v>
      </c>
      <c r="M239" s="451">
        <f t="shared" si="92"/>
        <v>0</v>
      </c>
      <c r="N239" s="451">
        <f t="shared" si="89"/>
        <v>8487.7199999999993</v>
      </c>
      <c r="S239" s="32"/>
    </row>
    <row r="240" spans="1:19" ht="25.5" x14ac:dyDescent="0.25">
      <c r="A240" s="219" t="s">
        <v>747</v>
      </c>
      <c r="B240" s="219" t="s">
        <v>748</v>
      </c>
      <c r="C240" s="44" t="s">
        <v>292</v>
      </c>
      <c r="D240" s="40" t="s">
        <v>135</v>
      </c>
      <c r="E240" s="59" t="s">
        <v>7</v>
      </c>
      <c r="F240" s="87">
        <v>2</v>
      </c>
      <c r="G240" s="146"/>
      <c r="H240" s="146"/>
      <c r="I240" s="146">
        <f t="shared" si="88"/>
        <v>2</v>
      </c>
      <c r="J240" s="536">
        <v>773.70999999999992</v>
      </c>
      <c r="K240" s="451">
        <f t="shared" si="90"/>
        <v>1547.42</v>
      </c>
      <c r="L240" s="451">
        <f t="shared" si="91"/>
        <v>0</v>
      </c>
      <c r="M240" s="451">
        <f t="shared" si="92"/>
        <v>0</v>
      </c>
      <c r="N240" s="451">
        <f t="shared" si="89"/>
        <v>1547.42</v>
      </c>
      <c r="S240" s="32"/>
    </row>
    <row r="241" spans="1:19" ht="25.5" x14ac:dyDescent="0.25">
      <c r="A241" s="219" t="s">
        <v>749</v>
      </c>
      <c r="B241" s="219" t="s">
        <v>750</v>
      </c>
      <c r="C241" s="44" t="s">
        <v>293</v>
      </c>
      <c r="D241" s="40" t="s">
        <v>134</v>
      </c>
      <c r="E241" s="59" t="s">
        <v>400</v>
      </c>
      <c r="F241" s="87">
        <v>1.3300000000009999</v>
      </c>
      <c r="G241" s="146"/>
      <c r="H241" s="146"/>
      <c r="I241" s="146">
        <f t="shared" si="88"/>
        <v>1.3300000000009999</v>
      </c>
      <c r="J241" s="536">
        <v>369.97999999999996</v>
      </c>
      <c r="K241" s="451">
        <f t="shared" si="90"/>
        <v>492.07</v>
      </c>
      <c r="L241" s="451">
        <f t="shared" si="91"/>
        <v>0</v>
      </c>
      <c r="M241" s="451">
        <f t="shared" si="92"/>
        <v>0</v>
      </c>
      <c r="N241" s="451">
        <f t="shared" si="89"/>
        <v>492.07</v>
      </c>
      <c r="S241" s="32"/>
    </row>
    <row r="242" spans="1:19" x14ac:dyDescent="0.25">
      <c r="A242" s="219" t="s">
        <v>751</v>
      </c>
      <c r="B242" s="219" t="s">
        <v>752</v>
      </c>
      <c r="C242" s="58" t="s">
        <v>294</v>
      </c>
      <c r="D242" s="58" t="s">
        <v>136</v>
      </c>
      <c r="E242" s="59" t="s">
        <v>78</v>
      </c>
      <c r="F242" s="87">
        <v>1.3300000000009999</v>
      </c>
      <c r="G242" s="146"/>
      <c r="H242" s="146"/>
      <c r="I242" s="146">
        <f t="shared" si="88"/>
        <v>1.3300000000009999</v>
      </c>
      <c r="J242" s="536">
        <v>629.27</v>
      </c>
      <c r="K242" s="451">
        <f t="shared" si="90"/>
        <v>836.93</v>
      </c>
      <c r="L242" s="451">
        <f t="shared" si="91"/>
        <v>0</v>
      </c>
      <c r="M242" s="451">
        <f t="shared" si="92"/>
        <v>0</v>
      </c>
      <c r="N242" s="451">
        <f t="shared" si="89"/>
        <v>836.93</v>
      </c>
      <c r="S242" s="32"/>
    </row>
    <row r="243" spans="1:19" s="449" customFormat="1" ht="25.5" x14ac:dyDescent="0.25">
      <c r="A243" s="219" t="s">
        <v>857</v>
      </c>
      <c r="B243" s="455" t="str">
        <f>'Preço novos'!D10</f>
        <v>Porta em vidro temperado 10mm, na cor verde, inclusive ferragens e instalação, exclusive puxador</v>
      </c>
      <c r="C243" s="456">
        <f>'Preço novos'!C10</f>
        <v>13095</v>
      </c>
      <c r="D243" s="456" t="s">
        <v>134</v>
      </c>
      <c r="E243" s="454" t="s">
        <v>400</v>
      </c>
      <c r="F243" s="453"/>
      <c r="G243" s="485">
        <v>4.2</v>
      </c>
      <c r="H243" s="485">
        <f>[3]Memorial!L244</f>
        <v>0</v>
      </c>
      <c r="I243" s="514">
        <f t="shared" si="88"/>
        <v>4.2</v>
      </c>
      <c r="J243" s="541">
        <f>'Preço novos'!I10</f>
        <v>645.66450000000009</v>
      </c>
      <c r="K243" s="451">
        <f t="shared" si="90"/>
        <v>0</v>
      </c>
      <c r="L243" s="451">
        <f t="shared" si="91"/>
        <v>2711.7909000000004</v>
      </c>
      <c r="M243" s="451">
        <f t="shared" si="92"/>
        <v>0</v>
      </c>
      <c r="N243" s="451">
        <f t="shared" si="89"/>
        <v>2711.7909000000004</v>
      </c>
      <c r="O243" s="451"/>
      <c r="P243" s="451"/>
      <c r="S243" s="450"/>
    </row>
    <row r="244" spans="1:19" x14ac:dyDescent="0.25">
      <c r="A244" s="219"/>
      <c r="B244" s="225"/>
      <c r="C244" s="58"/>
      <c r="D244" s="157"/>
      <c r="E244" s="226"/>
      <c r="F244" s="213"/>
      <c r="G244" s="162"/>
      <c r="H244" s="162"/>
      <c r="I244" s="162"/>
      <c r="J244" s="537"/>
      <c r="K244" s="33"/>
      <c r="L244" s="143"/>
      <c r="M244" s="143"/>
      <c r="N244" s="144"/>
      <c r="S244" s="32"/>
    </row>
    <row r="245" spans="1:19" x14ac:dyDescent="0.25">
      <c r="A245" s="182">
        <v>13</v>
      </c>
      <c r="B245" s="183" t="s">
        <v>83</v>
      </c>
      <c r="C245" s="74"/>
      <c r="D245" s="75"/>
      <c r="E245" s="184"/>
      <c r="F245" s="184"/>
      <c r="G245" s="211"/>
      <c r="H245" s="211"/>
      <c r="I245" s="211"/>
      <c r="J245" s="534"/>
      <c r="K245" s="141">
        <f>SUM(K246)</f>
        <v>142201.57</v>
      </c>
      <c r="L245" s="141">
        <f t="shared" ref="L245:N245" si="93">SUM(L246)</f>
        <v>0</v>
      </c>
      <c r="M245" s="141">
        <f t="shared" si="93"/>
        <v>0</v>
      </c>
      <c r="N245" s="141">
        <f t="shared" si="93"/>
        <v>142201.57</v>
      </c>
      <c r="S245" s="32"/>
    </row>
    <row r="246" spans="1:19" ht="25.5" x14ac:dyDescent="0.25">
      <c r="A246" s="219" t="s">
        <v>753</v>
      </c>
      <c r="B246" s="219" t="s">
        <v>754</v>
      </c>
      <c r="C246" s="44">
        <v>10036</v>
      </c>
      <c r="D246" s="40" t="s">
        <v>134</v>
      </c>
      <c r="E246" s="59" t="s">
        <v>400</v>
      </c>
      <c r="F246" s="87">
        <v>91.620000000000999</v>
      </c>
      <c r="G246" s="146"/>
      <c r="H246" s="146"/>
      <c r="I246" s="146">
        <f t="shared" ref="I246" si="94">F246+G246+H246</f>
        <v>91.620000000000999</v>
      </c>
      <c r="J246" s="536">
        <v>1552.08</v>
      </c>
      <c r="K246" s="33">
        <f>ROUND(J246*F246,2)</f>
        <v>142201.57</v>
      </c>
      <c r="L246" s="33">
        <f t="shared" ref="L246" si="95">G246*J246</f>
        <v>0</v>
      </c>
      <c r="M246" s="33">
        <f>H246*J246</f>
        <v>0</v>
      </c>
      <c r="N246" s="451">
        <f t="shared" ref="N246" si="96">K246+L246+M246</f>
        <v>142201.57</v>
      </c>
      <c r="S246" s="32"/>
    </row>
    <row r="247" spans="1:19" x14ac:dyDescent="0.25">
      <c r="A247" s="219"/>
      <c r="B247" s="225"/>
      <c r="C247" s="155"/>
      <c r="D247" s="138"/>
      <c r="E247" s="226"/>
      <c r="F247" s="213"/>
      <c r="G247" s="162"/>
      <c r="H247" s="162"/>
      <c r="I247" s="162"/>
      <c r="J247" s="537"/>
      <c r="K247" s="33"/>
      <c r="L247" s="143"/>
      <c r="M247" s="143"/>
      <c r="N247" s="144"/>
      <c r="S247" s="32"/>
    </row>
    <row r="248" spans="1:19" x14ac:dyDescent="0.25">
      <c r="A248" s="182">
        <v>14</v>
      </c>
      <c r="B248" s="183" t="s">
        <v>82</v>
      </c>
      <c r="C248" s="76"/>
      <c r="D248" s="68"/>
      <c r="E248" s="184"/>
      <c r="F248" s="184"/>
      <c r="G248" s="211"/>
      <c r="H248" s="211"/>
      <c r="I248" s="211"/>
      <c r="J248" s="534"/>
      <c r="K248" s="141">
        <f>SUM(K249:K263)</f>
        <v>7964.36</v>
      </c>
      <c r="L248" s="141">
        <f t="shared" ref="L248:N248" si="97">SUM(L249:L263)</f>
        <v>0</v>
      </c>
      <c r="M248" s="141">
        <f t="shared" si="97"/>
        <v>0</v>
      </c>
      <c r="N248" s="141">
        <f t="shared" si="97"/>
        <v>7964.36</v>
      </c>
      <c r="S248" s="32"/>
    </row>
    <row r="249" spans="1:19" ht="25.5" x14ac:dyDescent="0.25">
      <c r="A249" s="219" t="s">
        <v>755</v>
      </c>
      <c r="B249" s="219" t="s">
        <v>756</v>
      </c>
      <c r="C249" s="44" t="s">
        <v>295</v>
      </c>
      <c r="D249" s="40" t="s">
        <v>134</v>
      </c>
      <c r="E249" s="59" t="s">
        <v>400</v>
      </c>
      <c r="F249" s="87">
        <v>1.100000000001</v>
      </c>
      <c r="G249" s="146"/>
      <c r="H249" s="146"/>
      <c r="I249" s="146">
        <f t="shared" ref="I249:I263" si="98">F249+G249+H249</f>
        <v>1.100000000001</v>
      </c>
      <c r="J249" s="536">
        <v>580.38</v>
      </c>
      <c r="K249" s="33">
        <f>ROUND(J249*F249,2)</f>
        <v>638.41999999999996</v>
      </c>
      <c r="L249" s="33">
        <f>G249*J249</f>
        <v>0</v>
      </c>
      <c r="M249" s="33">
        <f>H249*J249</f>
        <v>0</v>
      </c>
      <c r="N249" s="451">
        <f t="shared" ref="N249:N263" si="99">K249+L249+M249</f>
        <v>638.41999999999996</v>
      </c>
      <c r="S249" s="32"/>
    </row>
    <row r="250" spans="1:19" ht="25.5" x14ac:dyDescent="0.25">
      <c r="A250" s="219" t="s">
        <v>757</v>
      </c>
      <c r="B250" s="219" t="s">
        <v>758</v>
      </c>
      <c r="C250" s="44">
        <v>38605</v>
      </c>
      <c r="D250" s="40" t="s">
        <v>135</v>
      </c>
      <c r="E250" s="59" t="s">
        <v>7</v>
      </c>
      <c r="F250" s="87">
        <v>3</v>
      </c>
      <c r="G250" s="146"/>
      <c r="H250" s="146"/>
      <c r="I250" s="146">
        <f t="shared" si="98"/>
        <v>3</v>
      </c>
      <c r="J250" s="536">
        <v>123.55</v>
      </c>
      <c r="K250" s="451">
        <f t="shared" ref="K250:K263" si="100">ROUND(J250*F250,2)</f>
        <v>370.65</v>
      </c>
      <c r="L250" s="451">
        <f t="shared" ref="L250:L263" si="101">G250*J250</f>
        <v>0</v>
      </c>
      <c r="M250" s="451">
        <f t="shared" ref="M250:M263" si="102">H250*J250</f>
        <v>0</v>
      </c>
      <c r="N250" s="451">
        <f t="shared" si="99"/>
        <v>370.65</v>
      </c>
      <c r="S250" s="32"/>
    </row>
    <row r="251" spans="1:19" ht="38.25" x14ac:dyDescent="0.25">
      <c r="A251" s="219" t="s">
        <v>759</v>
      </c>
      <c r="B251" s="219" t="s">
        <v>760</v>
      </c>
      <c r="C251" s="44" t="s">
        <v>296</v>
      </c>
      <c r="D251" s="40" t="s">
        <v>135</v>
      </c>
      <c r="E251" s="59" t="s">
        <v>7</v>
      </c>
      <c r="F251" s="87">
        <v>1</v>
      </c>
      <c r="G251" s="146"/>
      <c r="H251" s="146"/>
      <c r="I251" s="146">
        <f t="shared" si="98"/>
        <v>1</v>
      </c>
      <c r="J251" s="536">
        <v>435.69</v>
      </c>
      <c r="K251" s="451">
        <f t="shared" si="100"/>
        <v>435.69</v>
      </c>
      <c r="L251" s="451">
        <f t="shared" si="101"/>
        <v>0</v>
      </c>
      <c r="M251" s="451">
        <f t="shared" si="102"/>
        <v>0</v>
      </c>
      <c r="N251" s="451">
        <f t="shared" si="99"/>
        <v>435.69</v>
      </c>
      <c r="S251" s="32"/>
    </row>
    <row r="252" spans="1:19" ht="38.25" x14ac:dyDescent="0.25">
      <c r="A252" s="219" t="s">
        <v>761</v>
      </c>
      <c r="B252" s="219" t="s">
        <v>762</v>
      </c>
      <c r="C252" s="44" t="s">
        <v>297</v>
      </c>
      <c r="D252" s="40" t="s">
        <v>134</v>
      </c>
      <c r="E252" s="59" t="s">
        <v>5</v>
      </c>
      <c r="F252" s="87">
        <v>2</v>
      </c>
      <c r="G252" s="146"/>
      <c r="H252" s="146"/>
      <c r="I252" s="146">
        <f t="shared" si="98"/>
        <v>2</v>
      </c>
      <c r="J252" s="536">
        <v>760.59</v>
      </c>
      <c r="K252" s="451">
        <f t="shared" si="100"/>
        <v>1521.18</v>
      </c>
      <c r="L252" s="451">
        <f t="shared" si="101"/>
        <v>0</v>
      </c>
      <c r="M252" s="451">
        <f t="shared" si="102"/>
        <v>0</v>
      </c>
      <c r="N252" s="451">
        <f t="shared" si="99"/>
        <v>1521.18</v>
      </c>
      <c r="S252" s="32"/>
    </row>
    <row r="253" spans="1:19" ht="25.5" x14ac:dyDescent="0.25">
      <c r="A253" s="219" t="s">
        <v>763</v>
      </c>
      <c r="B253" s="219" t="s">
        <v>764</v>
      </c>
      <c r="C253" s="44" t="s">
        <v>298</v>
      </c>
      <c r="D253" s="40" t="s">
        <v>135</v>
      </c>
      <c r="E253" s="59" t="s">
        <v>7</v>
      </c>
      <c r="F253" s="87">
        <v>1</v>
      </c>
      <c r="G253" s="146"/>
      <c r="H253" s="146"/>
      <c r="I253" s="146">
        <f t="shared" si="98"/>
        <v>1</v>
      </c>
      <c r="J253" s="536">
        <v>144.73000000000002</v>
      </c>
      <c r="K253" s="451">
        <f t="shared" si="100"/>
        <v>144.72999999999999</v>
      </c>
      <c r="L253" s="451">
        <f t="shared" si="101"/>
        <v>0</v>
      </c>
      <c r="M253" s="451">
        <f t="shared" si="102"/>
        <v>0</v>
      </c>
      <c r="N253" s="451">
        <f t="shared" si="99"/>
        <v>144.72999999999999</v>
      </c>
      <c r="S253" s="32"/>
    </row>
    <row r="254" spans="1:19" ht="25.5" x14ac:dyDescent="0.25">
      <c r="A254" s="219" t="s">
        <v>765</v>
      </c>
      <c r="B254" s="219" t="s">
        <v>766</v>
      </c>
      <c r="C254" s="44" t="s">
        <v>299</v>
      </c>
      <c r="D254" s="40" t="s">
        <v>135</v>
      </c>
      <c r="E254" s="59" t="s">
        <v>7</v>
      </c>
      <c r="F254" s="87">
        <v>1</v>
      </c>
      <c r="G254" s="146"/>
      <c r="H254" s="146"/>
      <c r="I254" s="146">
        <f t="shared" si="98"/>
        <v>1</v>
      </c>
      <c r="J254" s="536">
        <v>40.989999999999995</v>
      </c>
      <c r="K254" s="451">
        <f t="shared" si="100"/>
        <v>40.99</v>
      </c>
      <c r="L254" s="451">
        <f t="shared" si="101"/>
        <v>0</v>
      </c>
      <c r="M254" s="451">
        <f t="shared" si="102"/>
        <v>0</v>
      </c>
      <c r="N254" s="451">
        <f t="shared" si="99"/>
        <v>40.99</v>
      </c>
      <c r="S254" s="32"/>
    </row>
    <row r="255" spans="1:19" ht="25.5" x14ac:dyDescent="0.25">
      <c r="A255" s="219" t="s">
        <v>767</v>
      </c>
      <c r="B255" s="219" t="s">
        <v>768</v>
      </c>
      <c r="C255" s="44" t="s">
        <v>300</v>
      </c>
      <c r="D255" s="40" t="s">
        <v>135</v>
      </c>
      <c r="E255" s="59" t="s">
        <v>7</v>
      </c>
      <c r="F255" s="87">
        <v>3</v>
      </c>
      <c r="G255" s="146"/>
      <c r="H255" s="146"/>
      <c r="I255" s="146">
        <f t="shared" si="98"/>
        <v>3</v>
      </c>
      <c r="J255" s="536">
        <v>29.72</v>
      </c>
      <c r="K255" s="451">
        <f t="shared" si="100"/>
        <v>89.16</v>
      </c>
      <c r="L255" s="451">
        <f t="shared" si="101"/>
        <v>0</v>
      </c>
      <c r="M255" s="451">
        <f t="shared" si="102"/>
        <v>0</v>
      </c>
      <c r="N255" s="451">
        <f t="shared" si="99"/>
        <v>89.16</v>
      </c>
      <c r="S255" s="32"/>
    </row>
    <row r="256" spans="1:19" ht="38.25" x14ac:dyDescent="0.25">
      <c r="A256" s="219" t="s">
        <v>769</v>
      </c>
      <c r="B256" s="219" t="s">
        <v>770</v>
      </c>
      <c r="C256" s="44" t="s">
        <v>301</v>
      </c>
      <c r="D256" s="40" t="s">
        <v>134</v>
      </c>
      <c r="E256" s="59" t="s">
        <v>7</v>
      </c>
      <c r="F256" s="87">
        <v>2</v>
      </c>
      <c r="G256" s="146"/>
      <c r="H256" s="146"/>
      <c r="I256" s="146">
        <f t="shared" si="98"/>
        <v>2</v>
      </c>
      <c r="J256" s="536">
        <v>493.63</v>
      </c>
      <c r="K256" s="451">
        <f t="shared" si="100"/>
        <v>987.26</v>
      </c>
      <c r="L256" s="451">
        <f t="shared" si="101"/>
        <v>0</v>
      </c>
      <c r="M256" s="451">
        <f t="shared" si="102"/>
        <v>0</v>
      </c>
      <c r="N256" s="451">
        <f t="shared" si="99"/>
        <v>987.26</v>
      </c>
      <c r="S256" s="32"/>
    </row>
    <row r="257" spans="1:19" ht="25.5" x14ac:dyDescent="0.25">
      <c r="A257" s="219" t="s">
        <v>771</v>
      </c>
      <c r="B257" s="219" t="s">
        <v>772</v>
      </c>
      <c r="C257" s="44"/>
      <c r="D257" s="40"/>
      <c r="E257" s="59" t="s">
        <v>5</v>
      </c>
      <c r="F257" s="87">
        <v>2</v>
      </c>
      <c r="G257" s="146"/>
      <c r="H257" s="146"/>
      <c r="I257" s="146">
        <f t="shared" si="98"/>
        <v>2</v>
      </c>
      <c r="J257" s="536">
        <v>189.71</v>
      </c>
      <c r="K257" s="451">
        <f t="shared" si="100"/>
        <v>379.42</v>
      </c>
      <c r="L257" s="451">
        <f t="shared" si="101"/>
        <v>0</v>
      </c>
      <c r="M257" s="451">
        <f t="shared" si="102"/>
        <v>0</v>
      </c>
      <c r="N257" s="451">
        <f t="shared" si="99"/>
        <v>379.42</v>
      </c>
      <c r="S257" s="32"/>
    </row>
    <row r="258" spans="1:19" ht="25.5" x14ac:dyDescent="0.25">
      <c r="A258" s="219" t="s">
        <v>773</v>
      </c>
      <c r="B258" s="219" t="s">
        <v>774</v>
      </c>
      <c r="C258" s="44" t="s">
        <v>302</v>
      </c>
      <c r="D258" s="40" t="s">
        <v>135</v>
      </c>
      <c r="E258" s="59" t="s">
        <v>7</v>
      </c>
      <c r="F258" s="87">
        <v>4</v>
      </c>
      <c r="G258" s="146"/>
      <c r="H258" s="146"/>
      <c r="I258" s="146">
        <f t="shared" si="98"/>
        <v>4</v>
      </c>
      <c r="J258" s="536">
        <v>296.79000000000002</v>
      </c>
      <c r="K258" s="451">
        <f t="shared" si="100"/>
        <v>1187.1600000000001</v>
      </c>
      <c r="L258" s="451">
        <f t="shared" si="101"/>
        <v>0</v>
      </c>
      <c r="M258" s="451">
        <f t="shared" si="102"/>
        <v>0</v>
      </c>
      <c r="N258" s="451">
        <f t="shared" si="99"/>
        <v>1187.1600000000001</v>
      </c>
      <c r="S258" s="32"/>
    </row>
    <row r="259" spans="1:19" ht="25.5" x14ac:dyDescent="0.25">
      <c r="A259" s="219" t="s">
        <v>775</v>
      </c>
      <c r="B259" s="219" t="s">
        <v>776</v>
      </c>
      <c r="C259" s="44" t="s">
        <v>303</v>
      </c>
      <c r="D259" s="40" t="s">
        <v>135</v>
      </c>
      <c r="E259" s="59" t="s">
        <v>7</v>
      </c>
      <c r="F259" s="87">
        <v>2</v>
      </c>
      <c r="G259" s="146"/>
      <c r="H259" s="146"/>
      <c r="I259" s="146">
        <f t="shared" si="98"/>
        <v>2</v>
      </c>
      <c r="J259" s="536">
        <v>263.49</v>
      </c>
      <c r="K259" s="451">
        <f t="shared" si="100"/>
        <v>526.98</v>
      </c>
      <c r="L259" s="451">
        <f t="shared" si="101"/>
        <v>0</v>
      </c>
      <c r="M259" s="451">
        <f t="shared" si="102"/>
        <v>0</v>
      </c>
      <c r="N259" s="451">
        <f t="shared" si="99"/>
        <v>526.98</v>
      </c>
      <c r="S259" s="32"/>
    </row>
    <row r="260" spans="1:19" ht="25.5" x14ac:dyDescent="0.25">
      <c r="A260" s="219" t="s">
        <v>777</v>
      </c>
      <c r="B260" s="219" t="s">
        <v>778</v>
      </c>
      <c r="C260" s="44">
        <v>37401</v>
      </c>
      <c r="D260" s="40" t="s">
        <v>135</v>
      </c>
      <c r="E260" s="59" t="s">
        <v>7</v>
      </c>
      <c r="F260" s="87">
        <v>2</v>
      </c>
      <c r="G260" s="146"/>
      <c r="H260" s="146"/>
      <c r="I260" s="146">
        <f t="shared" si="98"/>
        <v>2</v>
      </c>
      <c r="J260" s="536">
        <v>112.47999999999999</v>
      </c>
      <c r="K260" s="451">
        <f t="shared" si="100"/>
        <v>224.96</v>
      </c>
      <c r="L260" s="451">
        <f t="shared" si="101"/>
        <v>0</v>
      </c>
      <c r="M260" s="451">
        <f t="shared" si="102"/>
        <v>0</v>
      </c>
      <c r="N260" s="451">
        <f t="shared" si="99"/>
        <v>224.96</v>
      </c>
      <c r="S260" s="32"/>
    </row>
    <row r="261" spans="1:19" ht="25.5" x14ac:dyDescent="0.25">
      <c r="A261" s="219" t="s">
        <v>779</v>
      </c>
      <c r="B261" s="219" t="s">
        <v>780</v>
      </c>
      <c r="C261" s="44" t="s">
        <v>304</v>
      </c>
      <c r="D261" s="40" t="s">
        <v>135</v>
      </c>
      <c r="E261" s="59" t="s">
        <v>7</v>
      </c>
      <c r="F261" s="87">
        <v>2</v>
      </c>
      <c r="G261" s="146"/>
      <c r="H261" s="146"/>
      <c r="I261" s="146">
        <f t="shared" si="98"/>
        <v>2</v>
      </c>
      <c r="J261" s="536">
        <v>116.46000000000001</v>
      </c>
      <c r="K261" s="451">
        <f t="shared" si="100"/>
        <v>232.92</v>
      </c>
      <c r="L261" s="451">
        <f t="shared" si="101"/>
        <v>0</v>
      </c>
      <c r="M261" s="451">
        <f t="shared" si="102"/>
        <v>0</v>
      </c>
      <c r="N261" s="451">
        <f t="shared" si="99"/>
        <v>232.92</v>
      </c>
      <c r="S261" s="32"/>
    </row>
    <row r="262" spans="1:19" ht="25.5" x14ac:dyDescent="0.25">
      <c r="A262" s="219" t="s">
        <v>781</v>
      </c>
      <c r="B262" s="219" t="s">
        <v>782</v>
      </c>
      <c r="C262" s="44" t="s">
        <v>305</v>
      </c>
      <c r="D262" s="40" t="s">
        <v>135</v>
      </c>
      <c r="E262" s="59" t="s">
        <v>7</v>
      </c>
      <c r="F262" s="87">
        <v>2</v>
      </c>
      <c r="G262" s="146"/>
      <c r="H262" s="146"/>
      <c r="I262" s="146">
        <f t="shared" si="98"/>
        <v>2</v>
      </c>
      <c r="J262" s="536">
        <v>31.61</v>
      </c>
      <c r="K262" s="451">
        <f t="shared" si="100"/>
        <v>63.22</v>
      </c>
      <c r="L262" s="451">
        <f t="shared" si="101"/>
        <v>0</v>
      </c>
      <c r="M262" s="451">
        <f t="shared" si="102"/>
        <v>0</v>
      </c>
      <c r="N262" s="451">
        <f t="shared" si="99"/>
        <v>63.22</v>
      </c>
      <c r="S262" s="32"/>
    </row>
    <row r="263" spans="1:19" ht="25.5" x14ac:dyDescent="0.25">
      <c r="A263" s="219" t="s">
        <v>783</v>
      </c>
      <c r="B263" s="219" t="s">
        <v>784</v>
      </c>
      <c r="C263" s="44">
        <v>39621</v>
      </c>
      <c r="D263" s="40" t="s">
        <v>135</v>
      </c>
      <c r="E263" s="59" t="s">
        <v>785</v>
      </c>
      <c r="F263" s="87">
        <v>1</v>
      </c>
      <c r="G263" s="146"/>
      <c r="H263" s="146"/>
      <c r="I263" s="514">
        <f t="shared" si="98"/>
        <v>1</v>
      </c>
      <c r="J263" s="536">
        <v>1121.6199999999999</v>
      </c>
      <c r="K263" s="451">
        <f t="shared" si="100"/>
        <v>1121.6199999999999</v>
      </c>
      <c r="L263" s="451">
        <f t="shared" si="101"/>
        <v>0</v>
      </c>
      <c r="M263" s="451">
        <f t="shared" si="102"/>
        <v>0</v>
      </c>
      <c r="N263" s="451">
        <f t="shared" si="99"/>
        <v>1121.6199999999999</v>
      </c>
      <c r="S263" s="32"/>
    </row>
    <row r="264" spans="1:19" x14ac:dyDescent="0.25">
      <c r="A264" s="219"/>
      <c r="B264" s="225"/>
      <c r="C264" s="44"/>
      <c r="D264" s="40"/>
      <c r="E264" s="226"/>
      <c r="F264" s="213"/>
      <c r="G264" s="162"/>
      <c r="H264" s="162"/>
      <c r="I264" s="162"/>
      <c r="J264" s="537"/>
      <c r="K264" s="33"/>
      <c r="L264" s="143"/>
      <c r="M264" s="143"/>
      <c r="N264" s="144"/>
      <c r="S264" s="32"/>
    </row>
    <row r="265" spans="1:19" x14ac:dyDescent="0.25">
      <c r="A265" s="182">
        <v>15</v>
      </c>
      <c r="B265" s="183" t="s">
        <v>81</v>
      </c>
      <c r="C265" s="44"/>
      <c r="D265" s="40"/>
      <c r="E265" s="184"/>
      <c r="F265" s="184"/>
      <c r="G265" s="211"/>
      <c r="H265" s="211"/>
      <c r="I265" s="211"/>
      <c r="J265" s="534"/>
      <c r="K265" s="141">
        <f>SUM(K266:K273)</f>
        <v>25312.599999999995</v>
      </c>
      <c r="L265" s="141">
        <f t="shared" ref="L265:N265" si="103">SUM(L266:L273)</f>
        <v>2789.616</v>
      </c>
      <c r="M265" s="141">
        <f t="shared" si="103"/>
        <v>0</v>
      </c>
      <c r="N265" s="141">
        <f t="shared" si="103"/>
        <v>28102.215999999997</v>
      </c>
      <c r="S265" s="32"/>
    </row>
    <row r="266" spans="1:19" ht="25.5" x14ac:dyDescent="0.25">
      <c r="A266" s="219" t="s">
        <v>786</v>
      </c>
      <c r="B266" s="219" t="s">
        <v>787</v>
      </c>
      <c r="C266" s="44" t="s">
        <v>306</v>
      </c>
      <c r="D266" s="40" t="s">
        <v>134</v>
      </c>
      <c r="E266" s="59" t="s">
        <v>5</v>
      </c>
      <c r="F266" s="87">
        <v>13</v>
      </c>
      <c r="G266" s="146"/>
      <c r="H266" s="146"/>
      <c r="I266" s="514">
        <f t="shared" ref="I266:I273" si="104">F266+G266+H266</f>
        <v>13</v>
      </c>
      <c r="J266" s="536">
        <v>109.27</v>
      </c>
      <c r="K266" s="33">
        <f>ROUND(J266*F266,2)</f>
        <v>1420.51</v>
      </c>
      <c r="L266" s="33">
        <f>G266*J266</f>
        <v>0</v>
      </c>
      <c r="M266" s="33">
        <f>H266*J266</f>
        <v>0</v>
      </c>
      <c r="N266" s="451">
        <f t="shared" ref="N266:N273" si="105">K266+L266+M266</f>
        <v>1420.51</v>
      </c>
      <c r="S266" s="32"/>
    </row>
    <row r="267" spans="1:19" ht="25.5" x14ac:dyDescent="0.25">
      <c r="A267" s="219" t="s">
        <v>788</v>
      </c>
      <c r="B267" s="219" t="s">
        <v>789</v>
      </c>
      <c r="C267" s="44" t="s">
        <v>307</v>
      </c>
      <c r="D267" s="40" t="s">
        <v>134</v>
      </c>
      <c r="E267" s="59" t="s">
        <v>5</v>
      </c>
      <c r="F267" s="87">
        <v>57</v>
      </c>
      <c r="G267" s="146"/>
      <c r="H267" s="146"/>
      <c r="I267" s="514">
        <f t="shared" si="104"/>
        <v>57</v>
      </c>
      <c r="J267" s="536">
        <v>43.489999999999995</v>
      </c>
      <c r="K267" s="451">
        <f t="shared" ref="K267:K273" si="106">ROUND(J267*F267,2)</f>
        <v>2478.9299999999998</v>
      </c>
      <c r="L267" s="451">
        <f t="shared" ref="L267:L273" si="107">G267*J267</f>
        <v>0</v>
      </c>
      <c r="M267" s="451">
        <f t="shared" ref="M267:M273" si="108">H267*J267</f>
        <v>0</v>
      </c>
      <c r="N267" s="451">
        <f t="shared" si="105"/>
        <v>2478.9299999999998</v>
      </c>
      <c r="S267" s="32"/>
    </row>
    <row r="268" spans="1:19" ht="22.5" customHeight="1" x14ac:dyDescent="0.25">
      <c r="A268" s="219" t="s">
        <v>790</v>
      </c>
      <c r="B268" s="219" t="s">
        <v>791</v>
      </c>
      <c r="C268" s="44" t="s">
        <v>308</v>
      </c>
      <c r="D268" s="40" t="s">
        <v>136</v>
      </c>
      <c r="E268" s="59" t="s">
        <v>67</v>
      </c>
      <c r="F268" s="87">
        <v>16.559999999999999</v>
      </c>
      <c r="G268" s="146"/>
      <c r="H268" s="146"/>
      <c r="I268" s="514">
        <f t="shared" si="104"/>
        <v>16.559999999999999</v>
      </c>
      <c r="J268" s="536">
        <v>566.02</v>
      </c>
      <c r="K268" s="451">
        <f t="shared" si="106"/>
        <v>9373.2900000000009</v>
      </c>
      <c r="L268" s="451">
        <f t="shared" si="107"/>
        <v>0</v>
      </c>
      <c r="M268" s="451">
        <f t="shared" si="108"/>
        <v>0</v>
      </c>
      <c r="N268" s="451">
        <f t="shared" si="105"/>
        <v>9373.2900000000009</v>
      </c>
      <c r="S268" s="32"/>
    </row>
    <row r="269" spans="1:19" ht="25.5" x14ac:dyDescent="0.25">
      <c r="A269" s="219" t="s">
        <v>792</v>
      </c>
      <c r="B269" s="219" t="s">
        <v>793</v>
      </c>
      <c r="C269" s="44" t="s">
        <v>309</v>
      </c>
      <c r="D269" s="40" t="s">
        <v>134</v>
      </c>
      <c r="E269" s="59" t="s">
        <v>400</v>
      </c>
      <c r="F269" s="87">
        <v>16.559999999999999</v>
      </c>
      <c r="G269" s="146"/>
      <c r="H269" s="146"/>
      <c r="I269" s="514">
        <f t="shared" si="104"/>
        <v>16.559999999999999</v>
      </c>
      <c r="J269" s="536">
        <v>558.75</v>
      </c>
      <c r="K269" s="451">
        <f t="shared" si="106"/>
        <v>9252.9</v>
      </c>
      <c r="L269" s="451">
        <f t="shared" si="107"/>
        <v>0</v>
      </c>
      <c r="M269" s="451">
        <f t="shared" si="108"/>
        <v>0</v>
      </c>
      <c r="N269" s="451">
        <f t="shared" si="105"/>
        <v>9252.9</v>
      </c>
      <c r="S269" s="32"/>
    </row>
    <row r="270" spans="1:19" ht="24" customHeight="1" x14ac:dyDescent="0.25">
      <c r="A270" s="219" t="s">
        <v>794</v>
      </c>
      <c r="B270" s="219" t="s">
        <v>795</v>
      </c>
      <c r="C270" s="44" t="s">
        <v>310</v>
      </c>
      <c r="D270" s="40" t="s">
        <v>134</v>
      </c>
      <c r="E270" s="59" t="s">
        <v>400</v>
      </c>
      <c r="F270" s="87">
        <v>5.14</v>
      </c>
      <c r="G270" s="146"/>
      <c r="H270" s="146"/>
      <c r="I270" s="514">
        <f t="shared" si="104"/>
        <v>5.14</v>
      </c>
      <c r="J270" s="536">
        <v>293.29000000000002</v>
      </c>
      <c r="K270" s="451">
        <f t="shared" si="106"/>
        <v>1507.51</v>
      </c>
      <c r="L270" s="451">
        <f t="shared" si="107"/>
        <v>0</v>
      </c>
      <c r="M270" s="451">
        <f t="shared" si="108"/>
        <v>0</v>
      </c>
      <c r="N270" s="451">
        <f t="shared" si="105"/>
        <v>1507.51</v>
      </c>
      <c r="S270" s="32"/>
    </row>
    <row r="271" spans="1:19" ht="22.5" customHeight="1" x14ac:dyDescent="0.25">
      <c r="A271" s="219" t="s">
        <v>796</v>
      </c>
      <c r="B271" s="219" t="s">
        <v>797</v>
      </c>
      <c r="C271" s="44" t="s">
        <v>311</v>
      </c>
      <c r="D271" s="40" t="s">
        <v>134</v>
      </c>
      <c r="E271" s="59" t="s">
        <v>1</v>
      </c>
      <c r="F271" s="87">
        <v>5</v>
      </c>
      <c r="G271" s="146">
        <v>106.8</v>
      </c>
      <c r="H271" s="146"/>
      <c r="I271" s="514">
        <f t="shared" si="104"/>
        <v>111.8</v>
      </c>
      <c r="J271" s="536">
        <v>26.12</v>
      </c>
      <c r="K271" s="451">
        <f t="shared" si="106"/>
        <v>130.6</v>
      </c>
      <c r="L271" s="451">
        <f t="shared" si="107"/>
        <v>2789.616</v>
      </c>
      <c r="M271" s="451">
        <f t="shared" si="108"/>
        <v>0</v>
      </c>
      <c r="N271" s="451">
        <f t="shared" si="105"/>
        <v>2920.2159999999999</v>
      </c>
      <c r="S271" s="32"/>
    </row>
    <row r="272" spans="1:19" ht="25.5" x14ac:dyDescent="0.25">
      <c r="A272" s="219" t="s">
        <v>798</v>
      </c>
      <c r="B272" s="219" t="s">
        <v>799</v>
      </c>
      <c r="C272" s="44" t="s">
        <v>312</v>
      </c>
      <c r="D272" s="40" t="s">
        <v>134</v>
      </c>
      <c r="E272" s="59" t="s">
        <v>5</v>
      </c>
      <c r="F272" s="87">
        <v>2</v>
      </c>
      <c r="G272" s="146"/>
      <c r="H272" s="146"/>
      <c r="I272" s="514">
        <f t="shared" si="104"/>
        <v>2</v>
      </c>
      <c r="J272" s="536">
        <v>92.41</v>
      </c>
      <c r="K272" s="451">
        <f t="shared" si="106"/>
        <v>184.82</v>
      </c>
      <c r="L272" s="451">
        <f t="shared" si="107"/>
        <v>0</v>
      </c>
      <c r="M272" s="451">
        <f t="shared" si="108"/>
        <v>0</v>
      </c>
      <c r="N272" s="451">
        <f t="shared" si="105"/>
        <v>184.82</v>
      </c>
      <c r="S272" s="32"/>
    </row>
    <row r="273" spans="1:19" ht="25.5" x14ac:dyDescent="0.25">
      <c r="A273" s="219" t="s">
        <v>800</v>
      </c>
      <c r="B273" s="219" t="s">
        <v>801</v>
      </c>
      <c r="C273" s="44" t="s">
        <v>313</v>
      </c>
      <c r="D273" s="40" t="s">
        <v>134</v>
      </c>
      <c r="E273" s="59" t="s">
        <v>400</v>
      </c>
      <c r="F273" s="87">
        <v>384.08</v>
      </c>
      <c r="G273" s="146"/>
      <c r="H273" s="146"/>
      <c r="I273" s="514">
        <f t="shared" si="104"/>
        <v>384.08</v>
      </c>
      <c r="J273" s="536">
        <v>2.5099999999999998</v>
      </c>
      <c r="K273" s="451">
        <f t="shared" si="106"/>
        <v>964.04</v>
      </c>
      <c r="L273" s="451">
        <f t="shared" si="107"/>
        <v>0</v>
      </c>
      <c r="M273" s="451">
        <f t="shared" si="108"/>
        <v>0</v>
      </c>
      <c r="N273" s="451">
        <f t="shared" si="105"/>
        <v>964.04</v>
      </c>
      <c r="S273" s="32"/>
    </row>
    <row r="274" spans="1:19" s="29" customFormat="1" x14ac:dyDescent="0.2">
      <c r="A274" s="738"/>
      <c r="B274" s="739"/>
      <c r="C274" s="739"/>
      <c r="D274" s="739"/>
      <c r="E274" s="739"/>
      <c r="F274" s="739"/>
      <c r="G274" s="739"/>
      <c r="H274" s="739"/>
      <c r="I274" s="739"/>
      <c r="J274" s="739"/>
      <c r="K274" s="739"/>
      <c r="L274" s="739"/>
      <c r="M274" s="739"/>
      <c r="N274" s="740"/>
      <c r="P274" s="30"/>
      <c r="Q274" s="30"/>
      <c r="R274" s="30"/>
      <c r="S274" s="30"/>
    </row>
    <row r="275" spans="1:19" s="29" customFormat="1" ht="16.5" customHeight="1" x14ac:dyDescent="0.2">
      <c r="A275" s="724" t="s">
        <v>404</v>
      </c>
      <c r="B275" s="725"/>
      <c r="C275" s="725"/>
      <c r="D275" s="725"/>
      <c r="E275" s="725"/>
      <c r="F275" s="725"/>
      <c r="G275" s="725"/>
      <c r="H275" s="725"/>
      <c r="I275" s="725"/>
      <c r="J275" s="726"/>
      <c r="K275" s="31">
        <f>(K265+K248+K245+K233+K201+K160+K127+K113+K103+K77+K58+K54+K35+K23+K10)-440.9</f>
        <v>1251009.48</v>
      </c>
      <c r="L275" s="31">
        <f>L265+L248+L245+L233+L201+L160+L127+L113+L103+L77+L58+L54+L35+L23+L10</f>
        <v>154552.21535755161</v>
      </c>
      <c r="M275" s="31">
        <f>M265+M248+M245+M233+M201+M160+M127+M113+M103+M77+M58+M54+M35+M23+M10</f>
        <v>-104075.37619500044</v>
      </c>
      <c r="N275" s="31">
        <f>N265+N248+N245+N233+N201+N160+N127+N113+N103+N77+N58+N54+N35+N23+N10</f>
        <v>1301927.2191625512</v>
      </c>
      <c r="O275" s="77"/>
      <c r="P275" s="30"/>
      <c r="Q275" s="30"/>
      <c r="R275" s="30"/>
      <c r="S275" s="30"/>
    </row>
    <row r="276" spans="1:19" ht="15" customHeight="1" x14ac:dyDescent="0.25">
      <c r="A276" s="724" t="s">
        <v>403</v>
      </c>
      <c r="B276" s="725"/>
      <c r="C276" s="725"/>
      <c r="D276" s="725"/>
      <c r="E276" s="725"/>
      <c r="F276" s="725"/>
      <c r="G276" s="725"/>
      <c r="H276" s="725"/>
      <c r="I276" s="725"/>
      <c r="J276" s="726"/>
      <c r="K276" s="731">
        <f>L275+M275</f>
        <v>50476.839162551172</v>
      </c>
      <c r="L276" s="731"/>
      <c r="M276" s="731"/>
      <c r="N276" s="731"/>
    </row>
    <row r="277" spans="1:19" ht="15.75" x14ac:dyDescent="0.25">
      <c r="A277" s="724" t="s">
        <v>367</v>
      </c>
      <c r="B277" s="725"/>
      <c r="C277" s="725"/>
      <c r="D277" s="725"/>
      <c r="E277" s="725"/>
      <c r="F277" s="725"/>
      <c r="G277" s="725"/>
      <c r="H277" s="725"/>
      <c r="I277" s="725"/>
      <c r="J277" s="726"/>
      <c r="K277" s="723">
        <f>K276/K275</f>
        <v>4.0348886215115794E-2</v>
      </c>
      <c r="L277" s="723"/>
      <c r="M277" s="723"/>
      <c r="N277" s="723"/>
    </row>
    <row r="278" spans="1:19" x14ac:dyDescent="0.25">
      <c r="B278" s="24"/>
      <c r="C278" s="24"/>
      <c r="D278" s="24"/>
      <c r="E278" s="24"/>
      <c r="F278" s="24"/>
      <c r="G278" s="24"/>
      <c r="H278" s="24"/>
      <c r="I278" s="24"/>
    </row>
    <row r="279" spans="1:19" x14ac:dyDescent="0.25">
      <c r="B279" s="729" t="s">
        <v>978</v>
      </c>
      <c r="C279" s="730"/>
      <c r="D279" s="730"/>
      <c r="E279" s="730"/>
      <c r="F279" s="730"/>
      <c r="G279" s="730"/>
      <c r="H279" s="730"/>
      <c r="I279" s="730"/>
      <c r="J279" s="730"/>
      <c r="K279" s="730"/>
      <c r="L279" s="730"/>
      <c r="M279" s="730"/>
      <c r="N279" s="730"/>
    </row>
    <row r="280" spans="1:19" x14ac:dyDescent="0.25">
      <c r="F280" s="24"/>
    </row>
    <row r="281" spans="1:19" ht="15.75" x14ac:dyDescent="0.25">
      <c r="F281" s="171" t="s">
        <v>979</v>
      </c>
    </row>
  </sheetData>
  <mergeCells count="20">
    <mergeCell ref="A1:N1"/>
    <mergeCell ref="A2:N2"/>
    <mergeCell ref="A274:N274"/>
    <mergeCell ref="K7:N7"/>
    <mergeCell ref="A3:N3"/>
    <mergeCell ref="A4:N4"/>
    <mergeCell ref="A6:N6"/>
    <mergeCell ref="A7:A8"/>
    <mergeCell ref="B7:B8"/>
    <mergeCell ref="C7:C8"/>
    <mergeCell ref="D7:D8"/>
    <mergeCell ref="E7:E8"/>
    <mergeCell ref="F7:I7"/>
    <mergeCell ref="K277:N277"/>
    <mergeCell ref="A276:J276"/>
    <mergeCell ref="A277:J277"/>
    <mergeCell ref="J7:J8"/>
    <mergeCell ref="B279:N279"/>
    <mergeCell ref="A275:J275"/>
    <mergeCell ref="K276:N276"/>
  </mergeCells>
  <hyperlinks>
    <hyperlink ref="B74" r:id="rId1" display="http://orse.cehop.se.gov.br/composicao.asp?font_sg_fonte=ORSE&amp;serv_nr_codigo=8269&amp;peri_nr_ano=2021&amp;peri_nr_mes=9&amp;peri_nr_ordem=1"/>
  </hyperlinks>
  <printOptions horizontalCentered="1"/>
  <pageMargins left="0.31496062992125984" right="0.31496062992125984" top="1.1811023622047245" bottom="0.78740157480314965" header="0.31496062992125984" footer="0.31496062992125984"/>
  <pageSetup paperSize="9" scale="51" fitToHeight="0" orientation="landscape" r:id="rId2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opLeftCell="A4" workbookViewId="0">
      <selection activeCell="I9" sqref="I9"/>
    </sheetView>
  </sheetViews>
  <sheetFormatPr defaultRowHeight="15" x14ac:dyDescent="0.25"/>
  <cols>
    <col min="4" max="4" width="83.5703125" customWidth="1"/>
    <col min="6" max="6" width="10.5703125" customWidth="1"/>
    <col min="7" max="7" width="13.7109375" customWidth="1"/>
    <col min="8" max="8" width="15.140625" customWidth="1"/>
    <col min="9" max="9" width="15.28515625" customWidth="1"/>
  </cols>
  <sheetData>
    <row r="1" spans="1:9" ht="18.75" customHeight="1" x14ac:dyDescent="0.25">
      <c r="A1" s="757" t="s">
        <v>324</v>
      </c>
      <c r="B1" s="757"/>
      <c r="C1" s="757"/>
      <c r="D1" s="757"/>
      <c r="E1" s="757"/>
      <c r="F1" s="757"/>
      <c r="G1" s="757"/>
      <c r="H1" s="757"/>
      <c r="I1" s="757"/>
    </row>
    <row r="2" spans="1:9" x14ac:dyDescent="0.25">
      <c r="A2" s="754" t="s">
        <v>51</v>
      </c>
      <c r="B2" s="754"/>
      <c r="C2" s="754"/>
      <c r="D2" s="754"/>
      <c r="E2" s="754"/>
      <c r="F2" s="755">
        <v>1218914.45</v>
      </c>
      <c r="G2" s="755"/>
      <c r="H2" s="755"/>
      <c r="I2" s="755"/>
    </row>
    <row r="3" spans="1:9" x14ac:dyDescent="0.25">
      <c r="A3" s="754" t="s">
        <v>52</v>
      </c>
      <c r="B3" s="754"/>
      <c r="C3" s="754"/>
      <c r="D3" s="754"/>
      <c r="E3" s="754"/>
      <c r="F3" s="755">
        <v>1188434.56</v>
      </c>
      <c r="G3" s="755"/>
      <c r="H3" s="755"/>
      <c r="I3" s="755"/>
    </row>
    <row r="4" spans="1:9" x14ac:dyDescent="0.25">
      <c r="A4" s="754" t="s">
        <v>53</v>
      </c>
      <c r="B4" s="754"/>
      <c r="C4" s="754"/>
      <c r="D4" s="754"/>
      <c r="E4" s="754"/>
      <c r="F4" s="755">
        <v>30479.889999999898</v>
      </c>
      <c r="G4" s="755"/>
      <c r="H4" s="755"/>
      <c r="I4" s="755"/>
    </row>
    <row r="5" spans="1:9" x14ac:dyDescent="0.25">
      <c r="A5" s="754" t="s">
        <v>54</v>
      </c>
      <c r="B5" s="754"/>
      <c r="C5" s="754"/>
      <c r="D5" s="754"/>
      <c r="E5" s="754"/>
      <c r="F5" s="756">
        <v>2.5005766401407333E-2</v>
      </c>
      <c r="G5" s="756"/>
      <c r="H5" s="756"/>
      <c r="I5" s="756"/>
    </row>
    <row r="6" spans="1:9" ht="50.45" customHeight="1" x14ac:dyDescent="0.25">
      <c r="A6" s="349" t="s">
        <v>8</v>
      </c>
      <c r="B6" s="349" t="s">
        <v>55</v>
      </c>
      <c r="C6" s="349" t="s">
        <v>11</v>
      </c>
      <c r="D6" s="349" t="s">
        <v>56</v>
      </c>
      <c r="E6" s="349" t="s">
        <v>57</v>
      </c>
      <c r="F6" s="350" t="s">
        <v>58</v>
      </c>
      <c r="G6" s="351" t="s">
        <v>79</v>
      </c>
      <c r="H6" s="348" t="s">
        <v>59</v>
      </c>
      <c r="I6" s="348" t="s">
        <v>60</v>
      </c>
    </row>
    <row r="7" spans="1:9" ht="25.5" x14ac:dyDescent="0.25">
      <c r="A7" s="354" t="s">
        <v>857</v>
      </c>
      <c r="B7" s="356" t="s">
        <v>323</v>
      </c>
      <c r="C7" s="357">
        <v>12953</v>
      </c>
      <c r="D7" s="361" t="s">
        <v>858</v>
      </c>
      <c r="E7" s="357" t="s">
        <v>400</v>
      </c>
      <c r="F7" s="358">
        <v>801.33</v>
      </c>
      <c r="G7" s="359">
        <f>0.025*F7</f>
        <v>20.033250000000002</v>
      </c>
      <c r="H7" s="359">
        <f>F7-G7</f>
        <v>781.29675000000009</v>
      </c>
      <c r="I7" s="359">
        <f>H7*1.2735</f>
        <v>994.98141112500014</v>
      </c>
    </row>
    <row r="8" spans="1:9" x14ac:dyDescent="0.25">
      <c r="A8" s="354" t="s">
        <v>859</v>
      </c>
      <c r="B8" s="356" t="s">
        <v>80</v>
      </c>
      <c r="C8" s="355" t="s">
        <v>860</v>
      </c>
      <c r="D8" s="362" t="s">
        <v>861</v>
      </c>
      <c r="E8" s="355" t="s">
        <v>78</v>
      </c>
      <c r="F8" s="359" t="s">
        <v>862</v>
      </c>
      <c r="G8" s="359">
        <f t="shared" ref="G8:G14" si="0">0.025*F8</f>
        <v>0.76224999999999998</v>
      </c>
      <c r="H8" s="359">
        <f t="shared" ref="H8:H12" si="1">F8-G8</f>
        <v>29.727749999999997</v>
      </c>
      <c r="I8" s="359">
        <f t="shared" ref="I8:I14" si="2">H8*1.2735</f>
        <v>37.858289624999998</v>
      </c>
    </row>
    <row r="9" spans="1:9" ht="38.25" x14ac:dyDescent="0.25">
      <c r="A9" s="354" t="s">
        <v>863</v>
      </c>
      <c r="B9" s="356" t="s">
        <v>323</v>
      </c>
      <c r="C9" s="357">
        <v>9605</v>
      </c>
      <c r="D9" s="361" t="s">
        <v>864</v>
      </c>
      <c r="E9" s="357" t="s">
        <v>400</v>
      </c>
      <c r="F9" s="358">
        <v>183.63</v>
      </c>
      <c r="G9" s="359">
        <f t="shared" si="0"/>
        <v>4.5907499999999999</v>
      </c>
      <c r="H9" s="359">
        <f t="shared" si="1"/>
        <v>179.03924999999998</v>
      </c>
      <c r="I9" s="359">
        <f t="shared" si="2"/>
        <v>228.00648487499998</v>
      </c>
    </row>
    <row r="10" spans="1:9" x14ac:dyDescent="0.25">
      <c r="A10" s="360" t="s">
        <v>865</v>
      </c>
      <c r="B10" s="356" t="s">
        <v>323</v>
      </c>
      <c r="C10" s="357">
        <v>13095</v>
      </c>
      <c r="D10" s="363" t="s">
        <v>866</v>
      </c>
      <c r="E10" s="357" t="s">
        <v>400</v>
      </c>
      <c r="F10" s="358">
        <v>520</v>
      </c>
      <c r="G10" s="359">
        <f t="shared" si="0"/>
        <v>13</v>
      </c>
      <c r="H10" s="359">
        <f t="shared" si="1"/>
        <v>507</v>
      </c>
      <c r="I10" s="359">
        <f t="shared" si="2"/>
        <v>645.66450000000009</v>
      </c>
    </row>
    <row r="11" spans="1:9" ht="39.75" customHeight="1" x14ac:dyDescent="0.25">
      <c r="A11" s="360" t="s">
        <v>868</v>
      </c>
      <c r="B11" s="356" t="s">
        <v>80</v>
      </c>
      <c r="C11" s="355" t="s">
        <v>869</v>
      </c>
      <c r="D11" s="523" t="s">
        <v>870</v>
      </c>
      <c r="E11" s="355" t="s">
        <v>67</v>
      </c>
      <c r="F11" s="355" t="s">
        <v>871</v>
      </c>
      <c r="G11" s="359">
        <f t="shared" si="0"/>
        <v>1.69025</v>
      </c>
      <c r="H11" s="359">
        <f t="shared" si="1"/>
        <v>65.919749999999993</v>
      </c>
      <c r="I11" s="359">
        <f t="shared" si="2"/>
        <v>83.948801625000002</v>
      </c>
    </row>
    <row r="12" spans="1:9" s="510" customFormat="1" ht="37.5" customHeight="1" x14ac:dyDescent="0.25">
      <c r="A12" s="360"/>
      <c r="B12" s="356" t="s">
        <v>80</v>
      </c>
      <c r="C12" s="355">
        <v>89849</v>
      </c>
      <c r="D12" s="523" t="s">
        <v>958</v>
      </c>
      <c r="E12" s="355" t="s">
        <v>67</v>
      </c>
      <c r="F12" s="355">
        <v>57.89</v>
      </c>
      <c r="G12" s="359">
        <f t="shared" si="0"/>
        <v>1.4472500000000001</v>
      </c>
      <c r="H12" s="359">
        <f t="shared" si="1"/>
        <v>56.442750000000004</v>
      </c>
      <c r="I12" s="359">
        <f t="shared" si="2"/>
        <v>71.87984212500001</v>
      </c>
    </row>
    <row r="13" spans="1:9" s="510" customFormat="1" ht="25.5" x14ac:dyDescent="0.25">
      <c r="A13" s="360"/>
      <c r="B13" s="356" t="s">
        <v>80</v>
      </c>
      <c r="C13" s="355">
        <v>99253</v>
      </c>
      <c r="D13" s="523" t="s">
        <v>962</v>
      </c>
      <c r="E13" s="355" t="s">
        <v>961</v>
      </c>
      <c r="F13" s="355">
        <v>445.39</v>
      </c>
      <c r="G13" s="359">
        <f t="shared" si="0"/>
        <v>11.13475</v>
      </c>
      <c r="H13" s="359">
        <f t="shared" ref="H13:H14" si="3">F13-G13</f>
        <v>434.25524999999999</v>
      </c>
      <c r="I13" s="359">
        <f t="shared" si="2"/>
        <v>553.02406087500003</v>
      </c>
    </row>
    <row r="14" spans="1:9" s="510" customFormat="1" x14ac:dyDescent="0.25">
      <c r="A14" s="360"/>
      <c r="B14" s="356" t="s">
        <v>80</v>
      </c>
      <c r="C14" s="355">
        <v>95305</v>
      </c>
      <c r="D14" s="362" t="s">
        <v>977</v>
      </c>
      <c r="E14" s="355" t="s">
        <v>78</v>
      </c>
      <c r="F14" s="355">
        <v>11.54</v>
      </c>
      <c r="G14" s="359">
        <f t="shared" si="0"/>
        <v>0.28849999999999998</v>
      </c>
      <c r="H14" s="359">
        <f t="shared" si="3"/>
        <v>11.2515</v>
      </c>
      <c r="I14" s="359">
        <f t="shared" si="2"/>
        <v>14.328785250000001</v>
      </c>
    </row>
    <row r="15" spans="1:9" s="510" customFormat="1" x14ac:dyDescent="0.25">
      <c r="A15" s="360"/>
      <c r="B15" s="356"/>
      <c r="C15" s="355"/>
      <c r="D15" s="362"/>
      <c r="E15" s="355"/>
      <c r="F15" s="355"/>
      <c r="G15" s="359"/>
      <c r="H15" s="359"/>
      <c r="I15" s="359"/>
    </row>
    <row r="16" spans="1:9" s="510" customFormat="1" x14ac:dyDescent="0.25">
      <c r="A16" s="360"/>
      <c r="B16" s="356"/>
      <c r="C16" s="355"/>
      <c r="D16" s="362"/>
      <c r="E16" s="355"/>
      <c r="F16" s="355"/>
      <c r="G16" s="359"/>
      <c r="H16" s="359"/>
      <c r="I16" s="359"/>
    </row>
    <row r="17" spans="1:9" s="510" customFormat="1" x14ac:dyDescent="0.25">
      <c r="A17" s="360"/>
      <c r="B17" s="356"/>
      <c r="C17" s="355"/>
      <c r="D17" s="362"/>
      <c r="E17" s="355"/>
      <c r="F17" s="355"/>
      <c r="G17" s="359"/>
      <c r="H17" s="359"/>
      <c r="I17" s="359"/>
    </row>
    <row r="18" spans="1:9" s="510" customFormat="1" x14ac:dyDescent="0.25">
      <c r="A18" s="360"/>
      <c r="B18" s="356"/>
      <c r="C18" s="355"/>
      <c r="D18" s="362"/>
      <c r="E18" s="355"/>
      <c r="F18" s="355"/>
      <c r="G18" s="359"/>
      <c r="H18" s="359"/>
      <c r="I18" s="359"/>
    </row>
    <row r="19" spans="1:9" x14ac:dyDescent="0.25">
      <c r="A19" s="34"/>
      <c r="B19" s="21"/>
      <c r="C19" s="23"/>
      <c r="D19" s="64"/>
      <c r="E19" s="23"/>
      <c r="F19" s="22"/>
      <c r="G19" s="151"/>
      <c r="H19" s="22"/>
      <c r="I19" s="22"/>
    </row>
    <row r="20" spans="1:9" x14ac:dyDescent="0.25">
      <c r="D20" s="152" t="s">
        <v>397</v>
      </c>
    </row>
    <row r="21" spans="1:9" x14ac:dyDescent="0.25">
      <c r="D21" t="s">
        <v>395</v>
      </c>
    </row>
    <row r="22" spans="1:9" x14ac:dyDescent="0.25">
      <c r="D22" t="s">
        <v>396</v>
      </c>
    </row>
    <row r="23" spans="1:9" x14ac:dyDescent="0.25">
      <c r="D23" t="s">
        <v>398</v>
      </c>
    </row>
  </sheetData>
  <mergeCells count="9">
    <mergeCell ref="A4:E4"/>
    <mergeCell ref="F4:I4"/>
    <mergeCell ref="A5:E5"/>
    <mergeCell ref="F5:I5"/>
    <mergeCell ref="A1:I1"/>
    <mergeCell ref="A2:E2"/>
    <mergeCell ref="F2:I2"/>
    <mergeCell ref="A3:E3"/>
    <mergeCell ref="F3:I3"/>
  </mergeCells>
  <hyperlinks>
    <hyperlink ref="C7" r:id="rId1" display="http://orse.cehop.se.gov.br/composicao.asp?font_sg_fonte=ORSE&amp;serv_nr_codigo=12953&amp;peri_nr_ano=2021&amp;peri_nr_mes=9&amp;peri_nr_ordem=1"/>
    <hyperlink ref="D7" r:id="rId2" display="http://orse.cehop.se.gov.br/composicao.asp?font_sg_fonte=ORSE&amp;serv_nr_codigo=12953&amp;peri_nr_ano=2021&amp;peri_nr_mes=9&amp;peri_nr_ordem=1"/>
    <hyperlink ref="E7" r:id="rId3" display="http://orse.cehop.se.gov.br/composicao.asp?font_sg_fonte=ORSE&amp;serv_nr_codigo=12953&amp;peri_nr_ano=2021&amp;peri_nr_mes=9&amp;peri_nr_ordem=1"/>
    <hyperlink ref="F7" r:id="rId4" display="http://orse.cehop.se.gov.br/composicao.asp?font_sg_fonte=ORSE&amp;serv_nr_codigo=12953&amp;peri_nr_ano=2021&amp;peri_nr_mes=9&amp;peri_nr_ordem=1"/>
    <hyperlink ref="C9" r:id="rId5" display="http://orse.cehop.se.gov.br/composicao.asp?font_sg_fonte=ORSE&amp;serv_nr_codigo=9605&amp;peri_nr_ano=2021&amp;peri_nr_mes=9&amp;peri_nr_ordem=1"/>
    <hyperlink ref="D9" r:id="rId6" display="http://orse.cehop.se.gov.br/composicao.asp?font_sg_fonte=ORSE&amp;serv_nr_codigo=9605&amp;peri_nr_ano=2021&amp;peri_nr_mes=9&amp;peri_nr_ordem=1"/>
    <hyperlink ref="E9" r:id="rId7" display="http://orse.cehop.se.gov.br/composicao.asp?font_sg_fonte=ORSE&amp;serv_nr_codigo=9605&amp;peri_nr_ano=2021&amp;peri_nr_mes=9&amp;peri_nr_ordem=1"/>
    <hyperlink ref="F9" r:id="rId8" display="http://orse.cehop.se.gov.br/composicao.asp?font_sg_fonte=ORSE&amp;serv_nr_codigo=9605&amp;peri_nr_ano=2021&amp;peri_nr_mes=9&amp;peri_nr_ordem=1"/>
    <hyperlink ref="C10" r:id="rId9" display="https://app.orcafascio.com/banco/orse/composicoes/6193ce0be64d1e3aafe77f24"/>
    <hyperlink ref="E10" r:id="rId10" display="http://orse.cehop.se.gov.br/composicao.asp?font_sg_fonte=ORSE&amp;serv_nr_codigo=9605&amp;peri_nr_ano=2021&amp;peri_nr_mes=9&amp;peri_nr_ordem=1"/>
    <hyperlink ref="F10" r:id="rId11" display="http://orse.cehop.se.gov.br/composicao.asp?font_sg_fonte=ORSE&amp;serv_nr_codigo=9605&amp;peri_nr_ano=2021&amp;peri_nr_mes=9&amp;peri_nr_ordem=1"/>
  </hyperlinks>
  <printOptions horizontalCentered="1"/>
  <pageMargins left="0.31496062992125984" right="0.31496062992125984" top="0.78740157480314965" bottom="0.78740157480314965" header="0.31496062992125984" footer="0.31496062992125984"/>
  <pageSetup paperSize="9" scale="80" orientation="landscape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3"/>
  <sheetViews>
    <sheetView workbookViewId="0">
      <selection activeCell="G9" sqref="G9:H9"/>
    </sheetView>
  </sheetViews>
  <sheetFormatPr defaultRowHeight="15" x14ac:dyDescent="0.25"/>
  <cols>
    <col min="3" max="3" width="21.28515625" customWidth="1"/>
    <col min="5" max="5" width="14.7109375" customWidth="1"/>
    <col min="6" max="6" width="15.7109375" customWidth="1"/>
    <col min="7" max="7" width="15.42578125" customWidth="1"/>
    <col min="8" max="8" width="14.7109375" customWidth="1"/>
    <col min="9" max="9" width="19.5703125" customWidth="1"/>
  </cols>
  <sheetData>
    <row r="5" spans="3:9" x14ac:dyDescent="0.25">
      <c r="C5" t="s">
        <v>986</v>
      </c>
      <c r="E5" s="758" t="s">
        <v>980</v>
      </c>
      <c r="F5" s="758"/>
      <c r="G5" s="758" t="s">
        <v>983</v>
      </c>
      <c r="H5" s="758"/>
    </row>
    <row r="6" spans="3:9" x14ac:dyDescent="0.25">
      <c r="E6" s="549" t="s">
        <v>981</v>
      </c>
      <c r="F6" s="549" t="s">
        <v>982</v>
      </c>
      <c r="G6" s="549" t="s">
        <v>981</v>
      </c>
      <c r="H6" s="549" t="s">
        <v>982</v>
      </c>
    </row>
    <row r="7" spans="3:9" x14ac:dyDescent="0.25">
      <c r="C7" s="550">
        <v>1188434.48</v>
      </c>
      <c r="D7" t="s">
        <v>984</v>
      </c>
      <c r="E7" s="550">
        <v>-128839.978</v>
      </c>
      <c r="F7" s="550">
        <v>191414.97379999969</v>
      </c>
      <c r="G7" s="550">
        <v>-104075.37619500044</v>
      </c>
      <c r="H7" s="550">
        <v>154552.21535755161</v>
      </c>
    </row>
    <row r="8" spans="3:9" x14ac:dyDescent="0.25">
      <c r="D8" t="s">
        <v>985</v>
      </c>
      <c r="E8" s="551">
        <f>E7/C7</f>
        <v>-0.10841151125133966</v>
      </c>
      <c r="F8" s="551">
        <f>F7/C7</f>
        <v>0.16106481006845214</v>
      </c>
      <c r="G8" s="551">
        <f>G7/C7</f>
        <v>-8.7573507792369373E-2</v>
      </c>
      <c r="H8" s="551">
        <f>H7/C7</f>
        <v>0.13004689611290277</v>
      </c>
    </row>
    <row r="9" spans="3:9" x14ac:dyDescent="0.25">
      <c r="E9" s="759">
        <f>C7+E7+F7</f>
        <v>1251009.4757999997</v>
      </c>
      <c r="F9" s="758"/>
      <c r="G9" s="759">
        <f>E9+G7+H7</f>
        <v>1301486.3149625508</v>
      </c>
      <c r="H9" s="758"/>
      <c r="I9" t="s">
        <v>987</v>
      </c>
    </row>
    <row r="12" spans="3:9" x14ac:dyDescent="0.25">
      <c r="E12" s="549" t="s">
        <v>981</v>
      </c>
      <c r="G12" s="549" t="s">
        <v>982</v>
      </c>
    </row>
    <row r="13" spans="3:9" x14ac:dyDescent="0.25">
      <c r="E13" s="552">
        <f>E8+G8</f>
        <v>-0.19598501904370902</v>
      </c>
      <c r="G13" s="552">
        <f>F8+H8</f>
        <v>0.2911117061813549</v>
      </c>
    </row>
  </sheetData>
  <mergeCells count="4">
    <mergeCell ref="E5:F5"/>
    <mergeCell ref="G5:H5"/>
    <mergeCell ref="E9:F9"/>
    <mergeCell ref="G9:H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0"/>
  <sheetViews>
    <sheetView topLeftCell="A340" zoomScale="85" zoomScaleNormal="85" workbookViewId="0">
      <selection activeCell="G778" sqref="G778"/>
    </sheetView>
  </sheetViews>
  <sheetFormatPr defaultColWidth="9.140625" defaultRowHeight="12.6" customHeight="1" x14ac:dyDescent="0.2"/>
  <cols>
    <col min="1" max="1" width="6.85546875" style="1" bestFit="1" customWidth="1"/>
    <col min="2" max="2" width="16" style="1" customWidth="1"/>
    <col min="3" max="3" width="14.42578125" style="1" customWidth="1"/>
    <col min="4" max="4" width="6.85546875" style="1" bestFit="1" customWidth="1"/>
    <col min="5" max="5" width="9.5703125" style="1" customWidth="1"/>
    <col min="6" max="6" width="9" style="1" customWidth="1"/>
    <col min="7" max="7" width="11.28515625" style="1" customWidth="1"/>
    <col min="8" max="8" width="10.7109375" style="1" customWidth="1"/>
    <col min="9" max="9" width="10.28515625" style="1" customWidth="1"/>
    <col min="10" max="10" width="11.5703125" style="1" customWidth="1"/>
    <col min="11" max="11" width="9.7109375" style="1" customWidth="1"/>
    <col min="12" max="12" width="9.28515625" style="1" bestFit="1" customWidth="1"/>
    <col min="13" max="13" width="6.140625" style="1" bestFit="1" customWidth="1"/>
    <col min="14" max="14" width="16.5703125" style="1" bestFit="1" customWidth="1"/>
    <col min="15" max="15" width="19.42578125" style="1" customWidth="1"/>
    <col min="16" max="16" width="11.28515625" style="1" customWidth="1"/>
    <col min="17" max="16384" width="9.140625" style="1"/>
  </cols>
  <sheetData>
    <row r="1" spans="1:14" ht="16.5" thickBot="1" x14ac:dyDescent="0.25">
      <c r="A1" s="825"/>
      <c r="B1" s="826"/>
      <c r="C1" s="831" t="s">
        <v>338</v>
      </c>
      <c r="D1" s="832"/>
      <c r="E1" s="832"/>
      <c r="F1" s="832"/>
      <c r="G1" s="832"/>
      <c r="H1" s="832"/>
      <c r="I1" s="832"/>
      <c r="J1" s="832"/>
      <c r="K1" s="832"/>
      <c r="L1" s="832"/>
      <c r="M1" s="833"/>
    </row>
    <row r="2" spans="1:14" ht="12.75" x14ac:dyDescent="0.2">
      <c r="A2" s="827"/>
      <c r="B2" s="828"/>
      <c r="C2" s="834" t="s">
        <v>3</v>
      </c>
      <c r="D2" s="835"/>
      <c r="E2" s="835"/>
      <c r="F2" s="835"/>
      <c r="G2" s="836"/>
      <c r="H2" s="834" t="s">
        <v>339</v>
      </c>
      <c r="I2" s="835"/>
      <c r="J2" s="835"/>
      <c r="K2" s="835"/>
      <c r="L2" s="835"/>
      <c r="M2" s="836"/>
    </row>
    <row r="3" spans="1:14" ht="13.5" thickBot="1" x14ac:dyDescent="0.25">
      <c r="A3" s="827"/>
      <c r="B3" s="828"/>
      <c r="C3" s="837" t="s">
        <v>19</v>
      </c>
      <c r="D3" s="838"/>
      <c r="E3" s="838"/>
      <c r="F3" s="838"/>
      <c r="G3" s="839"/>
      <c r="H3" s="840" t="s">
        <v>4</v>
      </c>
      <c r="I3" s="838"/>
      <c r="J3" s="838"/>
      <c r="K3" s="838"/>
      <c r="L3" s="838"/>
      <c r="M3" s="839"/>
    </row>
    <row r="4" spans="1:14" ht="12.75" x14ac:dyDescent="0.2">
      <c r="A4" s="827"/>
      <c r="B4" s="828"/>
      <c r="C4" s="834" t="s">
        <v>2</v>
      </c>
      <c r="D4" s="835"/>
      <c r="E4" s="835"/>
      <c r="F4" s="835"/>
      <c r="G4" s="836"/>
      <c r="H4" s="841" t="s">
        <v>340</v>
      </c>
      <c r="I4" s="842"/>
      <c r="J4" s="842"/>
      <c r="K4" s="843"/>
      <c r="L4" s="89"/>
      <c r="M4" s="90"/>
    </row>
    <row r="5" spans="1:14" ht="13.5" thickBot="1" x14ac:dyDescent="0.25">
      <c r="A5" s="829"/>
      <c r="B5" s="830"/>
      <c r="C5" s="844" t="s">
        <v>20</v>
      </c>
      <c r="D5" s="845"/>
      <c r="E5" s="845"/>
      <c r="F5" s="845"/>
      <c r="G5" s="846"/>
      <c r="H5" s="847"/>
      <c r="I5" s="848"/>
      <c r="J5" s="848"/>
      <c r="K5" s="849"/>
      <c r="L5" s="91"/>
      <c r="M5" s="92"/>
    </row>
    <row r="6" spans="1:14" ht="13.5" thickBo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ht="12.75" x14ac:dyDescent="0.2">
      <c r="A7" s="804" t="s">
        <v>6</v>
      </c>
      <c r="B7" s="806" t="s">
        <v>341</v>
      </c>
      <c r="C7" s="807"/>
      <c r="D7" s="810" t="s">
        <v>342</v>
      </c>
      <c r="E7" s="817" t="s">
        <v>343</v>
      </c>
      <c r="F7" s="818"/>
      <c r="G7" s="818"/>
      <c r="H7" s="818"/>
      <c r="I7" s="818"/>
      <c r="J7" s="819"/>
      <c r="K7" s="817" t="s">
        <v>344</v>
      </c>
      <c r="L7" s="819"/>
      <c r="M7" s="823" t="s">
        <v>345</v>
      </c>
      <c r="N7" s="2"/>
    </row>
    <row r="8" spans="1:14" ht="13.5" thickBot="1" x14ac:dyDescent="0.25">
      <c r="A8" s="805"/>
      <c r="B8" s="808"/>
      <c r="C8" s="809"/>
      <c r="D8" s="811"/>
      <c r="E8" s="93" t="s">
        <v>346</v>
      </c>
      <c r="F8" s="93" t="s">
        <v>347</v>
      </c>
      <c r="G8" s="93" t="s">
        <v>348</v>
      </c>
      <c r="H8" s="93" t="s">
        <v>349</v>
      </c>
      <c r="I8" s="93" t="s">
        <v>350</v>
      </c>
      <c r="J8" s="93" t="s">
        <v>351</v>
      </c>
      <c r="K8" s="93" t="s">
        <v>352</v>
      </c>
      <c r="L8" s="93" t="s">
        <v>353</v>
      </c>
      <c r="M8" s="824"/>
      <c r="N8" s="2"/>
    </row>
    <row r="9" spans="1:14" ht="13.5" thickBot="1" x14ac:dyDescent="0.25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ht="13.5" thickBot="1" x14ac:dyDescent="0.25">
      <c r="A10" s="97" t="str">
        <f>'[4]Orçamento Sintético'!A8</f>
        <v>1.0</v>
      </c>
      <c r="B10" s="98" t="str">
        <f>'[4]Orçamento Sintético'!B8</f>
        <v>DEMOLIÇÕES/RETIRADAS/SERVIÇOS PRELIMINARES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9"/>
    </row>
    <row r="11" spans="1:14" ht="12.75" x14ac:dyDescent="0.2">
      <c r="A11" s="100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2"/>
    </row>
    <row r="12" spans="1:14" s="108" customFormat="1" ht="12.75" x14ac:dyDescent="0.2">
      <c r="A12" s="103" t="str">
        <f>REPROGRAMAÇÃO!A17</f>
        <v>1.7</v>
      </c>
      <c r="B12" s="104" t="str">
        <f>REPROGRAMAÇÃO!B17</f>
        <v>DEMOLIÇÃO DE LAJES, DE FORMA MECANIZADA COM MARTELETE, SEM REAPROVEITAMENTO. AF_12/2017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6"/>
      <c r="M12" s="107" t="s">
        <v>806</v>
      </c>
    </row>
    <row r="13" spans="1:14" ht="12.75" x14ac:dyDescent="0.2">
      <c r="A13" s="109"/>
      <c r="B13" s="235" t="s">
        <v>805</v>
      </c>
      <c r="C13" s="236"/>
      <c r="D13" s="237"/>
      <c r="E13" s="237"/>
      <c r="F13" s="237"/>
      <c r="G13" s="237"/>
      <c r="H13" s="237"/>
      <c r="I13" s="237"/>
      <c r="J13" s="237"/>
      <c r="K13" s="237"/>
      <c r="L13" s="238">
        <f>SUM(L14:L16)</f>
        <v>7.06</v>
      </c>
      <c r="M13" s="112"/>
    </row>
    <row r="14" spans="1:14" ht="12.75" x14ac:dyDescent="0.2">
      <c r="A14" s="109"/>
      <c r="B14" s="235" t="s">
        <v>803</v>
      </c>
      <c r="C14" s="236"/>
      <c r="D14" s="237">
        <v>1</v>
      </c>
      <c r="E14" s="237">
        <v>16</v>
      </c>
      <c r="F14" s="237"/>
      <c r="G14" s="237">
        <v>1.95</v>
      </c>
      <c r="H14" s="237"/>
      <c r="I14" s="237">
        <v>0.17</v>
      </c>
      <c r="J14" s="237"/>
      <c r="K14" s="237">
        <f>E14*G14*I14</f>
        <v>5.3040000000000003</v>
      </c>
      <c r="L14" s="237">
        <f>ROUND(K14*D14,2)</f>
        <v>5.3</v>
      </c>
      <c r="M14" s="112"/>
    </row>
    <row r="15" spans="1:14" s="108" customFormat="1" ht="12.75" x14ac:dyDescent="0.2">
      <c r="A15" s="109"/>
      <c r="B15" s="235" t="s">
        <v>804</v>
      </c>
      <c r="C15" s="237"/>
      <c r="D15" s="237">
        <v>2</v>
      </c>
      <c r="E15" s="237">
        <v>1.4</v>
      </c>
      <c r="F15" s="237"/>
      <c r="G15" s="237">
        <v>3.7</v>
      </c>
      <c r="H15" s="237"/>
      <c r="I15" s="237">
        <v>0.17</v>
      </c>
      <c r="J15" s="237"/>
      <c r="K15" s="237">
        <f>E15*G15*I15</f>
        <v>0.88060000000000005</v>
      </c>
      <c r="L15" s="237">
        <f>ROUND(K15*D15,2)</f>
        <v>1.76</v>
      </c>
      <c r="M15" s="112"/>
    </row>
    <row r="16" spans="1:14" ht="13.5" thickBot="1" x14ac:dyDescent="0.25">
      <c r="A16" s="100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2"/>
    </row>
    <row r="17" spans="1:13" ht="13.5" thickBot="1" x14ac:dyDescent="0.25">
      <c r="A17" s="97" t="s">
        <v>807</v>
      </c>
      <c r="B17" s="98" t="str">
        <f>REPROGRAMAÇÃO!B23</f>
        <v>INFRAESTRUTURA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9"/>
    </row>
    <row r="18" spans="1:13" ht="12.75" x14ac:dyDescent="0.2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2"/>
    </row>
    <row r="19" spans="1:13" s="108" customFormat="1" ht="24.75" customHeight="1" x14ac:dyDescent="0.2">
      <c r="A19" s="103" t="s">
        <v>432</v>
      </c>
      <c r="B19" s="812" t="str">
        <f>REPROGRAMAÇÃO!B25</f>
        <v>ESCAVAÇÃO MANUAL PARA BLOCO DE COROAMENTO OU SAPATA (INCLUINDO ESCAVAÇÃO PARA COLOCAÇÃO DE FÔRMAS). AF_06/2017</v>
      </c>
      <c r="C19" s="813"/>
      <c r="D19" s="813"/>
      <c r="E19" s="813"/>
      <c r="F19" s="813"/>
      <c r="G19" s="813"/>
      <c r="H19" s="813"/>
      <c r="I19" s="813"/>
      <c r="J19" s="813"/>
      <c r="K19" s="814"/>
      <c r="L19" s="106">
        <f>SUM(L20:L21)</f>
        <v>4.8</v>
      </c>
      <c r="M19" s="107" t="str">
        <f>'[4]Orçamento Sintético'!C13</f>
        <v>m³</v>
      </c>
    </row>
    <row r="20" spans="1:13" ht="12.75" x14ac:dyDescent="0.2">
      <c r="A20" s="109"/>
      <c r="B20" s="778" t="s">
        <v>808</v>
      </c>
      <c r="C20" s="779"/>
      <c r="D20" s="110"/>
      <c r="E20" s="110"/>
      <c r="F20" s="110"/>
      <c r="G20" s="110"/>
      <c r="H20" s="110"/>
      <c r="I20" s="110"/>
      <c r="J20" s="111"/>
      <c r="K20" s="111"/>
      <c r="L20" s="110"/>
      <c r="M20" s="112"/>
    </row>
    <row r="21" spans="1:13" ht="12.75" x14ac:dyDescent="0.2">
      <c r="A21" s="109"/>
      <c r="B21" s="778" t="s">
        <v>368</v>
      </c>
      <c r="C21" s="779"/>
      <c r="D21" s="110">
        <v>6</v>
      </c>
      <c r="E21" s="110">
        <v>1</v>
      </c>
      <c r="F21" s="110"/>
      <c r="G21" s="110">
        <v>1</v>
      </c>
      <c r="H21" s="110"/>
      <c r="I21" s="110">
        <v>0.8</v>
      </c>
      <c r="J21" s="111"/>
      <c r="K21" s="111">
        <f t="shared" ref="K21" si="0">I21*G21*E21</f>
        <v>0.8</v>
      </c>
      <c r="L21" s="110">
        <f t="shared" ref="L21" si="1">ROUND(D21*K21,2)</f>
        <v>4.8</v>
      </c>
      <c r="M21" s="112"/>
    </row>
    <row r="22" spans="1:13" ht="12.75" x14ac:dyDescent="0.2">
      <c r="A22" s="100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2"/>
    </row>
    <row r="23" spans="1:13" s="108" customFormat="1" ht="24.75" customHeight="1" x14ac:dyDescent="0.2">
      <c r="A23" s="103" t="str">
        <f>REPROGRAMAÇÃO!A27</f>
        <v>2.4</v>
      </c>
      <c r="B23" s="820" t="str">
        <f>REPROGRAMAÇÃO!B27</f>
        <v>LASTRO DE CONCRETO MAGRO, APLICADO EM PISOS, LAJES SOBRE SOLO OU RADIERS, ESPESSURA DE 5 CM. AF_07/2016</v>
      </c>
      <c r="C23" s="821"/>
      <c r="D23" s="821"/>
      <c r="E23" s="821"/>
      <c r="F23" s="821"/>
      <c r="G23" s="821"/>
      <c r="H23" s="821"/>
      <c r="I23" s="821"/>
      <c r="J23" s="821"/>
      <c r="K23" s="822"/>
      <c r="L23" s="106"/>
      <c r="M23" s="107" t="s">
        <v>0</v>
      </c>
    </row>
    <row r="24" spans="1:13" ht="12.75" x14ac:dyDescent="0.2">
      <c r="A24" s="109"/>
      <c r="B24" s="762" t="s">
        <v>133</v>
      </c>
      <c r="C24" s="763"/>
      <c r="D24" s="249"/>
      <c r="E24" s="249"/>
      <c r="F24" s="249"/>
      <c r="G24" s="249"/>
      <c r="H24" s="249"/>
      <c r="I24" s="249"/>
      <c r="J24" s="250"/>
      <c r="K24" s="250"/>
      <c r="L24" s="249">
        <f>REPROGRAMAÇÃO!F27</f>
        <v>45.52</v>
      </c>
      <c r="M24" s="112"/>
    </row>
    <row r="25" spans="1:13" ht="12.75" customHeight="1" x14ac:dyDescent="0.2">
      <c r="A25" s="239"/>
      <c r="B25" s="764" t="s">
        <v>812</v>
      </c>
      <c r="C25" s="765"/>
      <c r="D25" s="251"/>
      <c r="E25" s="251"/>
      <c r="F25" s="251"/>
      <c r="G25" s="251"/>
      <c r="H25" s="251"/>
      <c r="I25" s="251"/>
      <c r="J25" s="252"/>
      <c r="K25" s="252"/>
      <c r="L25" s="251">
        <f>SUM(L27:L53)</f>
        <v>51.07</v>
      </c>
      <c r="M25" s="112"/>
    </row>
    <row r="26" spans="1:13" ht="12.75" customHeight="1" x14ac:dyDescent="0.2">
      <c r="A26" s="242"/>
      <c r="B26" s="253" t="s">
        <v>813</v>
      </c>
      <c r="C26" s="254"/>
      <c r="D26" s="255"/>
      <c r="E26" s="255"/>
      <c r="F26" s="255"/>
      <c r="G26" s="255"/>
      <c r="H26" s="255"/>
      <c r="I26" s="255"/>
      <c r="J26" s="256"/>
      <c r="K26" s="256"/>
      <c r="L26" s="255">
        <f>L25-L24</f>
        <v>5.5499999999999972</v>
      </c>
      <c r="M26" s="112"/>
    </row>
    <row r="27" spans="1:13" ht="12.75" customHeight="1" x14ac:dyDescent="0.2">
      <c r="A27" s="242"/>
      <c r="B27" s="793" t="s">
        <v>390</v>
      </c>
      <c r="C27" s="794"/>
      <c r="D27" s="240">
        <v>14</v>
      </c>
      <c r="E27" s="240">
        <v>0.6</v>
      </c>
      <c r="F27" s="240"/>
      <c r="G27" s="240">
        <v>0.6</v>
      </c>
      <c r="H27" s="240"/>
      <c r="I27" s="240"/>
      <c r="J27" s="241"/>
      <c r="K27" s="241">
        <f>G27*E27</f>
        <v>0.36</v>
      </c>
      <c r="L27" s="240">
        <f>ROUND(D27*K27,2)</f>
        <v>5.04</v>
      </c>
      <c r="M27" s="112"/>
    </row>
    <row r="28" spans="1:13" ht="12.75" x14ac:dyDescent="0.2">
      <c r="A28" s="242"/>
      <c r="B28" s="793" t="s">
        <v>357</v>
      </c>
      <c r="C28" s="794"/>
      <c r="D28" s="240">
        <v>1</v>
      </c>
      <c r="E28" s="240">
        <v>0.8</v>
      </c>
      <c r="F28" s="240"/>
      <c r="G28" s="240">
        <v>0.8</v>
      </c>
      <c r="H28" s="240"/>
      <c r="I28" s="240"/>
      <c r="J28" s="241"/>
      <c r="K28" s="241">
        <f t="shared" ref="K28" si="2">G28*E28</f>
        <v>0.64000000000000012</v>
      </c>
      <c r="L28" s="240">
        <f t="shared" ref="L28:L29" si="3">ROUND(D28*K28,2)</f>
        <v>0.64</v>
      </c>
      <c r="M28" s="112"/>
    </row>
    <row r="29" spans="1:13" ht="12.75" customHeight="1" x14ac:dyDescent="0.2">
      <c r="A29" s="242"/>
      <c r="B29" s="793" t="s">
        <v>358</v>
      </c>
      <c r="C29" s="794"/>
      <c r="D29" s="240">
        <v>3</v>
      </c>
      <c r="E29" s="240">
        <v>0.7</v>
      </c>
      <c r="F29" s="240"/>
      <c r="G29" s="240">
        <v>0.7</v>
      </c>
      <c r="H29" s="240"/>
      <c r="I29" s="240"/>
      <c r="J29" s="241"/>
      <c r="K29" s="241">
        <f>G29*E29</f>
        <v>0.48999999999999994</v>
      </c>
      <c r="L29" s="240">
        <f t="shared" si="3"/>
        <v>1.47</v>
      </c>
      <c r="M29" s="114"/>
    </row>
    <row r="30" spans="1:13" ht="12.75" customHeight="1" x14ac:dyDescent="0.2">
      <c r="A30" s="242"/>
      <c r="B30" s="815"/>
      <c r="C30" s="816"/>
      <c r="D30" s="240"/>
      <c r="E30" s="240"/>
      <c r="F30" s="240"/>
      <c r="G30" s="240"/>
      <c r="H30" s="240"/>
      <c r="I30" s="240"/>
      <c r="J30" s="241"/>
      <c r="K30" s="241"/>
      <c r="L30" s="240"/>
      <c r="M30" s="114"/>
    </row>
    <row r="31" spans="1:13" ht="12.75" customHeight="1" x14ac:dyDescent="0.2">
      <c r="A31" s="242"/>
      <c r="B31" s="793" t="s">
        <v>360</v>
      </c>
      <c r="C31" s="794"/>
      <c r="D31" s="240"/>
      <c r="E31" s="240"/>
      <c r="F31" s="240"/>
      <c r="G31" s="240"/>
      <c r="H31" s="240"/>
      <c r="I31" s="240"/>
      <c r="J31" s="241"/>
      <c r="K31" s="241">
        <f t="shared" ref="K31:K36" si="4">G31*E31</f>
        <v>0</v>
      </c>
      <c r="L31" s="240">
        <f t="shared" ref="L31:L42" si="5">ROUND(D31*K31,2)</f>
        <v>0</v>
      </c>
      <c r="M31" s="114"/>
    </row>
    <row r="32" spans="1:13" ht="12.75" x14ac:dyDescent="0.2">
      <c r="A32" s="242"/>
      <c r="B32" s="793" t="s">
        <v>361</v>
      </c>
      <c r="C32" s="794"/>
      <c r="D32" s="240">
        <v>9</v>
      </c>
      <c r="E32" s="240">
        <v>0.8</v>
      </c>
      <c r="F32" s="240"/>
      <c r="G32" s="240">
        <v>0.7</v>
      </c>
      <c r="H32" s="240"/>
      <c r="I32" s="240"/>
      <c r="J32" s="241"/>
      <c r="K32" s="241">
        <f t="shared" si="4"/>
        <v>0.55999999999999994</v>
      </c>
      <c r="L32" s="240">
        <f t="shared" si="5"/>
        <v>5.04</v>
      </c>
      <c r="M32" s="102"/>
    </row>
    <row r="33" spans="1:13" s="108" customFormat="1" ht="12.75" customHeight="1" x14ac:dyDescent="0.2">
      <c r="A33" s="242"/>
      <c r="B33" s="793" t="s">
        <v>362</v>
      </c>
      <c r="C33" s="794"/>
      <c r="D33" s="240">
        <v>3</v>
      </c>
      <c r="E33" s="240">
        <v>0.6</v>
      </c>
      <c r="F33" s="240"/>
      <c r="G33" s="240">
        <v>0.6</v>
      </c>
      <c r="H33" s="240"/>
      <c r="I33" s="240"/>
      <c r="J33" s="241"/>
      <c r="K33" s="241">
        <f t="shared" si="4"/>
        <v>0.36</v>
      </c>
      <c r="L33" s="240">
        <f t="shared" si="5"/>
        <v>1.08</v>
      </c>
      <c r="M33" s="247"/>
    </row>
    <row r="34" spans="1:13" ht="12.75" x14ac:dyDescent="0.2">
      <c r="A34" s="242"/>
      <c r="B34" s="793" t="s">
        <v>363</v>
      </c>
      <c r="C34" s="794"/>
      <c r="D34" s="240">
        <v>1</v>
      </c>
      <c r="E34" s="240">
        <v>0.6</v>
      </c>
      <c r="F34" s="240"/>
      <c r="G34" s="240">
        <v>0.6</v>
      </c>
      <c r="H34" s="240"/>
      <c r="I34" s="240"/>
      <c r="J34" s="241"/>
      <c r="K34" s="241">
        <f t="shared" si="4"/>
        <v>0.36</v>
      </c>
      <c r="L34" s="240">
        <f t="shared" si="5"/>
        <v>0.36</v>
      </c>
      <c r="M34" s="112"/>
    </row>
    <row r="35" spans="1:13" ht="12.75" x14ac:dyDescent="0.2">
      <c r="A35" s="242"/>
      <c r="B35" s="793" t="s">
        <v>364</v>
      </c>
      <c r="C35" s="794"/>
      <c r="D35" s="240">
        <v>1</v>
      </c>
      <c r="E35" s="240">
        <v>0.7</v>
      </c>
      <c r="F35" s="240"/>
      <c r="G35" s="240">
        <v>0.7</v>
      </c>
      <c r="H35" s="240"/>
      <c r="I35" s="240"/>
      <c r="J35" s="241"/>
      <c r="K35" s="241">
        <f t="shared" si="4"/>
        <v>0.48999999999999994</v>
      </c>
      <c r="L35" s="240">
        <f t="shared" si="5"/>
        <v>0.49</v>
      </c>
      <c r="M35" s="114"/>
    </row>
    <row r="36" spans="1:13" ht="25.5" x14ac:dyDescent="0.2">
      <c r="A36" s="242"/>
      <c r="B36" s="243" t="s">
        <v>365</v>
      </c>
      <c r="C36" s="244"/>
      <c r="D36" s="240">
        <v>5</v>
      </c>
      <c r="E36" s="240">
        <v>0.75</v>
      </c>
      <c r="F36" s="240"/>
      <c r="G36" s="240">
        <v>0.6</v>
      </c>
      <c r="H36" s="240"/>
      <c r="I36" s="240"/>
      <c r="J36" s="241"/>
      <c r="K36" s="241">
        <f t="shared" si="4"/>
        <v>0.44999999999999996</v>
      </c>
      <c r="L36" s="240">
        <f t="shared" si="5"/>
        <v>2.25</v>
      </c>
      <c r="M36" s="114"/>
    </row>
    <row r="37" spans="1:13" s="108" customFormat="1" ht="12.75" customHeight="1" x14ac:dyDescent="0.2">
      <c r="A37" s="242"/>
      <c r="B37" s="793" t="s">
        <v>388</v>
      </c>
      <c r="C37" s="794"/>
      <c r="D37" s="240">
        <v>6</v>
      </c>
      <c r="E37" s="240">
        <v>0.75</v>
      </c>
      <c r="F37" s="240"/>
      <c r="G37" s="240">
        <v>0.6</v>
      </c>
      <c r="H37" s="240"/>
      <c r="I37" s="240"/>
      <c r="J37" s="241"/>
      <c r="K37" s="241">
        <f>G37*E37</f>
        <v>0.44999999999999996</v>
      </c>
      <c r="L37" s="240">
        <f t="shared" si="5"/>
        <v>2.7</v>
      </c>
      <c r="M37" s="247"/>
    </row>
    <row r="38" spans="1:13" ht="12.75" customHeight="1" x14ac:dyDescent="0.2">
      <c r="A38" s="242"/>
      <c r="B38" s="793" t="s">
        <v>374</v>
      </c>
      <c r="C38" s="794"/>
      <c r="D38" s="240">
        <v>8</v>
      </c>
      <c r="E38" s="240">
        <v>0.75</v>
      </c>
      <c r="F38" s="240"/>
      <c r="G38" s="240">
        <v>0.6</v>
      </c>
      <c r="H38" s="240"/>
      <c r="I38" s="240"/>
      <c r="J38" s="241"/>
      <c r="K38" s="241">
        <f t="shared" ref="K38:K42" si="6">G38*E38</f>
        <v>0.44999999999999996</v>
      </c>
      <c r="L38" s="240">
        <f t="shared" si="5"/>
        <v>3.6</v>
      </c>
      <c r="M38" s="112"/>
    </row>
    <row r="39" spans="1:13" ht="12.75" customHeight="1" x14ac:dyDescent="0.2">
      <c r="A39" s="242"/>
      <c r="B39" s="243" t="s">
        <v>375</v>
      </c>
      <c r="C39" s="245"/>
      <c r="D39" s="240">
        <v>1</v>
      </c>
      <c r="E39" s="240">
        <v>0.7</v>
      </c>
      <c r="F39" s="240"/>
      <c r="G39" s="240">
        <v>0.7</v>
      </c>
      <c r="H39" s="240"/>
      <c r="I39" s="240"/>
      <c r="J39" s="241"/>
      <c r="K39" s="241">
        <f t="shared" si="6"/>
        <v>0.48999999999999994</v>
      </c>
      <c r="L39" s="240">
        <f t="shared" si="5"/>
        <v>0.49</v>
      </c>
      <c r="M39" s="112"/>
    </row>
    <row r="40" spans="1:13" ht="12.75" customHeight="1" x14ac:dyDescent="0.2">
      <c r="A40" s="242"/>
      <c r="B40" s="793" t="s">
        <v>376</v>
      </c>
      <c r="C40" s="794"/>
      <c r="D40" s="240">
        <v>1</v>
      </c>
      <c r="E40" s="240">
        <v>0.75</v>
      </c>
      <c r="F40" s="240"/>
      <c r="G40" s="240">
        <v>0.6</v>
      </c>
      <c r="H40" s="240"/>
      <c r="I40" s="240"/>
      <c r="J40" s="241"/>
      <c r="K40" s="241">
        <f t="shared" si="6"/>
        <v>0.44999999999999996</v>
      </c>
      <c r="L40" s="240">
        <f t="shared" si="5"/>
        <v>0.45</v>
      </c>
      <c r="M40" s="112"/>
    </row>
    <row r="41" spans="1:13" ht="12.75" x14ac:dyDescent="0.2">
      <c r="A41" s="242"/>
      <c r="B41" s="243" t="s">
        <v>377</v>
      </c>
      <c r="C41" s="245"/>
      <c r="D41" s="240">
        <v>2</v>
      </c>
      <c r="E41" s="240">
        <v>0.7</v>
      </c>
      <c r="F41" s="240"/>
      <c r="G41" s="240">
        <v>0.7</v>
      </c>
      <c r="H41" s="240"/>
      <c r="I41" s="240"/>
      <c r="J41" s="241"/>
      <c r="K41" s="241">
        <f t="shared" si="6"/>
        <v>0.48999999999999994</v>
      </c>
      <c r="L41" s="240">
        <f t="shared" si="5"/>
        <v>0.98</v>
      </c>
      <c r="M41" s="112"/>
    </row>
    <row r="42" spans="1:13" ht="12.75" x14ac:dyDescent="0.2">
      <c r="A42" s="242"/>
      <c r="B42" s="793" t="s">
        <v>389</v>
      </c>
      <c r="C42" s="794"/>
      <c r="D42" s="240">
        <v>1</v>
      </c>
      <c r="E42" s="240">
        <v>0.75</v>
      </c>
      <c r="F42" s="240"/>
      <c r="G42" s="240">
        <v>0.6</v>
      </c>
      <c r="H42" s="240"/>
      <c r="I42" s="240"/>
      <c r="J42" s="241"/>
      <c r="K42" s="241">
        <f t="shared" si="6"/>
        <v>0.44999999999999996</v>
      </c>
      <c r="L42" s="240">
        <f t="shared" si="5"/>
        <v>0.45</v>
      </c>
      <c r="M42" s="114"/>
    </row>
    <row r="43" spans="1:13" s="108" customFormat="1" ht="12.75" customHeight="1" x14ac:dyDescent="0.2">
      <c r="A43" s="242"/>
      <c r="B43" s="246" t="s">
        <v>379</v>
      </c>
      <c r="C43" s="246"/>
      <c r="D43" s="237">
        <v>4</v>
      </c>
      <c r="E43" s="237">
        <v>0.7</v>
      </c>
      <c r="F43" s="237"/>
      <c r="G43" s="237">
        <v>0.7</v>
      </c>
      <c r="H43" s="237"/>
      <c r="I43" s="237"/>
      <c r="J43" s="248"/>
      <c r="K43" s="248">
        <f>G43*E43</f>
        <v>0.48999999999999994</v>
      </c>
      <c r="L43" s="237">
        <f>K43*D43</f>
        <v>1.9599999999999997</v>
      </c>
      <c r="M43" s="247"/>
    </row>
    <row r="44" spans="1:13" s="108" customFormat="1" ht="12.75" customHeight="1" x14ac:dyDescent="0.2">
      <c r="A44" s="242"/>
      <c r="B44" s="793" t="s">
        <v>380</v>
      </c>
      <c r="C44" s="794"/>
      <c r="D44" s="240">
        <v>4</v>
      </c>
      <c r="E44" s="240">
        <v>0.7</v>
      </c>
      <c r="F44" s="240"/>
      <c r="G44" s="240">
        <v>0.85</v>
      </c>
      <c r="H44" s="240"/>
      <c r="I44" s="240"/>
      <c r="J44" s="241"/>
      <c r="K44" s="241">
        <f t="shared" ref="K44:K46" si="7">G44*E44</f>
        <v>0.59499999999999997</v>
      </c>
      <c r="L44" s="240">
        <f t="shared" ref="L44:L46" si="8">ROUND(D44*K44,2)</f>
        <v>2.38</v>
      </c>
      <c r="M44" s="247"/>
    </row>
    <row r="45" spans="1:13" s="108" customFormat="1" ht="12.75" customHeight="1" x14ac:dyDescent="0.2">
      <c r="A45" s="242"/>
      <c r="B45" s="243" t="s">
        <v>381</v>
      </c>
      <c r="C45" s="245"/>
      <c r="D45" s="240">
        <v>4</v>
      </c>
      <c r="E45" s="240">
        <v>0.7</v>
      </c>
      <c r="F45" s="240"/>
      <c r="G45" s="240">
        <v>0.75</v>
      </c>
      <c r="H45" s="240"/>
      <c r="I45" s="240"/>
      <c r="J45" s="241"/>
      <c r="K45" s="241">
        <f t="shared" si="7"/>
        <v>0.52499999999999991</v>
      </c>
      <c r="L45" s="240">
        <f t="shared" si="8"/>
        <v>2.1</v>
      </c>
      <c r="M45" s="247"/>
    </row>
    <row r="46" spans="1:13" s="108" customFormat="1" ht="12.75" customHeight="1" x14ac:dyDescent="0.2">
      <c r="A46" s="242"/>
      <c r="B46" s="793" t="s">
        <v>809</v>
      </c>
      <c r="C46" s="794"/>
      <c r="D46" s="240">
        <v>8</v>
      </c>
      <c r="E46" s="240">
        <v>0.8</v>
      </c>
      <c r="F46" s="240"/>
      <c r="G46" s="240">
        <v>0.8</v>
      </c>
      <c r="H46" s="240"/>
      <c r="I46" s="240"/>
      <c r="J46" s="241"/>
      <c r="K46" s="241">
        <f t="shared" si="7"/>
        <v>0.64000000000000012</v>
      </c>
      <c r="L46" s="240">
        <f t="shared" si="8"/>
        <v>5.12</v>
      </c>
      <c r="M46" s="247"/>
    </row>
    <row r="47" spans="1:13" s="108" customFormat="1" ht="12.75" customHeight="1" x14ac:dyDescent="0.2">
      <c r="A47" s="242"/>
      <c r="B47" s="243" t="s">
        <v>810</v>
      </c>
      <c r="C47" s="245"/>
      <c r="D47" s="240"/>
      <c r="E47" s="240"/>
      <c r="F47" s="240"/>
      <c r="G47" s="240"/>
      <c r="H47" s="240"/>
      <c r="I47" s="240"/>
      <c r="J47" s="241"/>
      <c r="K47" s="241"/>
      <c r="L47" s="240"/>
      <c r="M47" s="247"/>
    </row>
    <row r="48" spans="1:13" s="108" customFormat="1" ht="12.75" customHeight="1" x14ac:dyDescent="0.2">
      <c r="A48" s="242"/>
      <c r="B48" s="793" t="s">
        <v>383</v>
      </c>
      <c r="C48" s="794"/>
      <c r="D48" s="240">
        <v>1</v>
      </c>
      <c r="E48" s="240">
        <v>1</v>
      </c>
      <c r="F48" s="240"/>
      <c r="G48" s="240">
        <v>1</v>
      </c>
      <c r="H48" s="240"/>
      <c r="I48" s="240"/>
      <c r="J48" s="241"/>
      <c r="K48" s="241">
        <f t="shared" ref="K48:K53" si="9">G48*E48</f>
        <v>1</v>
      </c>
      <c r="L48" s="240">
        <f>ROUND(D48*K48,2)</f>
        <v>1</v>
      </c>
      <c r="M48" s="247"/>
    </row>
    <row r="49" spans="1:15" s="108" customFormat="1" ht="12.75" customHeight="1" x14ac:dyDescent="0.2">
      <c r="A49" s="242"/>
      <c r="B49" s="243" t="s">
        <v>384</v>
      </c>
      <c r="C49" s="245"/>
      <c r="D49" s="240">
        <v>3</v>
      </c>
      <c r="E49" s="240">
        <v>1</v>
      </c>
      <c r="F49" s="240"/>
      <c r="G49" s="240">
        <v>0.9</v>
      </c>
      <c r="H49" s="240"/>
      <c r="I49" s="240"/>
      <c r="J49" s="241"/>
      <c r="K49" s="241">
        <f t="shared" si="9"/>
        <v>0.9</v>
      </c>
      <c r="L49" s="240">
        <f t="shared" ref="L49:L53" si="10">ROUND(D49*K49,2)</f>
        <v>2.7</v>
      </c>
      <c r="M49" s="247"/>
    </row>
    <row r="50" spans="1:15" s="108" customFormat="1" ht="12.75" customHeight="1" x14ac:dyDescent="0.2">
      <c r="A50" s="242"/>
      <c r="B50" s="793" t="s">
        <v>385</v>
      </c>
      <c r="C50" s="794"/>
      <c r="D50" s="240">
        <v>2</v>
      </c>
      <c r="E50" s="240">
        <v>0.95</v>
      </c>
      <c r="F50" s="240"/>
      <c r="G50" s="240">
        <v>0.95</v>
      </c>
      <c r="H50" s="240"/>
      <c r="I50" s="240"/>
      <c r="J50" s="241"/>
      <c r="K50" s="241">
        <f t="shared" si="9"/>
        <v>0.90249999999999997</v>
      </c>
      <c r="L50" s="240">
        <f t="shared" si="10"/>
        <v>1.81</v>
      </c>
      <c r="M50" s="247"/>
    </row>
    <row r="51" spans="1:15" s="108" customFormat="1" ht="12.75" customHeight="1" x14ac:dyDescent="0.2">
      <c r="A51" s="242"/>
      <c r="B51" s="793" t="s">
        <v>386</v>
      </c>
      <c r="C51" s="794"/>
      <c r="D51" s="240">
        <v>1</v>
      </c>
      <c r="E51" s="240">
        <v>1.45</v>
      </c>
      <c r="F51" s="240"/>
      <c r="G51" s="240">
        <v>1.25</v>
      </c>
      <c r="H51" s="240"/>
      <c r="I51" s="240"/>
      <c r="J51" s="241"/>
      <c r="K51" s="241">
        <f t="shared" si="9"/>
        <v>1.8125</v>
      </c>
      <c r="L51" s="240">
        <f t="shared" si="10"/>
        <v>1.81</v>
      </c>
      <c r="M51" s="247"/>
    </row>
    <row r="52" spans="1:15" s="108" customFormat="1" ht="12.75" customHeight="1" x14ac:dyDescent="0.2">
      <c r="A52" s="242"/>
      <c r="B52" s="243" t="s">
        <v>387</v>
      </c>
      <c r="C52" s="245"/>
      <c r="D52" s="240">
        <v>1</v>
      </c>
      <c r="E52" s="240">
        <v>1.1499999999999999</v>
      </c>
      <c r="F52" s="240"/>
      <c r="G52" s="240">
        <v>1</v>
      </c>
      <c r="H52" s="240"/>
      <c r="I52" s="240"/>
      <c r="J52" s="241"/>
      <c r="K52" s="241">
        <f t="shared" si="9"/>
        <v>1.1499999999999999</v>
      </c>
      <c r="L52" s="240">
        <f t="shared" si="10"/>
        <v>1.1499999999999999</v>
      </c>
      <c r="M52" s="247"/>
    </row>
    <row r="53" spans="1:15" ht="12.75" x14ac:dyDescent="0.2">
      <c r="A53" s="109"/>
      <c r="B53" s="778" t="s">
        <v>811</v>
      </c>
      <c r="C53" s="779"/>
      <c r="D53" s="110">
        <v>6</v>
      </c>
      <c r="E53" s="110">
        <v>1</v>
      </c>
      <c r="F53" s="110"/>
      <c r="G53" s="110">
        <v>1</v>
      </c>
      <c r="H53" s="110"/>
      <c r="I53" s="110"/>
      <c r="J53" s="111"/>
      <c r="K53" s="111">
        <f t="shared" si="9"/>
        <v>1</v>
      </c>
      <c r="L53" s="110">
        <f t="shared" si="10"/>
        <v>6</v>
      </c>
      <c r="M53" s="112"/>
    </row>
    <row r="54" spans="1:15" ht="12.75" x14ac:dyDescent="0.2">
      <c r="A54" s="100"/>
      <c r="B54" s="101"/>
      <c r="C54" s="101"/>
      <c r="D54" s="101"/>
      <c r="E54" s="101"/>
      <c r="F54" s="101"/>
      <c r="G54" s="101"/>
      <c r="H54" s="101"/>
      <c r="I54" s="101"/>
      <c r="J54" s="101"/>
      <c r="K54" s="119"/>
      <c r="L54" s="101"/>
      <c r="M54" s="102"/>
    </row>
    <row r="55" spans="1:15" s="108" customFormat="1" ht="12.75" x14ac:dyDescent="0.2">
      <c r="A55" s="103" t="s">
        <v>437</v>
      </c>
      <c r="B55" s="104" t="str">
        <f>REPROGRAMAÇÃO!B28</f>
        <v>ALVENARIA DE EMBASAMENTO EM TIJOLO CERÂMICO FURADO C/ ARGAMASSA CIMENTO E AREIA 1:4</v>
      </c>
      <c r="C55" s="105"/>
      <c r="D55" s="105"/>
      <c r="E55" s="105"/>
      <c r="F55" s="105"/>
      <c r="G55" s="105"/>
      <c r="H55" s="105"/>
      <c r="I55" s="105"/>
      <c r="J55" s="105"/>
      <c r="K55" s="120"/>
      <c r="L55" s="106">
        <f>SUM(L56:L56)</f>
        <v>1.04</v>
      </c>
      <c r="M55" s="107" t="s">
        <v>354</v>
      </c>
      <c r="O55" s="108">
        <v>697.9</v>
      </c>
    </row>
    <row r="56" spans="1:15" ht="12.75" x14ac:dyDescent="0.2">
      <c r="A56" s="109"/>
      <c r="B56" s="778" t="s">
        <v>814</v>
      </c>
      <c r="C56" s="779"/>
      <c r="D56" s="237">
        <v>1</v>
      </c>
      <c r="E56" s="237">
        <v>0.4</v>
      </c>
      <c r="F56" s="237"/>
      <c r="G56" s="237">
        <v>0.09</v>
      </c>
      <c r="H56" s="237"/>
      <c r="I56" s="237">
        <v>29</v>
      </c>
      <c r="J56" s="237"/>
      <c r="K56" s="237">
        <v>1.04</v>
      </c>
      <c r="L56" s="237">
        <v>1.04</v>
      </c>
      <c r="M56" s="112"/>
    </row>
    <row r="57" spans="1:15" ht="12.75" x14ac:dyDescent="0.2">
      <c r="A57" s="113"/>
      <c r="B57" s="121"/>
      <c r="C57" s="121"/>
      <c r="D57" s="118"/>
      <c r="E57" s="118"/>
      <c r="F57" s="118"/>
      <c r="G57" s="118"/>
      <c r="H57" s="118"/>
      <c r="I57" s="118"/>
      <c r="J57" s="117"/>
      <c r="K57" s="117"/>
      <c r="L57" s="118"/>
      <c r="M57" s="114"/>
    </row>
    <row r="58" spans="1:15" ht="13.5" thickBot="1" x14ac:dyDescent="0.25">
      <c r="A58" s="113"/>
      <c r="B58" s="115"/>
      <c r="C58" s="116"/>
      <c r="D58" s="118"/>
      <c r="E58" s="118"/>
      <c r="F58" s="118"/>
      <c r="G58" s="118"/>
      <c r="H58" s="118"/>
      <c r="I58" s="118"/>
      <c r="J58" s="117"/>
      <c r="K58" s="117"/>
      <c r="L58" s="118"/>
      <c r="M58" s="114"/>
    </row>
    <row r="59" spans="1:15" ht="13.5" thickBot="1" x14ac:dyDescent="0.25">
      <c r="A59" s="97" t="str">
        <f>'[4]Orçamento Sintético'!A20</f>
        <v>2.0</v>
      </c>
      <c r="B59" s="98" t="str">
        <f>'[4]Orçamento Sintético'!B20</f>
        <v>INFRAESTRUTURA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9"/>
    </row>
    <row r="60" spans="1:15" ht="12.75" x14ac:dyDescent="0.2">
      <c r="A60" s="113"/>
      <c r="B60" s="115"/>
      <c r="C60" s="116"/>
      <c r="D60" s="118"/>
      <c r="E60" s="118"/>
      <c r="F60" s="118"/>
      <c r="G60" s="118"/>
      <c r="H60" s="118"/>
      <c r="I60" s="118"/>
      <c r="J60" s="117"/>
      <c r="K60" s="117"/>
      <c r="L60" s="118"/>
      <c r="M60" s="114"/>
    </row>
    <row r="61" spans="1:15" s="108" customFormat="1" ht="12.75" x14ac:dyDescent="0.2">
      <c r="A61" s="103" t="str">
        <f>'[4]Orçamento Sintético'!A21</f>
        <v>2.1</v>
      </c>
      <c r="B61" s="104" t="str">
        <f>'[4]Orçamento Sintético'!B21</f>
        <v>Aterro manual de valas com solo argilo-arenoso e compactação mecanizada</v>
      </c>
      <c r="C61" s="105"/>
      <c r="D61" s="105"/>
      <c r="E61" s="105"/>
      <c r="F61" s="105"/>
      <c r="G61" s="105"/>
      <c r="H61" s="105"/>
      <c r="I61" s="105"/>
      <c r="J61" s="105"/>
      <c r="K61" s="105"/>
      <c r="L61" s="106">
        <f>SUM(L62:L71)</f>
        <v>116.67</v>
      </c>
      <c r="M61" s="107" t="s">
        <v>354</v>
      </c>
    </row>
    <row r="62" spans="1:15" ht="12.75" x14ac:dyDescent="0.2">
      <c r="A62" s="109"/>
      <c r="B62" s="778" t="s">
        <v>355</v>
      </c>
      <c r="C62" s="779"/>
      <c r="D62" s="110">
        <v>4</v>
      </c>
      <c r="E62" s="110">
        <v>3.85</v>
      </c>
      <c r="F62" s="110"/>
      <c r="G62" s="110">
        <v>5.85</v>
      </c>
      <c r="H62" s="110"/>
      <c r="I62" s="110">
        <v>0.15</v>
      </c>
      <c r="J62" s="111"/>
      <c r="K62" s="111">
        <f>I62*G62*E62</f>
        <v>3.3783749999999997</v>
      </c>
      <c r="L62" s="110">
        <f>ROUND(D62*K62,2)</f>
        <v>13.51</v>
      </c>
      <c r="M62" s="112"/>
    </row>
    <row r="63" spans="1:15" ht="12.75" x14ac:dyDescent="0.2">
      <c r="A63" s="113"/>
      <c r="B63" s="778" t="s">
        <v>355</v>
      </c>
      <c r="C63" s="779"/>
      <c r="D63" s="110">
        <v>1</v>
      </c>
      <c r="E63" s="110">
        <v>3.85</v>
      </c>
      <c r="F63" s="110"/>
      <c r="G63" s="110">
        <v>2.65</v>
      </c>
      <c r="H63" s="110"/>
      <c r="I63" s="110">
        <v>0.15</v>
      </c>
      <c r="J63" s="111"/>
      <c r="K63" s="111">
        <f>I63*G63*E63</f>
        <v>1.5303749999999998</v>
      </c>
      <c r="L63" s="110">
        <f>ROUND(D63*K63,2)</f>
        <v>1.53</v>
      </c>
      <c r="M63" s="114"/>
    </row>
    <row r="64" spans="1:15" ht="12.75" x14ac:dyDescent="0.2">
      <c r="A64" s="113"/>
      <c r="B64" s="778" t="s">
        <v>355</v>
      </c>
      <c r="C64" s="779"/>
      <c r="D64" s="110">
        <v>1</v>
      </c>
      <c r="E64" s="110">
        <v>3.85</v>
      </c>
      <c r="F64" s="110"/>
      <c r="G64" s="110">
        <v>2.65</v>
      </c>
      <c r="H64" s="110"/>
      <c r="I64" s="110">
        <v>0.15</v>
      </c>
      <c r="J64" s="111"/>
      <c r="K64" s="111">
        <f t="shared" ref="K64:K66" si="11">I64*G64*E64</f>
        <v>1.5303749999999998</v>
      </c>
      <c r="L64" s="110">
        <f t="shared" ref="L64:L67" si="12">ROUND(D64*K64,2)</f>
        <v>1.53</v>
      </c>
      <c r="M64" s="114"/>
    </row>
    <row r="65" spans="1:13" ht="12.75" x14ac:dyDescent="0.2">
      <c r="A65" s="113"/>
      <c r="B65" s="778" t="s">
        <v>355</v>
      </c>
      <c r="C65" s="779"/>
      <c r="D65" s="110">
        <v>1</v>
      </c>
      <c r="E65" s="110">
        <v>3.85</v>
      </c>
      <c r="F65" s="110"/>
      <c r="G65" s="110">
        <v>2.65</v>
      </c>
      <c r="H65" s="110"/>
      <c r="I65" s="110">
        <v>0.15</v>
      </c>
      <c r="J65" s="111"/>
      <c r="K65" s="111">
        <f t="shared" si="11"/>
        <v>1.5303749999999998</v>
      </c>
      <c r="L65" s="110">
        <f t="shared" si="12"/>
        <v>1.53</v>
      </c>
      <c r="M65" s="114"/>
    </row>
    <row r="66" spans="1:13" ht="12.75" x14ac:dyDescent="0.2">
      <c r="A66" s="113"/>
      <c r="B66" s="778" t="s">
        <v>355</v>
      </c>
      <c r="C66" s="779"/>
      <c r="D66" s="110">
        <v>1</v>
      </c>
      <c r="E66" s="110">
        <v>3.85</v>
      </c>
      <c r="F66" s="110"/>
      <c r="G66" s="110">
        <v>2.65</v>
      </c>
      <c r="H66" s="110"/>
      <c r="I66" s="110">
        <v>0.15</v>
      </c>
      <c r="J66" s="111"/>
      <c r="K66" s="111">
        <f t="shared" si="11"/>
        <v>1.5303749999999998</v>
      </c>
      <c r="L66" s="110">
        <f t="shared" si="12"/>
        <v>1.53</v>
      </c>
      <c r="M66" s="114"/>
    </row>
    <row r="67" spans="1:13" ht="12.75" x14ac:dyDescent="0.2">
      <c r="A67" s="113"/>
      <c r="B67" s="852" t="s">
        <v>369</v>
      </c>
      <c r="C67" s="852"/>
      <c r="D67" s="110">
        <v>1</v>
      </c>
      <c r="E67" s="110">
        <v>2.85</v>
      </c>
      <c r="F67" s="110"/>
      <c r="G67" s="110">
        <v>8.75</v>
      </c>
      <c r="H67" s="110"/>
      <c r="I67" s="110">
        <v>0.5</v>
      </c>
      <c r="J67" s="111"/>
      <c r="K67" s="111">
        <f>I67*G67*E67</f>
        <v>12.46875</v>
      </c>
      <c r="L67" s="110">
        <f t="shared" si="12"/>
        <v>12.47</v>
      </c>
      <c r="M67" s="114"/>
    </row>
    <row r="68" spans="1:13" ht="12.75" x14ac:dyDescent="0.2">
      <c r="A68" s="113"/>
      <c r="B68" s="853" t="s">
        <v>370</v>
      </c>
      <c r="C68" s="853"/>
      <c r="D68" s="129">
        <v>1</v>
      </c>
      <c r="E68" s="129">
        <v>4.1500000000000004</v>
      </c>
      <c r="F68" s="129"/>
      <c r="G68" s="129">
        <v>8.75</v>
      </c>
      <c r="H68" s="129"/>
      <c r="I68" s="129">
        <v>0.5</v>
      </c>
      <c r="J68" s="130"/>
      <c r="K68" s="130">
        <v>18.15625</v>
      </c>
      <c r="L68" s="129">
        <v>18.16</v>
      </c>
      <c r="M68" s="114"/>
    </row>
    <row r="69" spans="1:13" ht="12.75" x14ac:dyDescent="0.2">
      <c r="A69" s="113"/>
      <c r="B69" s="853" t="s">
        <v>371</v>
      </c>
      <c r="C69" s="853"/>
      <c r="D69" s="129">
        <v>1</v>
      </c>
      <c r="E69" s="129">
        <v>3.78</v>
      </c>
      <c r="F69" s="129"/>
      <c r="G69" s="129">
        <v>7.7</v>
      </c>
      <c r="H69" s="129"/>
      <c r="I69" s="129">
        <v>0.5</v>
      </c>
      <c r="J69" s="130"/>
      <c r="K69" s="130">
        <v>14.552999999999999</v>
      </c>
      <c r="L69" s="129">
        <v>14.55</v>
      </c>
      <c r="M69" s="114"/>
    </row>
    <row r="70" spans="1:13" ht="12.75" x14ac:dyDescent="0.2">
      <c r="A70" s="113"/>
      <c r="B70" s="853" t="s">
        <v>371</v>
      </c>
      <c r="C70" s="853"/>
      <c r="D70" s="129">
        <v>1</v>
      </c>
      <c r="E70" s="129">
        <v>5.27</v>
      </c>
      <c r="F70" s="129"/>
      <c r="G70" s="129">
        <v>7.7</v>
      </c>
      <c r="H70" s="129"/>
      <c r="I70" s="129">
        <v>0.3</v>
      </c>
      <c r="J70" s="130"/>
      <c r="K70" s="130">
        <v>12.173699999999998</v>
      </c>
      <c r="L70" s="129">
        <v>12.17</v>
      </c>
      <c r="M70" s="114"/>
    </row>
    <row r="71" spans="1:13" ht="12.75" x14ac:dyDescent="0.2">
      <c r="A71" s="113"/>
      <c r="B71" s="853" t="s">
        <v>371</v>
      </c>
      <c r="C71" s="853"/>
      <c r="D71" s="129">
        <v>1</v>
      </c>
      <c r="E71" s="129">
        <v>10.31</v>
      </c>
      <c r="F71" s="129"/>
      <c r="G71" s="129">
        <v>7.7</v>
      </c>
      <c r="H71" s="129"/>
      <c r="I71" s="129">
        <v>0.4</v>
      </c>
      <c r="J71" s="130"/>
      <c r="K71" s="130">
        <v>39.6935</v>
      </c>
      <c r="L71" s="129">
        <v>39.69</v>
      </c>
      <c r="M71" s="114"/>
    </row>
    <row r="72" spans="1:13" ht="12.75" x14ac:dyDescent="0.2">
      <c r="A72" s="113"/>
      <c r="B72" s="121"/>
      <c r="C72" s="121"/>
      <c r="D72" s="118"/>
      <c r="E72" s="118"/>
      <c r="F72" s="118"/>
      <c r="G72" s="118"/>
      <c r="H72" s="118"/>
      <c r="I72" s="118"/>
      <c r="J72" s="117"/>
      <c r="K72" s="117"/>
      <c r="L72" s="118"/>
      <c r="M72" s="114"/>
    </row>
    <row r="73" spans="1:13" ht="12.75" x14ac:dyDescent="0.2">
      <c r="A73" s="113"/>
      <c r="B73" s="115"/>
      <c r="C73" s="116"/>
      <c r="D73" s="118"/>
      <c r="E73" s="118"/>
      <c r="F73" s="118"/>
      <c r="G73" s="118"/>
      <c r="H73" s="118"/>
      <c r="I73" s="118"/>
      <c r="J73" s="117"/>
      <c r="K73" s="117"/>
      <c r="L73" s="118"/>
      <c r="M73" s="114"/>
    </row>
    <row r="74" spans="1:13" s="108" customFormat="1" ht="12.75" x14ac:dyDescent="0.2">
      <c r="A74" s="103" t="str">
        <f>'[4]Orçamento Sintético'!A22</f>
        <v>2.5</v>
      </c>
      <c r="B74" s="258" t="str">
        <f>'[4]Orçamento Sintético'!B22</f>
        <v>Escavação manual para bloco de coroamento ou sapata, com previsão de fôrma</v>
      </c>
      <c r="C74" s="259"/>
      <c r="D74" s="259"/>
      <c r="E74" s="259"/>
      <c r="F74" s="259"/>
      <c r="G74" s="259"/>
      <c r="H74" s="259"/>
      <c r="I74" s="259"/>
      <c r="J74" s="259"/>
      <c r="K74" s="259"/>
      <c r="L74" s="260">
        <f>SUM(L75:L105)</f>
        <v>88.340000000000032</v>
      </c>
      <c r="M74" s="107" t="s">
        <v>354</v>
      </c>
    </row>
    <row r="75" spans="1:13" ht="12.75" x14ac:dyDescent="0.2">
      <c r="A75" s="109"/>
      <c r="B75" s="796" t="s">
        <v>356</v>
      </c>
      <c r="C75" s="796"/>
      <c r="D75" s="261"/>
      <c r="E75" s="261"/>
      <c r="F75" s="261"/>
      <c r="G75" s="261"/>
      <c r="H75" s="261"/>
      <c r="I75" s="261"/>
      <c r="J75" s="262"/>
      <c r="K75" s="262"/>
      <c r="L75" s="261"/>
      <c r="M75" s="257"/>
    </row>
    <row r="76" spans="1:13" ht="12.75" customHeight="1" x14ac:dyDescent="0.2">
      <c r="A76" s="113"/>
      <c r="B76" s="796" t="s">
        <v>372</v>
      </c>
      <c r="C76" s="796"/>
      <c r="D76" s="261">
        <v>18</v>
      </c>
      <c r="E76" s="261">
        <v>1</v>
      </c>
      <c r="F76" s="261"/>
      <c r="G76" s="261">
        <v>1</v>
      </c>
      <c r="H76" s="261"/>
      <c r="I76" s="261">
        <v>1</v>
      </c>
      <c r="J76" s="262"/>
      <c r="K76" s="262">
        <f>I76*G76*E76</f>
        <v>1</v>
      </c>
      <c r="L76" s="261">
        <f>ROUND(D76*K76,2)</f>
        <v>18</v>
      </c>
      <c r="M76" s="257"/>
    </row>
    <row r="77" spans="1:13" ht="12.75" x14ac:dyDescent="0.2">
      <c r="A77" s="113"/>
      <c r="B77" s="796" t="s">
        <v>359</v>
      </c>
      <c r="C77" s="796"/>
      <c r="D77" s="261">
        <v>3</v>
      </c>
      <c r="E77" s="261">
        <v>27</v>
      </c>
      <c r="F77" s="261"/>
      <c r="G77" s="261">
        <v>0.3</v>
      </c>
      <c r="H77" s="261"/>
      <c r="I77" s="261">
        <v>0.4</v>
      </c>
      <c r="J77" s="262"/>
      <c r="K77" s="262">
        <f>I77*G77*E77</f>
        <v>3.2399999999999998</v>
      </c>
      <c r="L77" s="261">
        <f>ROUND(D77*K77,2)</f>
        <v>9.7200000000000006</v>
      </c>
      <c r="M77" s="257"/>
    </row>
    <row r="78" spans="1:13" ht="12.75" x14ac:dyDescent="0.2">
      <c r="A78" s="113"/>
      <c r="B78" s="796"/>
      <c r="C78" s="796"/>
      <c r="D78" s="261">
        <v>6</v>
      </c>
      <c r="E78" s="261">
        <v>8</v>
      </c>
      <c r="F78" s="261"/>
      <c r="G78" s="261">
        <v>0.3</v>
      </c>
      <c r="H78" s="261"/>
      <c r="I78" s="261">
        <v>0.4</v>
      </c>
      <c r="J78" s="262"/>
      <c r="K78" s="262">
        <f>I78*G78*E78</f>
        <v>0.96</v>
      </c>
      <c r="L78" s="261">
        <f>ROUND(D78*K78,2)</f>
        <v>5.76</v>
      </c>
      <c r="M78" s="257"/>
    </row>
    <row r="79" spans="1:13" ht="12.75" x14ac:dyDescent="0.2">
      <c r="A79" s="113"/>
      <c r="B79" s="796" t="s">
        <v>360</v>
      </c>
      <c r="C79" s="796"/>
      <c r="D79" s="261"/>
      <c r="E79" s="261"/>
      <c r="F79" s="261"/>
      <c r="G79" s="261"/>
      <c r="H79" s="261"/>
      <c r="I79" s="261"/>
      <c r="J79" s="262"/>
      <c r="K79" s="262"/>
      <c r="L79" s="261"/>
      <c r="M79" s="257"/>
    </row>
    <row r="80" spans="1:13" ht="12.75" x14ac:dyDescent="0.2">
      <c r="A80" s="113"/>
      <c r="B80" s="796" t="s">
        <v>373</v>
      </c>
      <c r="C80" s="796"/>
      <c r="D80" s="261">
        <v>8</v>
      </c>
      <c r="E80" s="261">
        <v>0.95</v>
      </c>
      <c r="F80" s="261"/>
      <c r="G80" s="261">
        <v>0.7</v>
      </c>
      <c r="H80" s="261"/>
      <c r="I80" s="261">
        <v>1</v>
      </c>
      <c r="J80" s="262"/>
      <c r="K80" s="262">
        <f>I80*G80*E80</f>
        <v>0.66499999999999992</v>
      </c>
      <c r="L80" s="261">
        <f>ROUND(D80*K80,2)</f>
        <v>5.32</v>
      </c>
      <c r="M80" s="114"/>
    </row>
    <row r="81" spans="1:13" ht="12.75" x14ac:dyDescent="0.2">
      <c r="A81" s="113"/>
      <c r="B81" s="796" t="s">
        <v>374</v>
      </c>
      <c r="C81" s="796"/>
      <c r="D81" s="261">
        <v>8</v>
      </c>
      <c r="E81" s="261">
        <v>0.95</v>
      </c>
      <c r="F81" s="261"/>
      <c r="G81" s="261">
        <v>0.7</v>
      </c>
      <c r="H81" s="261"/>
      <c r="I81" s="261">
        <v>1</v>
      </c>
      <c r="J81" s="262"/>
      <c r="K81" s="262">
        <f>I81*G81*E81</f>
        <v>0.66499999999999992</v>
      </c>
      <c r="L81" s="261">
        <f>ROUND(D81*K81,2)</f>
        <v>5.32</v>
      </c>
      <c r="M81" s="114"/>
    </row>
    <row r="82" spans="1:13" ht="12.75" x14ac:dyDescent="0.2">
      <c r="A82" s="113"/>
      <c r="B82" s="798" t="s">
        <v>375</v>
      </c>
      <c r="C82" s="799"/>
      <c r="D82" s="261">
        <v>1</v>
      </c>
      <c r="E82" s="261">
        <v>0.9</v>
      </c>
      <c r="F82" s="261"/>
      <c r="G82" s="261">
        <v>0.9</v>
      </c>
      <c r="H82" s="261"/>
      <c r="I82" s="261">
        <v>1</v>
      </c>
      <c r="J82" s="262"/>
      <c r="K82" s="262">
        <f>I82*G82*E82</f>
        <v>0.81</v>
      </c>
      <c r="L82" s="261">
        <f>ROUND(D82*K82,2)</f>
        <v>0.81</v>
      </c>
      <c r="M82" s="114"/>
    </row>
    <row r="83" spans="1:13" ht="12.75" x14ac:dyDescent="0.2">
      <c r="A83" s="113"/>
      <c r="B83" s="796" t="s">
        <v>376</v>
      </c>
      <c r="C83" s="796"/>
      <c r="D83" s="261">
        <v>1</v>
      </c>
      <c r="E83" s="261">
        <v>0.95</v>
      </c>
      <c r="F83" s="261"/>
      <c r="G83" s="261">
        <v>0.7</v>
      </c>
      <c r="H83" s="261"/>
      <c r="I83" s="261">
        <v>1</v>
      </c>
      <c r="J83" s="262"/>
      <c r="K83" s="262">
        <f>I83*G83*E83</f>
        <v>0.66499999999999992</v>
      </c>
      <c r="L83" s="261">
        <f>ROUND(D83*K83,2)</f>
        <v>0.67</v>
      </c>
      <c r="M83" s="114"/>
    </row>
    <row r="84" spans="1:13" ht="12.75" x14ac:dyDescent="0.2">
      <c r="A84" s="113"/>
      <c r="B84" s="263" t="s">
        <v>377</v>
      </c>
      <c r="C84" s="263"/>
      <c r="D84" s="261">
        <v>2</v>
      </c>
      <c r="E84" s="261">
        <v>0.9</v>
      </c>
      <c r="F84" s="261"/>
      <c r="G84" s="261">
        <v>0.9</v>
      </c>
      <c r="H84" s="261"/>
      <c r="I84" s="261">
        <v>1</v>
      </c>
      <c r="J84" s="262"/>
      <c r="K84" s="262">
        <f>I84*G84*E84</f>
        <v>0.81</v>
      </c>
      <c r="L84" s="261">
        <f>ROUND(D84*K84,2)</f>
        <v>1.62</v>
      </c>
      <c r="M84" s="114"/>
    </row>
    <row r="85" spans="1:13" ht="12.75" x14ac:dyDescent="0.2">
      <c r="A85" s="113"/>
      <c r="B85" s="796" t="s">
        <v>378</v>
      </c>
      <c r="C85" s="796"/>
      <c r="D85" s="261">
        <v>2</v>
      </c>
      <c r="E85" s="261">
        <v>0.8</v>
      </c>
      <c r="F85" s="261"/>
      <c r="G85" s="261">
        <v>0.8</v>
      </c>
      <c r="H85" s="261"/>
      <c r="I85" s="261">
        <v>1</v>
      </c>
      <c r="J85" s="262"/>
      <c r="K85" s="262">
        <v>0.64000000000000012</v>
      </c>
      <c r="L85" s="261">
        <v>1.92</v>
      </c>
      <c r="M85" s="114"/>
    </row>
    <row r="86" spans="1:13" ht="12.75" x14ac:dyDescent="0.2">
      <c r="A86" s="113"/>
      <c r="B86" s="796" t="s">
        <v>361</v>
      </c>
      <c r="C86" s="796"/>
      <c r="D86" s="261">
        <v>9</v>
      </c>
      <c r="E86" s="261">
        <v>1</v>
      </c>
      <c r="F86" s="261"/>
      <c r="G86" s="261">
        <v>0.9</v>
      </c>
      <c r="H86" s="261"/>
      <c r="I86" s="261">
        <v>1</v>
      </c>
      <c r="J86" s="262"/>
      <c r="K86" s="262">
        <f t="shared" ref="K86:K97" si="13">I86*G86*E86</f>
        <v>0.9</v>
      </c>
      <c r="L86" s="261">
        <f t="shared" ref="L86:L105" si="14">ROUND(D86*K86,2)</f>
        <v>8.1</v>
      </c>
      <c r="M86" s="114"/>
    </row>
    <row r="87" spans="1:13" ht="12.75" customHeight="1" x14ac:dyDescent="0.2">
      <c r="A87" s="113"/>
      <c r="B87" s="796" t="s">
        <v>362</v>
      </c>
      <c r="C87" s="796"/>
      <c r="D87" s="261">
        <v>3</v>
      </c>
      <c r="E87" s="261">
        <v>0.8</v>
      </c>
      <c r="F87" s="261"/>
      <c r="G87" s="261">
        <v>0.8</v>
      </c>
      <c r="H87" s="261"/>
      <c r="I87" s="261">
        <v>1</v>
      </c>
      <c r="J87" s="262"/>
      <c r="K87" s="262">
        <f t="shared" si="13"/>
        <v>0.64000000000000012</v>
      </c>
      <c r="L87" s="261">
        <f t="shared" si="14"/>
        <v>1.92</v>
      </c>
      <c r="M87" s="114"/>
    </row>
    <row r="88" spans="1:13" ht="12.75" x14ac:dyDescent="0.2">
      <c r="A88" s="113"/>
      <c r="B88" s="796" t="s">
        <v>363</v>
      </c>
      <c r="C88" s="796"/>
      <c r="D88" s="261">
        <v>1</v>
      </c>
      <c r="E88" s="261">
        <v>0.8</v>
      </c>
      <c r="F88" s="261"/>
      <c r="G88" s="261">
        <v>0.8</v>
      </c>
      <c r="H88" s="261"/>
      <c r="I88" s="261">
        <v>1</v>
      </c>
      <c r="J88" s="262"/>
      <c r="K88" s="262">
        <f t="shared" si="13"/>
        <v>0.64000000000000012</v>
      </c>
      <c r="L88" s="261">
        <f t="shared" si="14"/>
        <v>0.64</v>
      </c>
      <c r="M88" s="114"/>
    </row>
    <row r="89" spans="1:13" ht="12.75" x14ac:dyDescent="0.2">
      <c r="A89" s="113"/>
      <c r="B89" s="796" t="s">
        <v>364</v>
      </c>
      <c r="C89" s="796"/>
      <c r="D89" s="261">
        <v>1</v>
      </c>
      <c r="E89" s="261">
        <v>0.9</v>
      </c>
      <c r="F89" s="261"/>
      <c r="G89" s="261">
        <v>0.9</v>
      </c>
      <c r="H89" s="261"/>
      <c r="I89" s="261">
        <v>1</v>
      </c>
      <c r="J89" s="262"/>
      <c r="K89" s="262">
        <f t="shared" si="13"/>
        <v>0.81</v>
      </c>
      <c r="L89" s="261">
        <f t="shared" si="14"/>
        <v>0.81</v>
      </c>
      <c r="M89" s="114"/>
    </row>
    <row r="90" spans="1:13" ht="25.5" x14ac:dyDescent="0.2">
      <c r="A90" s="113"/>
      <c r="B90" s="263" t="s">
        <v>365</v>
      </c>
      <c r="C90" s="264"/>
      <c r="D90" s="261">
        <v>5</v>
      </c>
      <c r="E90" s="261">
        <v>0.95</v>
      </c>
      <c r="F90" s="261"/>
      <c r="G90" s="261">
        <v>0.8</v>
      </c>
      <c r="H90" s="261"/>
      <c r="I90" s="261">
        <v>1</v>
      </c>
      <c r="J90" s="262"/>
      <c r="K90" s="262">
        <f t="shared" si="13"/>
        <v>0.76</v>
      </c>
      <c r="L90" s="261">
        <f t="shared" si="14"/>
        <v>3.8</v>
      </c>
      <c r="M90" s="114"/>
    </row>
    <row r="91" spans="1:13" ht="12.75" x14ac:dyDescent="0.2">
      <c r="A91" s="113"/>
      <c r="B91" s="797" t="s">
        <v>359</v>
      </c>
      <c r="C91" s="797"/>
      <c r="D91" s="261">
        <v>1</v>
      </c>
      <c r="E91" s="261">
        <v>5.2</v>
      </c>
      <c r="F91" s="261"/>
      <c r="G91" s="261">
        <v>0.3</v>
      </c>
      <c r="H91" s="261"/>
      <c r="I91" s="261">
        <v>0.4</v>
      </c>
      <c r="J91" s="262"/>
      <c r="K91" s="262">
        <f t="shared" si="13"/>
        <v>0.624</v>
      </c>
      <c r="L91" s="261">
        <f t="shared" si="14"/>
        <v>0.62</v>
      </c>
      <c r="M91" s="114"/>
    </row>
    <row r="92" spans="1:13" ht="12.75" x14ac:dyDescent="0.2">
      <c r="A92" s="113"/>
      <c r="B92" s="265"/>
      <c r="C92" s="265"/>
      <c r="D92" s="261">
        <v>2</v>
      </c>
      <c r="E92" s="261">
        <v>8.6999999999999993</v>
      </c>
      <c r="F92" s="261"/>
      <c r="G92" s="261">
        <v>0.3</v>
      </c>
      <c r="H92" s="261"/>
      <c r="I92" s="261">
        <v>0.4</v>
      </c>
      <c r="J92" s="262"/>
      <c r="K92" s="262">
        <f t="shared" si="13"/>
        <v>1.0439999999999998</v>
      </c>
      <c r="L92" s="261">
        <f t="shared" si="14"/>
        <v>2.09</v>
      </c>
      <c r="M92" s="114"/>
    </row>
    <row r="93" spans="1:13" ht="12.75" x14ac:dyDescent="0.2">
      <c r="A93" s="113"/>
      <c r="B93" s="265"/>
      <c r="C93" s="265"/>
      <c r="D93" s="261">
        <v>1</v>
      </c>
      <c r="E93" s="261">
        <v>19</v>
      </c>
      <c r="F93" s="261"/>
      <c r="G93" s="261">
        <v>0.3</v>
      </c>
      <c r="H93" s="261"/>
      <c r="I93" s="261">
        <v>0.4</v>
      </c>
      <c r="J93" s="262"/>
      <c r="K93" s="262">
        <f t="shared" si="13"/>
        <v>2.2799999999999998</v>
      </c>
      <c r="L93" s="261">
        <f t="shared" si="14"/>
        <v>2.2799999999999998</v>
      </c>
      <c r="M93" s="114"/>
    </row>
    <row r="94" spans="1:13" ht="12.75" x14ac:dyDescent="0.2">
      <c r="A94" s="113"/>
      <c r="B94" s="265"/>
      <c r="C94" s="265"/>
      <c r="D94" s="261">
        <v>18</v>
      </c>
      <c r="E94" s="261">
        <v>1.25</v>
      </c>
      <c r="F94" s="261"/>
      <c r="G94" s="261">
        <v>0.3</v>
      </c>
      <c r="H94" s="261"/>
      <c r="I94" s="261">
        <v>0.4</v>
      </c>
      <c r="J94" s="262"/>
      <c r="K94" s="262">
        <f t="shared" si="13"/>
        <v>0.15</v>
      </c>
      <c r="L94" s="261">
        <f t="shared" si="14"/>
        <v>2.7</v>
      </c>
      <c r="M94" s="114"/>
    </row>
    <row r="95" spans="1:13" ht="12.75" x14ac:dyDescent="0.2">
      <c r="A95" s="113"/>
      <c r="B95" s="265"/>
      <c r="C95" s="265"/>
      <c r="D95" s="261">
        <v>2</v>
      </c>
      <c r="E95" s="261">
        <v>7.7</v>
      </c>
      <c r="F95" s="261"/>
      <c r="G95" s="261">
        <v>0.3</v>
      </c>
      <c r="H95" s="261"/>
      <c r="I95" s="261">
        <v>0.4</v>
      </c>
      <c r="J95" s="262"/>
      <c r="K95" s="262">
        <f t="shared" si="13"/>
        <v>0.92399999999999993</v>
      </c>
      <c r="L95" s="261">
        <f t="shared" si="14"/>
        <v>1.85</v>
      </c>
      <c r="M95" s="114"/>
    </row>
    <row r="96" spans="1:13" ht="12.75" x14ac:dyDescent="0.2">
      <c r="A96" s="113"/>
      <c r="B96" s="265"/>
      <c r="C96" s="265"/>
      <c r="D96" s="261">
        <v>1</v>
      </c>
      <c r="E96" s="261">
        <v>18.850000000000001</v>
      </c>
      <c r="F96" s="261"/>
      <c r="G96" s="261">
        <v>0.3</v>
      </c>
      <c r="H96" s="261"/>
      <c r="I96" s="261">
        <v>0.4</v>
      </c>
      <c r="J96" s="262"/>
      <c r="K96" s="262">
        <f t="shared" si="13"/>
        <v>2.262</v>
      </c>
      <c r="L96" s="261">
        <f t="shared" si="14"/>
        <v>2.2599999999999998</v>
      </c>
      <c r="M96" s="114"/>
    </row>
    <row r="97" spans="1:13" ht="12.75" x14ac:dyDescent="0.2">
      <c r="A97" s="113"/>
      <c r="B97" s="265" t="s">
        <v>83</v>
      </c>
      <c r="C97" s="265"/>
      <c r="D97" s="261">
        <v>4</v>
      </c>
      <c r="E97" s="261">
        <v>0.7</v>
      </c>
      <c r="F97" s="261"/>
      <c r="G97" s="261">
        <v>0.7</v>
      </c>
      <c r="H97" s="261"/>
      <c r="I97" s="261">
        <v>0.7</v>
      </c>
      <c r="J97" s="262"/>
      <c r="K97" s="262">
        <f t="shared" si="13"/>
        <v>0.34299999999999992</v>
      </c>
      <c r="L97" s="261">
        <f t="shared" si="14"/>
        <v>1.37</v>
      </c>
      <c r="M97" s="114"/>
    </row>
    <row r="98" spans="1:13" ht="12.75" x14ac:dyDescent="0.2">
      <c r="A98" s="113"/>
      <c r="B98" s="265" t="s">
        <v>380</v>
      </c>
      <c r="C98" s="264"/>
      <c r="D98" s="261">
        <v>4</v>
      </c>
      <c r="E98" s="261">
        <v>0.7</v>
      </c>
      <c r="F98" s="261"/>
      <c r="G98" s="261">
        <v>0.85</v>
      </c>
      <c r="H98" s="262"/>
      <c r="I98" s="262">
        <v>0.6</v>
      </c>
      <c r="J98" s="262"/>
      <c r="K98" s="262">
        <f>G98*E98*I98</f>
        <v>0.35699999999999998</v>
      </c>
      <c r="L98" s="261">
        <f t="shared" si="14"/>
        <v>1.43</v>
      </c>
      <c r="M98" s="114"/>
    </row>
    <row r="99" spans="1:13" ht="12.75" x14ac:dyDescent="0.2">
      <c r="A99" s="113"/>
      <c r="B99" s="265" t="s">
        <v>381</v>
      </c>
      <c r="C99" s="264"/>
      <c r="D99" s="261">
        <v>4</v>
      </c>
      <c r="E99" s="261">
        <v>0.7</v>
      </c>
      <c r="F99" s="261"/>
      <c r="G99" s="261">
        <v>0.7</v>
      </c>
      <c r="H99" s="262"/>
      <c r="I99" s="262">
        <v>0.6</v>
      </c>
      <c r="J99" s="262"/>
      <c r="K99" s="262">
        <f t="shared" ref="K99:K105" si="15">G99*E99*I99</f>
        <v>0.29399999999999993</v>
      </c>
      <c r="L99" s="261">
        <f t="shared" si="14"/>
        <v>1.18</v>
      </c>
      <c r="M99" s="114"/>
    </row>
    <row r="100" spans="1:13" ht="25.5" x14ac:dyDescent="0.2">
      <c r="A100" s="113"/>
      <c r="B100" s="265" t="s">
        <v>382</v>
      </c>
      <c r="C100" s="264"/>
      <c r="D100" s="261">
        <v>8</v>
      </c>
      <c r="E100" s="261">
        <v>0.8</v>
      </c>
      <c r="F100" s="261"/>
      <c r="G100" s="261">
        <v>0.8</v>
      </c>
      <c r="H100" s="262"/>
      <c r="I100" s="262">
        <v>0.6</v>
      </c>
      <c r="J100" s="262"/>
      <c r="K100" s="262">
        <f t="shared" si="15"/>
        <v>0.38400000000000006</v>
      </c>
      <c r="L100" s="261">
        <f t="shared" si="14"/>
        <v>3.07</v>
      </c>
      <c r="M100" s="114"/>
    </row>
    <row r="101" spans="1:13" ht="12.75" x14ac:dyDescent="0.2">
      <c r="A101" s="113"/>
      <c r="B101" s="265" t="s">
        <v>383</v>
      </c>
      <c r="C101" s="264"/>
      <c r="D101" s="261">
        <v>1</v>
      </c>
      <c r="E101" s="261">
        <v>1</v>
      </c>
      <c r="F101" s="261"/>
      <c r="G101" s="261">
        <v>1</v>
      </c>
      <c r="H101" s="262"/>
      <c r="I101" s="262">
        <v>0.6</v>
      </c>
      <c r="J101" s="262"/>
      <c r="K101" s="262">
        <f t="shared" si="15"/>
        <v>0.6</v>
      </c>
      <c r="L101" s="261">
        <f t="shared" si="14"/>
        <v>0.6</v>
      </c>
      <c r="M101" s="114"/>
    </row>
    <row r="102" spans="1:13" ht="12.75" x14ac:dyDescent="0.2">
      <c r="A102" s="113"/>
      <c r="B102" s="265" t="s">
        <v>384</v>
      </c>
      <c r="C102" s="264"/>
      <c r="D102" s="261">
        <v>3</v>
      </c>
      <c r="E102" s="261">
        <v>1</v>
      </c>
      <c r="F102" s="261"/>
      <c r="G102" s="261">
        <v>0.9</v>
      </c>
      <c r="H102" s="262"/>
      <c r="I102" s="262">
        <v>0.6</v>
      </c>
      <c r="J102" s="262"/>
      <c r="K102" s="262">
        <f t="shared" si="15"/>
        <v>0.54</v>
      </c>
      <c r="L102" s="261">
        <f t="shared" si="14"/>
        <v>1.62</v>
      </c>
      <c r="M102" s="114"/>
    </row>
    <row r="103" spans="1:13" ht="12.75" x14ac:dyDescent="0.2">
      <c r="A103" s="113"/>
      <c r="B103" s="265" t="s">
        <v>385</v>
      </c>
      <c r="C103" s="264"/>
      <c r="D103" s="261">
        <v>2</v>
      </c>
      <c r="E103" s="261">
        <v>0.95</v>
      </c>
      <c r="F103" s="261"/>
      <c r="G103" s="261">
        <v>0.95</v>
      </c>
      <c r="H103" s="261"/>
      <c r="I103" s="261">
        <v>0.6</v>
      </c>
      <c r="J103" s="262"/>
      <c r="K103" s="262">
        <f t="shared" si="15"/>
        <v>0.54149999999999998</v>
      </c>
      <c r="L103" s="261">
        <f t="shared" si="14"/>
        <v>1.08</v>
      </c>
      <c r="M103" s="114"/>
    </row>
    <row r="104" spans="1:13" ht="12.75" x14ac:dyDescent="0.2">
      <c r="A104" s="113"/>
      <c r="B104" s="265" t="s">
        <v>386</v>
      </c>
      <c r="C104" s="264"/>
      <c r="D104" s="261">
        <v>1</v>
      </c>
      <c r="E104" s="261">
        <v>1.45</v>
      </c>
      <c r="F104" s="261"/>
      <c r="G104" s="261">
        <v>1.25</v>
      </c>
      <c r="H104" s="261"/>
      <c r="I104" s="261">
        <v>0.6</v>
      </c>
      <c r="J104" s="262"/>
      <c r="K104" s="262">
        <f t="shared" si="15"/>
        <v>1.0874999999999999</v>
      </c>
      <c r="L104" s="261">
        <f t="shared" si="14"/>
        <v>1.0900000000000001</v>
      </c>
      <c r="M104" s="114"/>
    </row>
    <row r="105" spans="1:13" ht="12.75" x14ac:dyDescent="0.2">
      <c r="A105" s="113"/>
      <c r="B105" s="265" t="s">
        <v>387</v>
      </c>
      <c r="C105" s="264"/>
      <c r="D105" s="261">
        <v>1</v>
      </c>
      <c r="E105" s="261">
        <v>1.1499999999999999</v>
      </c>
      <c r="F105" s="261"/>
      <c r="G105" s="261">
        <v>1</v>
      </c>
      <c r="H105" s="261"/>
      <c r="I105" s="261">
        <v>0.6</v>
      </c>
      <c r="J105" s="262"/>
      <c r="K105" s="262">
        <f t="shared" si="15"/>
        <v>0.69</v>
      </c>
      <c r="L105" s="261">
        <f t="shared" si="14"/>
        <v>0.69</v>
      </c>
      <c r="M105" s="114"/>
    </row>
    <row r="106" spans="1:13" ht="12.75" x14ac:dyDescent="0.2">
      <c r="A106" s="113"/>
      <c r="B106" s="131"/>
      <c r="C106" s="131"/>
      <c r="D106" s="118"/>
      <c r="E106" s="118"/>
      <c r="F106" s="118"/>
      <c r="G106" s="118"/>
      <c r="H106" s="118"/>
      <c r="I106" s="118"/>
      <c r="J106" s="117"/>
      <c r="K106" s="117"/>
      <c r="L106" s="118"/>
      <c r="M106" s="114"/>
    </row>
    <row r="107" spans="1:13" s="108" customFormat="1" ht="12.75" x14ac:dyDescent="0.2">
      <c r="A107" s="103" t="str">
        <f>'[4]Orçamento Sintético'!A23</f>
        <v>2.6</v>
      </c>
      <c r="B107" s="104" t="str">
        <f>'[4]Orçamento Sintético'!B23</f>
        <v>Reaterro manual de valas com compactação mecanizada.</v>
      </c>
      <c r="C107" s="105"/>
      <c r="D107" s="105"/>
      <c r="E107" s="105"/>
      <c r="F107" s="105"/>
      <c r="G107" s="105"/>
      <c r="H107" s="105"/>
      <c r="I107" s="105"/>
      <c r="J107" s="105"/>
      <c r="K107" s="105"/>
      <c r="L107" s="106">
        <f>SUM(L109:L141)</f>
        <v>22.250000000000004</v>
      </c>
      <c r="M107" s="107" t="s">
        <v>354</v>
      </c>
    </row>
    <row r="108" spans="1:13" ht="12.75" x14ac:dyDescent="0.2">
      <c r="A108" s="109"/>
      <c r="B108" s="778" t="s">
        <v>356</v>
      </c>
      <c r="C108" s="779"/>
      <c r="D108" s="110"/>
      <c r="E108" s="110"/>
      <c r="F108" s="110"/>
      <c r="G108" s="110"/>
      <c r="H108" s="110"/>
      <c r="I108" s="110"/>
      <c r="J108" s="111"/>
      <c r="K108" s="111"/>
      <c r="L108" s="110"/>
      <c r="M108" s="112"/>
    </row>
    <row r="109" spans="1:13" ht="12.75" customHeight="1" x14ac:dyDescent="0.2">
      <c r="A109" s="113"/>
      <c r="B109" s="778" t="s">
        <v>372</v>
      </c>
      <c r="C109" s="779"/>
      <c r="D109" s="110">
        <v>18</v>
      </c>
      <c r="E109" s="110">
        <v>0.45</v>
      </c>
      <c r="F109" s="110"/>
      <c r="G109" s="110">
        <v>0.45</v>
      </c>
      <c r="H109" s="110"/>
      <c r="I109" s="110">
        <v>0.6</v>
      </c>
      <c r="J109" s="111"/>
      <c r="K109" s="111">
        <f>I109*G109*E109</f>
        <v>0.12150000000000001</v>
      </c>
      <c r="L109" s="110">
        <f>ROUND(D109*K109,2)</f>
        <v>2.19</v>
      </c>
      <c r="M109" s="114"/>
    </row>
    <row r="110" spans="1:13" ht="12.75" x14ac:dyDescent="0.2">
      <c r="A110" s="113"/>
      <c r="B110" s="778"/>
      <c r="C110" s="779"/>
      <c r="D110" s="110"/>
      <c r="E110" s="110"/>
      <c r="F110" s="110"/>
      <c r="G110" s="110"/>
      <c r="H110" s="110"/>
      <c r="I110" s="110"/>
      <c r="J110" s="111"/>
      <c r="K110" s="111"/>
      <c r="L110" s="110"/>
      <c r="M110" s="114"/>
    </row>
    <row r="111" spans="1:13" ht="12.75" x14ac:dyDescent="0.2">
      <c r="A111" s="113"/>
      <c r="B111" s="802" t="s">
        <v>359</v>
      </c>
      <c r="C111" s="803"/>
      <c r="D111" s="110">
        <v>3</v>
      </c>
      <c r="E111" s="110">
        <v>27</v>
      </c>
      <c r="F111" s="110"/>
      <c r="G111" s="110">
        <v>0.1</v>
      </c>
      <c r="H111" s="110"/>
      <c r="I111" s="110">
        <v>0.3</v>
      </c>
      <c r="J111" s="111"/>
      <c r="K111" s="111">
        <f>I111*G111*E111</f>
        <v>0.80999999999999994</v>
      </c>
      <c r="L111" s="110">
        <f>ROUND(D111*K111,2)</f>
        <v>2.4300000000000002</v>
      </c>
      <c r="M111" s="114"/>
    </row>
    <row r="112" spans="1:13" ht="12.75" customHeight="1" x14ac:dyDescent="0.2">
      <c r="A112" s="113"/>
      <c r="B112" s="778"/>
      <c r="C112" s="779"/>
      <c r="D112" s="110">
        <v>6</v>
      </c>
      <c r="E112" s="110">
        <v>8</v>
      </c>
      <c r="F112" s="110"/>
      <c r="G112" s="110">
        <v>0.1</v>
      </c>
      <c r="H112" s="110"/>
      <c r="I112" s="110">
        <v>0.3</v>
      </c>
      <c r="J112" s="111"/>
      <c r="K112" s="111">
        <f>I112*G112*E112</f>
        <v>0.24</v>
      </c>
      <c r="L112" s="110">
        <f>ROUND(D112*K112,2)</f>
        <v>1.44</v>
      </c>
      <c r="M112" s="114"/>
    </row>
    <row r="113" spans="1:13" ht="12.75" customHeight="1" x14ac:dyDescent="0.2">
      <c r="A113" s="113"/>
      <c r="B113" s="121"/>
      <c r="C113" s="121"/>
      <c r="D113" s="118"/>
      <c r="E113" s="118"/>
      <c r="F113" s="118"/>
      <c r="G113" s="118"/>
      <c r="H113" s="118"/>
      <c r="I113" s="118"/>
      <c r="J113" s="117"/>
      <c r="K113" s="117"/>
      <c r="L113" s="118"/>
      <c r="M113" s="114"/>
    </row>
    <row r="114" spans="1:13" ht="12.75" x14ac:dyDescent="0.2">
      <c r="A114" s="113"/>
      <c r="B114" s="778" t="s">
        <v>360</v>
      </c>
      <c r="C114" s="779"/>
      <c r="D114" s="110"/>
      <c r="E114" s="110"/>
      <c r="F114" s="110"/>
      <c r="G114" s="110"/>
      <c r="H114" s="110"/>
      <c r="I114" s="110"/>
      <c r="J114" s="111"/>
      <c r="K114" s="111"/>
      <c r="L114" s="110"/>
      <c r="M114" s="114"/>
    </row>
    <row r="115" spans="1:13" ht="12.75" x14ac:dyDescent="0.2">
      <c r="A115" s="113"/>
      <c r="B115" s="778" t="s">
        <v>388</v>
      </c>
      <c r="C115" s="779"/>
      <c r="D115" s="110">
        <v>6</v>
      </c>
      <c r="E115" s="110">
        <v>0.45</v>
      </c>
      <c r="F115" s="110"/>
      <c r="G115" s="110">
        <v>0.45</v>
      </c>
      <c r="H115" s="110"/>
      <c r="I115" s="110">
        <v>0.6</v>
      </c>
      <c r="J115" s="111"/>
      <c r="K115" s="111">
        <f t="shared" ref="K115:K125" si="16">I115*G115*E115</f>
        <v>0.12150000000000001</v>
      </c>
      <c r="L115" s="110">
        <f t="shared" ref="L115:L125" si="17">ROUND(D115*K115,2)</f>
        <v>0.73</v>
      </c>
      <c r="M115" s="114"/>
    </row>
    <row r="116" spans="1:13" ht="12.75" x14ac:dyDescent="0.2">
      <c r="A116" s="113"/>
      <c r="B116" s="778" t="s">
        <v>374</v>
      </c>
      <c r="C116" s="779"/>
      <c r="D116" s="110">
        <v>8</v>
      </c>
      <c r="E116" s="110">
        <v>0.45</v>
      </c>
      <c r="F116" s="110"/>
      <c r="G116" s="110">
        <v>0.45</v>
      </c>
      <c r="H116" s="110"/>
      <c r="I116" s="110">
        <v>0.6</v>
      </c>
      <c r="J116" s="111"/>
      <c r="K116" s="111">
        <f t="shared" si="16"/>
        <v>0.12150000000000001</v>
      </c>
      <c r="L116" s="110">
        <f t="shared" si="17"/>
        <v>0.97</v>
      </c>
      <c r="M116" s="114"/>
    </row>
    <row r="117" spans="1:13" ht="12.75" x14ac:dyDescent="0.2">
      <c r="A117" s="113"/>
      <c r="B117" s="122" t="s">
        <v>375</v>
      </c>
      <c r="C117" s="128"/>
      <c r="D117" s="110">
        <v>1</v>
      </c>
      <c r="E117" s="110">
        <v>0.45</v>
      </c>
      <c r="F117" s="110"/>
      <c r="G117" s="110">
        <v>0.45</v>
      </c>
      <c r="H117" s="110"/>
      <c r="I117" s="110">
        <v>0.6</v>
      </c>
      <c r="J117" s="111"/>
      <c r="K117" s="111">
        <f t="shared" si="16"/>
        <v>0.12150000000000001</v>
      </c>
      <c r="L117" s="110">
        <f t="shared" si="17"/>
        <v>0.12</v>
      </c>
      <c r="M117" s="114"/>
    </row>
    <row r="118" spans="1:13" ht="12.75" x14ac:dyDescent="0.2">
      <c r="A118" s="113"/>
      <c r="B118" s="778" t="s">
        <v>376</v>
      </c>
      <c r="C118" s="779"/>
      <c r="D118" s="110">
        <v>1</v>
      </c>
      <c r="E118" s="110">
        <v>0.45</v>
      </c>
      <c r="F118" s="110"/>
      <c r="G118" s="110">
        <v>0.45</v>
      </c>
      <c r="H118" s="110"/>
      <c r="I118" s="110">
        <v>0.6</v>
      </c>
      <c r="J118" s="111"/>
      <c r="K118" s="111">
        <f t="shared" si="16"/>
        <v>0.12150000000000001</v>
      </c>
      <c r="L118" s="110">
        <f t="shared" si="17"/>
        <v>0.12</v>
      </c>
      <c r="M118" s="114"/>
    </row>
    <row r="119" spans="1:13" ht="12.75" x14ac:dyDescent="0.2">
      <c r="A119" s="113"/>
      <c r="B119" s="122" t="s">
        <v>377</v>
      </c>
      <c r="C119" s="128"/>
      <c r="D119" s="110">
        <v>2</v>
      </c>
      <c r="E119" s="110">
        <v>0.45</v>
      </c>
      <c r="F119" s="110"/>
      <c r="G119" s="110">
        <v>0.45</v>
      </c>
      <c r="H119" s="110"/>
      <c r="I119" s="110">
        <v>0.6</v>
      </c>
      <c r="J119" s="111"/>
      <c r="K119" s="111">
        <f t="shared" si="16"/>
        <v>0.12150000000000001</v>
      </c>
      <c r="L119" s="110">
        <f t="shared" si="17"/>
        <v>0.24</v>
      </c>
      <c r="M119" s="114"/>
    </row>
    <row r="120" spans="1:13" ht="12.75" x14ac:dyDescent="0.2">
      <c r="A120" s="113"/>
      <c r="B120" s="778" t="s">
        <v>389</v>
      </c>
      <c r="C120" s="779"/>
      <c r="D120" s="110">
        <v>1</v>
      </c>
      <c r="E120" s="110">
        <v>0.45</v>
      </c>
      <c r="F120" s="110"/>
      <c r="G120" s="110">
        <v>0.45</v>
      </c>
      <c r="H120" s="110"/>
      <c r="I120" s="110">
        <v>0.6</v>
      </c>
      <c r="J120" s="111"/>
      <c r="K120" s="111">
        <f t="shared" si="16"/>
        <v>0.12150000000000001</v>
      </c>
      <c r="L120" s="110">
        <f t="shared" si="17"/>
        <v>0.12</v>
      </c>
      <c r="M120" s="114"/>
    </row>
    <row r="121" spans="1:13" ht="12.75" x14ac:dyDescent="0.2">
      <c r="A121" s="113"/>
      <c r="B121" s="778" t="s">
        <v>361</v>
      </c>
      <c r="C121" s="779"/>
      <c r="D121" s="110">
        <v>9</v>
      </c>
      <c r="E121" s="110">
        <v>0.45</v>
      </c>
      <c r="F121" s="110"/>
      <c r="G121" s="110">
        <v>0.45</v>
      </c>
      <c r="H121" s="110"/>
      <c r="I121" s="110">
        <v>0.6</v>
      </c>
      <c r="J121" s="111"/>
      <c r="K121" s="111">
        <f t="shared" si="16"/>
        <v>0.12150000000000001</v>
      </c>
      <c r="L121" s="110">
        <f t="shared" si="17"/>
        <v>1.0900000000000001</v>
      </c>
      <c r="M121" s="114"/>
    </row>
    <row r="122" spans="1:13" ht="12.75" x14ac:dyDescent="0.2">
      <c r="A122" s="113"/>
      <c r="B122" s="778" t="s">
        <v>362</v>
      </c>
      <c r="C122" s="779"/>
      <c r="D122" s="110">
        <v>3</v>
      </c>
      <c r="E122" s="110">
        <v>0.45</v>
      </c>
      <c r="F122" s="110"/>
      <c r="G122" s="110">
        <v>0.45</v>
      </c>
      <c r="H122" s="110"/>
      <c r="I122" s="110">
        <v>0.6</v>
      </c>
      <c r="J122" s="111"/>
      <c r="K122" s="111">
        <f t="shared" si="16"/>
        <v>0.12150000000000001</v>
      </c>
      <c r="L122" s="110">
        <f t="shared" si="17"/>
        <v>0.36</v>
      </c>
      <c r="M122" s="114"/>
    </row>
    <row r="123" spans="1:13" ht="12.75" x14ac:dyDescent="0.2">
      <c r="A123" s="113"/>
      <c r="B123" s="778" t="s">
        <v>363</v>
      </c>
      <c r="C123" s="779"/>
      <c r="D123" s="110">
        <v>1</v>
      </c>
      <c r="E123" s="110">
        <v>0.45</v>
      </c>
      <c r="F123" s="110"/>
      <c r="G123" s="110">
        <v>0.45</v>
      </c>
      <c r="H123" s="110"/>
      <c r="I123" s="110">
        <v>0.6</v>
      </c>
      <c r="J123" s="111"/>
      <c r="K123" s="111">
        <f t="shared" si="16"/>
        <v>0.12150000000000001</v>
      </c>
      <c r="L123" s="110">
        <f t="shared" si="17"/>
        <v>0.12</v>
      </c>
      <c r="M123" s="114"/>
    </row>
    <row r="124" spans="1:13" ht="12.75" x14ac:dyDescent="0.2">
      <c r="A124" s="113"/>
      <c r="B124" s="778" t="s">
        <v>364</v>
      </c>
      <c r="C124" s="779"/>
      <c r="D124" s="110">
        <v>1</v>
      </c>
      <c r="E124" s="110">
        <v>0.45</v>
      </c>
      <c r="F124" s="110"/>
      <c r="G124" s="110">
        <v>0.45</v>
      </c>
      <c r="H124" s="110"/>
      <c r="I124" s="110">
        <v>0.6</v>
      </c>
      <c r="J124" s="111"/>
      <c r="K124" s="111">
        <f t="shared" si="16"/>
        <v>0.12150000000000001</v>
      </c>
      <c r="L124" s="110">
        <f t="shared" si="17"/>
        <v>0.12</v>
      </c>
      <c r="M124" s="114"/>
    </row>
    <row r="125" spans="1:13" ht="25.5" x14ac:dyDescent="0.2">
      <c r="A125" s="113"/>
      <c r="B125" s="122" t="s">
        <v>365</v>
      </c>
      <c r="C125" s="123"/>
      <c r="D125" s="110">
        <v>5</v>
      </c>
      <c r="E125" s="110">
        <v>0.45</v>
      </c>
      <c r="F125" s="110"/>
      <c r="G125" s="110">
        <v>0.45</v>
      </c>
      <c r="H125" s="110"/>
      <c r="I125" s="110">
        <v>0.6</v>
      </c>
      <c r="J125" s="111"/>
      <c r="K125" s="111">
        <f t="shared" si="16"/>
        <v>0.12150000000000001</v>
      </c>
      <c r="L125" s="110">
        <f t="shared" si="17"/>
        <v>0.61</v>
      </c>
      <c r="M125" s="114"/>
    </row>
    <row r="126" spans="1:13" ht="12.75" x14ac:dyDescent="0.2">
      <c r="A126" s="113"/>
      <c r="B126" s="124"/>
      <c r="C126" s="123"/>
      <c r="D126" s="110"/>
      <c r="E126" s="110"/>
      <c r="F126" s="110"/>
      <c r="G126" s="110"/>
      <c r="H126" s="110"/>
      <c r="I126" s="110"/>
      <c r="J126" s="111"/>
      <c r="K126" s="111"/>
      <c r="L126" s="110"/>
      <c r="M126" s="114"/>
    </row>
    <row r="127" spans="1:13" ht="12.75" x14ac:dyDescent="0.2">
      <c r="A127" s="113"/>
      <c r="B127" s="802" t="s">
        <v>359</v>
      </c>
      <c r="C127" s="803"/>
      <c r="D127" s="110">
        <v>1</v>
      </c>
      <c r="E127" s="110">
        <v>5.2</v>
      </c>
      <c r="F127" s="110"/>
      <c r="G127" s="110">
        <v>0.1</v>
      </c>
      <c r="H127" s="110"/>
      <c r="I127" s="110">
        <v>0.3</v>
      </c>
      <c r="J127" s="111"/>
      <c r="K127" s="111">
        <f t="shared" ref="K127:K133" si="18">I127*G127*E127</f>
        <v>0.156</v>
      </c>
      <c r="L127" s="110">
        <f t="shared" ref="L127:L141" si="19">ROUND(D127*K127,2)</f>
        <v>0.16</v>
      </c>
      <c r="M127" s="114"/>
    </row>
    <row r="128" spans="1:13" ht="12.75" x14ac:dyDescent="0.2">
      <c r="A128" s="113"/>
      <c r="B128" s="125"/>
      <c r="C128" s="126"/>
      <c r="D128" s="110">
        <v>2</v>
      </c>
      <c r="E128" s="110">
        <v>8.6999999999999993</v>
      </c>
      <c r="F128" s="110"/>
      <c r="G128" s="110">
        <v>0.1</v>
      </c>
      <c r="H128" s="110"/>
      <c r="I128" s="110">
        <v>0.3</v>
      </c>
      <c r="J128" s="111"/>
      <c r="K128" s="111">
        <f t="shared" si="18"/>
        <v>0.26099999999999995</v>
      </c>
      <c r="L128" s="110">
        <f t="shared" si="19"/>
        <v>0.52</v>
      </c>
      <c r="M128" s="114"/>
    </row>
    <row r="129" spans="1:13" ht="12.75" x14ac:dyDescent="0.2">
      <c r="A129" s="113"/>
      <c r="B129" s="125"/>
      <c r="C129" s="126"/>
      <c r="D129" s="110">
        <v>1</v>
      </c>
      <c r="E129" s="110">
        <v>19</v>
      </c>
      <c r="F129" s="110"/>
      <c r="G129" s="110">
        <v>0.1</v>
      </c>
      <c r="H129" s="110"/>
      <c r="I129" s="110">
        <v>0.3</v>
      </c>
      <c r="J129" s="111"/>
      <c r="K129" s="111">
        <f t="shared" si="18"/>
        <v>0.56999999999999995</v>
      </c>
      <c r="L129" s="110">
        <f t="shared" si="19"/>
        <v>0.56999999999999995</v>
      </c>
      <c r="M129" s="114"/>
    </row>
    <row r="130" spans="1:13" ht="12.75" x14ac:dyDescent="0.2">
      <c r="A130" s="113"/>
      <c r="B130" s="125"/>
      <c r="C130" s="126"/>
      <c r="D130" s="110">
        <v>18</v>
      </c>
      <c r="E130" s="110">
        <v>1.25</v>
      </c>
      <c r="F130" s="110"/>
      <c r="G130" s="110">
        <v>0.3</v>
      </c>
      <c r="H130" s="110"/>
      <c r="I130" s="110">
        <v>0.4</v>
      </c>
      <c r="J130" s="111"/>
      <c r="K130" s="111">
        <f t="shared" si="18"/>
        <v>0.15</v>
      </c>
      <c r="L130" s="110">
        <f t="shared" si="19"/>
        <v>2.7</v>
      </c>
      <c r="M130" s="114"/>
    </row>
    <row r="131" spans="1:13" ht="12.75" x14ac:dyDescent="0.2">
      <c r="A131" s="113"/>
      <c r="B131" s="125"/>
      <c r="C131" s="126"/>
      <c r="D131" s="110">
        <v>2</v>
      </c>
      <c r="E131" s="110">
        <v>7.7</v>
      </c>
      <c r="F131" s="110"/>
      <c r="G131" s="110">
        <v>0.3</v>
      </c>
      <c r="H131" s="110"/>
      <c r="I131" s="110">
        <v>0.4</v>
      </c>
      <c r="J131" s="111"/>
      <c r="K131" s="111">
        <f t="shared" si="18"/>
        <v>0.92399999999999993</v>
      </c>
      <c r="L131" s="110">
        <f t="shared" si="19"/>
        <v>1.85</v>
      </c>
      <c r="M131" s="114"/>
    </row>
    <row r="132" spans="1:13" ht="12.75" x14ac:dyDescent="0.2">
      <c r="A132" s="113"/>
      <c r="B132" s="121"/>
      <c r="C132" s="121"/>
      <c r="D132" s="110">
        <v>1</v>
      </c>
      <c r="E132" s="110">
        <v>18.850000000000001</v>
      </c>
      <c r="F132" s="110"/>
      <c r="G132" s="110">
        <v>0.3</v>
      </c>
      <c r="H132" s="110"/>
      <c r="I132" s="110">
        <v>0.4</v>
      </c>
      <c r="J132" s="111"/>
      <c r="K132" s="111">
        <f t="shared" si="18"/>
        <v>2.262</v>
      </c>
      <c r="L132" s="110">
        <f t="shared" si="19"/>
        <v>2.2599999999999998</v>
      </c>
      <c r="M132" s="114"/>
    </row>
    <row r="133" spans="1:13" ht="12.75" x14ac:dyDescent="0.2">
      <c r="A133" s="113"/>
      <c r="B133" s="131" t="s">
        <v>83</v>
      </c>
      <c r="C133" s="131"/>
      <c r="D133" s="118">
        <v>4</v>
      </c>
      <c r="E133" s="118">
        <v>0.7</v>
      </c>
      <c r="F133" s="118"/>
      <c r="G133" s="118">
        <v>0.7</v>
      </c>
      <c r="H133" s="118"/>
      <c r="I133" s="118">
        <v>0.7</v>
      </c>
      <c r="J133" s="117"/>
      <c r="K133" s="117">
        <f t="shared" si="18"/>
        <v>0.34299999999999992</v>
      </c>
      <c r="L133" s="118">
        <f t="shared" si="19"/>
        <v>1.37</v>
      </c>
      <c r="M133" s="114"/>
    </row>
    <row r="134" spans="1:13" ht="12.75" x14ac:dyDescent="0.2">
      <c r="A134" s="113"/>
      <c r="B134" s="131" t="s">
        <v>380</v>
      </c>
      <c r="C134" s="132"/>
      <c r="D134" s="133">
        <v>4</v>
      </c>
      <c r="E134" s="133">
        <v>0.5</v>
      </c>
      <c r="F134" s="118"/>
      <c r="G134" s="118">
        <v>0.5</v>
      </c>
      <c r="H134" s="117"/>
      <c r="I134" s="117">
        <v>0.25</v>
      </c>
      <c r="J134" s="117"/>
      <c r="K134" s="117">
        <f>G134*E134*I134</f>
        <v>6.25E-2</v>
      </c>
      <c r="L134" s="118">
        <f t="shared" si="19"/>
        <v>0.25</v>
      </c>
      <c r="M134" s="114"/>
    </row>
    <row r="135" spans="1:13" ht="12.75" x14ac:dyDescent="0.2">
      <c r="A135" s="113"/>
      <c r="B135" s="131" t="s">
        <v>381</v>
      </c>
      <c r="C135" s="132"/>
      <c r="D135" s="133">
        <v>4</v>
      </c>
      <c r="E135" s="133">
        <v>0.5</v>
      </c>
      <c r="F135" s="118"/>
      <c r="G135" s="118">
        <v>0.5</v>
      </c>
      <c r="H135" s="117"/>
      <c r="I135" s="117">
        <v>0.25</v>
      </c>
      <c r="J135" s="117"/>
      <c r="K135" s="117">
        <f t="shared" ref="K135:K141" si="20">G135*E135*I135</f>
        <v>6.25E-2</v>
      </c>
      <c r="L135" s="118">
        <f t="shared" si="19"/>
        <v>0.25</v>
      </c>
      <c r="M135" s="114"/>
    </row>
    <row r="136" spans="1:13" ht="25.5" x14ac:dyDescent="0.2">
      <c r="A136" s="113"/>
      <c r="B136" s="131" t="s">
        <v>382</v>
      </c>
      <c r="C136" s="132"/>
      <c r="D136" s="133">
        <v>8</v>
      </c>
      <c r="E136" s="133">
        <v>0.5</v>
      </c>
      <c r="F136" s="118"/>
      <c r="G136" s="118">
        <v>0.5</v>
      </c>
      <c r="H136" s="117"/>
      <c r="I136" s="117">
        <v>0.25</v>
      </c>
      <c r="J136" s="117"/>
      <c r="K136" s="117">
        <f t="shared" si="20"/>
        <v>6.25E-2</v>
      </c>
      <c r="L136" s="118">
        <f t="shared" si="19"/>
        <v>0.5</v>
      </c>
      <c r="M136" s="114"/>
    </row>
    <row r="137" spans="1:13" ht="12.75" x14ac:dyDescent="0.2">
      <c r="A137" s="113"/>
      <c r="B137" s="131" t="s">
        <v>383</v>
      </c>
      <c r="C137" s="132"/>
      <c r="D137" s="133">
        <v>1</v>
      </c>
      <c r="E137" s="133">
        <v>0.8</v>
      </c>
      <c r="F137" s="118"/>
      <c r="G137" s="118">
        <v>0.7</v>
      </c>
      <c r="H137" s="117"/>
      <c r="I137" s="117">
        <v>0.25</v>
      </c>
      <c r="J137" s="117"/>
      <c r="K137" s="117">
        <f t="shared" si="20"/>
        <v>0.13999999999999999</v>
      </c>
      <c r="L137" s="118">
        <f t="shared" si="19"/>
        <v>0.14000000000000001</v>
      </c>
      <c r="M137" s="114"/>
    </row>
    <row r="138" spans="1:13" ht="12.75" x14ac:dyDescent="0.2">
      <c r="A138" s="113"/>
      <c r="B138" s="131" t="s">
        <v>384</v>
      </c>
      <c r="C138" s="132"/>
      <c r="D138" s="133">
        <v>3</v>
      </c>
      <c r="E138" s="133">
        <v>0.8</v>
      </c>
      <c r="F138" s="118"/>
      <c r="G138" s="118">
        <v>0.6</v>
      </c>
      <c r="H138" s="117"/>
      <c r="I138" s="117">
        <v>0.25</v>
      </c>
      <c r="J138" s="117"/>
      <c r="K138" s="117">
        <f t="shared" si="20"/>
        <v>0.12</v>
      </c>
      <c r="L138" s="118">
        <f t="shared" si="19"/>
        <v>0.36</v>
      </c>
      <c r="M138" s="114"/>
    </row>
    <row r="139" spans="1:13" ht="12.75" x14ac:dyDescent="0.2">
      <c r="A139" s="113"/>
      <c r="B139" s="131" t="s">
        <v>385</v>
      </c>
      <c r="C139" s="132"/>
      <c r="D139" s="133">
        <v>2</v>
      </c>
      <c r="E139" s="133">
        <v>0.75</v>
      </c>
      <c r="F139" s="133"/>
      <c r="G139" s="133">
        <v>0.55000000000000004</v>
      </c>
      <c r="H139" s="118"/>
      <c r="I139" s="118">
        <v>0.25</v>
      </c>
      <c r="J139" s="117"/>
      <c r="K139" s="117">
        <f t="shared" si="20"/>
        <v>0.10312500000000001</v>
      </c>
      <c r="L139" s="118">
        <f t="shared" si="19"/>
        <v>0.21</v>
      </c>
      <c r="M139" s="114"/>
    </row>
    <row r="140" spans="1:13" ht="12.75" x14ac:dyDescent="0.2">
      <c r="A140" s="113"/>
      <c r="B140" s="131" t="s">
        <v>386</v>
      </c>
      <c r="C140" s="132"/>
      <c r="D140" s="133">
        <v>1</v>
      </c>
      <c r="E140" s="133">
        <v>1.05</v>
      </c>
      <c r="F140" s="133"/>
      <c r="G140" s="133">
        <v>1.05</v>
      </c>
      <c r="H140" s="118"/>
      <c r="I140" s="118">
        <v>0.25</v>
      </c>
      <c r="J140" s="117"/>
      <c r="K140" s="117">
        <f t="shared" si="20"/>
        <v>0.27562500000000001</v>
      </c>
      <c r="L140" s="118">
        <f t="shared" si="19"/>
        <v>0.28000000000000003</v>
      </c>
      <c r="M140" s="114"/>
    </row>
    <row r="141" spans="1:13" ht="12.75" x14ac:dyDescent="0.2">
      <c r="A141" s="113"/>
      <c r="B141" s="131" t="s">
        <v>387</v>
      </c>
      <c r="C141" s="132"/>
      <c r="D141" s="133">
        <v>1</v>
      </c>
      <c r="E141" s="133">
        <v>0.87</v>
      </c>
      <c r="F141" s="133"/>
      <c r="G141" s="133">
        <v>0.8</v>
      </c>
      <c r="H141" s="118"/>
      <c r="I141" s="118">
        <v>0.25</v>
      </c>
      <c r="J141" s="117"/>
      <c r="K141" s="117">
        <f t="shared" si="20"/>
        <v>0.17400000000000002</v>
      </c>
      <c r="L141" s="118">
        <f t="shared" si="19"/>
        <v>0.17</v>
      </c>
      <c r="M141" s="114"/>
    </row>
    <row r="142" spans="1:13" ht="12.75" x14ac:dyDescent="0.2">
      <c r="A142" s="113"/>
      <c r="B142" s="121"/>
      <c r="C142" s="121"/>
      <c r="D142" s="118"/>
      <c r="E142" s="118"/>
      <c r="F142" s="118"/>
      <c r="G142" s="118"/>
      <c r="H142" s="118"/>
      <c r="I142" s="118"/>
      <c r="J142" s="117"/>
      <c r="K142" s="117"/>
      <c r="L142" s="118"/>
      <c r="M142" s="114"/>
    </row>
    <row r="143" spans="1:13" ht="12.75" x14ac:dyDescent="0.2">
      <c r="A143" s="113"/>
      <c r="B143" s="121"/>
      <c r="C143" s="121"/>
      <c r="D143" s="118"/>
      <c r="E143" s="118"/>
      <c r="F143" s="118"/>
      <c r="G143" s="118"/>
      <c r="H143" s="118"/>
      <c r="I143" s="118"/>
      <c r="J143" s="117"/>
      <c r="K143" s="117"/>
      <c r="L143" s="118"/>
      <c r="M143" s="114"/>
    </row>
    <row r="144" spans="1:13" s="108" customFormat="1" ht="12.75" x14ac:dyDescent="0.2">
      <c r="A144" s="103" t="str">
        <f>'[4]Orçamento Sintético'!A24</f>
        <v>2.7</v>
      </c>
      <c r="B144" s="104" t="str">
        <f>'[4]Orçamento Sintético'!B24</f>
        <v>Lastro de concreto magro, aplicado em pisos, lajes sobre solo ou radiers, espessura de 5 cm</v>
      </c>
      <c r="C144" s="105"/>
      <c r="D144" s="105"/>
      <c r="E144" s="105"/>
      <c r="F144" s="105"/>
      <c r="G144" s="105"/>
      <c r="H144" s="105"/>
      <c r="I144" s="105"/>
      <c r="J144" s="105"/>
      <c r="K144" s="105"/>
      <c r="L144" s="106">
        <f>SUM(L146:L171)</f>
        <v>45.52</v>
      </c>
      <c r="M144" s="107" t="s">
        <v>0</v>
      </c>
    </row>
    <row r="145" spans="1:15" ht="12.75" x14ac:dyDescent="0.2">
      <c r="A145" s="109"/>
      <c r="B145" s="778" t="s">
        <v>356</v>
      </c>
      <c r="C145" s="779"/>
      <c r="D145" s="110"/>
      <c r="E145" s="110"/>
      <c r="F145" s="110"/>
      <c r="G145" s="110"/>
      <c r="H145" s="110"/>
      <c r="I145" s="110"/>
      <c r="J145" s="111"/>
      <c r="K145" s="111"/>
      <c r="L145" s="110"/>
      <c r="M145" s="112"/>
    </row>
    <row r="146" spans="1:15" ht="12.75" customHeight="1" x14ac:dyDescent="0.2">
      <c r="A146" s="113"/>
      <c r="B146" s="778" t="s">
        <v>390</v>
      </c>
      <c r="C146" s="779"/>
      <c r="D146" s="110">
        <v>14</v>
      </c>
      <c r="E146" s="110">
        <v>0.6</v>
      </c>
      <c r="F146" s="110"/>
      <c r="G146" s="110">
        <v>0.6</v>
      </c>
      <c r="H146" s="110"/>
      <c r="I146" s="110"/>
      <c r="J146" s="111"/>
      <c r="K146" s="111">
        <f>G146*E146</f>
        <v>0.36</v>
      </c>
      <c r="L146" s="110">
        <f>ROUND(D146*K146,2)</f>
        <v>5.04</v>
      </c>
      <c r="M146" s="114"/>
      <c r="O146" s="108"/>
    </row>
    <row r="147" spans="1:15" ht="12.75" x14ac:dyDescent="0.2">
      <c r="A147" s="113"/>
      <c r="B147" s="778" t="s">
        <v>357</v>
      </c>
      <c r="C147" s="779"/>
      <c r="D147" s="110">
        <v>1</v>
      </c>
      <c r="E147" s="110">
        <v>0.8</v>
      </c>
      <c r="F147" s="110"/>
      <c r="G147" s="110">
        <v>0.8</v>
      </c>
      <c r="H147" s="110"/>
      <c r="I147" s="110"/>
      <c r="J147" s="111"/>
      <c r="K147" s="111">
        <f>G147*E147</f>
        <v>0.64000000000000012</v>
      </c>
      <c r="L147" s="110">
        <f>ROUND(D147*K147,2)</f>
        <v>0.64</v>
      </c>
      <c r="M147" s="114"/>
      <c r="O147" s="108"/>
    </row>
    <row r="148" spans="1:15" ht="12.75" x14ac:dyDescent="0.2">
      <c r="A148" s="113"/>
      <c r="B148" s="778" t="s">
        <v>358</v>
      </c>
      <c r="C148" s="779"/>
      <c r="D148" s="110">
        <v>3</v>
      </c>
      <c r="E148" s="110">
        <v>0.7</v>
      </c>
      <c r="F148" s="110"/>
      <c r="G148" s="110">
        <v>0.7</v>
      </c>
      <c r="H148" s="110"/>
      <c r="I148" s="110"/>
      <c r="J148" s="111"/>
      <c r="K148" s="111">
        <f>G148*E148</f>
        <v>0.48999999999999994</v>
      </c>
      <c r="L148" s="110">
        <f>ROUND(D148*K148,2)</f>
        <v>1.47</v>
      </c>
      <c r="M148" s="114"/>
      <c r="O148" s="108"/>
    </row>
    <row r="149" spans="1:15" ht="12.75" customHeight="1" x14ac:dyDescent="0.2">
      <c r="A149" s="113"/>
      <c r="B149" s="800"/>
      <c r="C149" s="801"/>
      <c r="D149" s="110"/>
      <c r="E149" s="110"/>
      <c r="F149" s="110"/>
      <c r="G149" s="110"/>
      <c r="H149" s="110"/>
      <c r="I149" s="110"/>
      <c r="J149" s="111"/>
      <c r="K149" s="111"/>
      <c r="L149" s="110"/>
      <c r="M149" s="114"/>
      <c r="O149" s="108"/>
    </row>
    <row r="150" spans="1:15" ht="12.75" x14ac:dyDescent="0.2">
      <c r="A150" s="113"/>
      <c r="B150" s="778" t="s">
        <v>360</v>
      </c>
      <c r="C150" s="779"/>
      <c r="D150" s="110"/>
      <c r="E150" s="110"/>
      <c r="F150" s="110"/>
      <c r="G150" s="110"/>
      <c r="H150" s="110"/>
      <c r="I150" s="110"/>
      <c r="J150" s="111"/>
      <c r="K150" s="111">
        <f t="shared" ref="K150:K161" si="21">G150*E150</f>
        <v>0</v>
      </c>
      <c r="L150" s="110">
        <f t="shared" ref="L150:L170" si="22">ROUND(D150*K150,2)</f>
        <v>0</v>
      </c>
      <c r="M150" s="114"/>
      <c r="O150" s="108"/>
    </row>
    <row r="151" spans="1:15" ht="12.75" x14ac:dyDescent="0.2">
      <c r="A151" s="113"/>
      <c r="B151" s="778" t="s">
        <v>361</v>
      </c>
      <c r="C151" s="779"/>
      <c r="D151" s="110">
        <v>9</v>
      </c>
      <c r="E151" s="110">
        <v>0.8</v>
      </c>
      <c r="F151" s="110"/>
      <c r="G151" s="110">
        <v>0.7</v>
      </c>
      <c r="H151" s="110"/>
      <c r="I151" s="110"/>
      <c r="J151" s="111"/>
      <c r="K151" s="111">
        <f t="shared" si="21"/>
        <v>0.55999999999999994</v>
      </c>
      <c r="L151" s="110">
        <f t="shared" si="22"/>
        <v>5.04</v>
      </c>
      <c r="M151" s="114"/>
    </row>
    <row r="152" spans="1:15" ht="12.75" x14ac:dyDescent="0.2">
      <c r="A152" s="113"/>
      <c r="B152" s="778" t="s">
        <v>362</v>
      </c>
      <c r="C152" s="779"/>
      <c r="D152" s="110">
        <v>3</v>
      </c>
      <c r="E152" s="110">
        <v>0.6</v>
      </c>
      <c r="F152" s="110"/>
      <c r="G152" s="110">
        <v>0.6</v>
      </c>
      <c r="H152" s="110"/>
      <c r="I152" s="110"/>
      <c r="J152" s="111"/>
      <c r="K152" s="111">
        <f t="shared" si="21"/>
        <v>0.36</v>
      </c>
      <c r="L152" s="110">
        <f t="shared" si="22"/>
        <v>1.08</v>
      </c>
      <c r="M152" s="114"/>
    </row>
    <row r="153" spans="1:15" ht="12.75" x14ac:dyDescent="0.2">
      <c r="A153" s="113"/>
      <c r="B153" s="778" t="s">
        <v>363</v>
      </c>
      <c r="C153" s="779"/>
      <c r="D153" s="110">
        <v>1</v>
      </c>
      <c r="E153" s="110">
        <v>0.6</v>
      </c>
      <c r="F153" s="110"/>
      <c r="G153" s="110">
        <v>0.6</v>
      </c>
      <c r="H153" s="110"/>
      <c r="I153" s="110"/>
      <c r="J153" s="111"/>
      <c r="K153" s="111">
        <f t="shared" si="21"/>
        <v>0.36</v>
      </c>
      <c r="L153" s="110">
        <f t="shared" si="22"/>
        <v>0.36</v>
      </c>
      <c r="M153" s="114"/>
    </row>
    <row r="154" spans="1:15" ht="12.75" x14ac:dyDescent="0.2">
      <c r="A154" s="113"/>
      <c r="B154" s="778" t="s">
        <v>364</v>
      </c>
      <c r="C154" s="779"/>
      <c r="D154" s="110">
        <v>1</v>
      </c>
      <c r="E154" s="110">
        <v>0.7</v>
      </c>
      <c r="F154" s="110"/>
      <c r="G154" s="110">
        <v>0.7</v>
      </c>
      <c r="H154" s="110"/>
      <c r="I154" s="110"/>
      <c r="J154" s="111"/>
      <c r="K154" s="111">
        <f t="shared" si="21"/>
        <v>0.48999999999999994</v>
      </c>
      <c r="L154" s="110">
        <f t="shared" si="22"/>
        <v>0.49</v>
      </c>
      <c r="M154" s="114"/>
    </row>
    <row r="155" spans="1:15" ht="25.5" x14ac:dyDescent="0.2">
      <c r="A155" s="113"/>
      <c r="B155" s="122" t="s">
        <v>365</v>
      </c>
      <c r="C155" s="123"/>
      <c r="D155" s="110">
        <v>5</v>
      </c>
      <c r="E155" s="110">
        <v>0.75</v>
      </c>
      <c r="F155" s="110"/>
      <c r="G155" s="110">
        <v>0.6</v>
      </c>
      <c r="H155" s="110"/>
      <c r="I155" s="110"/>
      <c r="J155" s="111"/>
      <c r="K155" s="111">
        <f t="shared" si="21"/>
        <v>0.44999999999999996</v>
      </c>
      <c r="L155" s="110">
        <f t="shared" si="22"/>
        <v>2.25</v>
      </c>
      <c r="M155" s="114"/>
    </row>
    <row r="156" spans="1:15" ht="12.75" x14ac:dyDescent="0.2">
      <c r="A156" s="113"/>
      <c r="B156" s="778" t="s">
        <v>388</v>
      </c>
      <c r="C156" s="779"/>
      <c r="D156" s="110">
        <v>6</v>
      </c>
      <c r="E156" s="110">
        <v>0.75</v>
      </c>
      <c r="F156" s="110"/>
      <c r="G156" s="110">
        <v>0.6</v>
      </c>
      <c r="H156" s="110"/>
      <c r="I156" s="110"/>
      <c r="J156" s="111"/>
      <c r="K156" s="111">
        <f t="shared" si="21"/>
        <v>0.44999999999999996</v>
      </c>
      <c r="L156" s="110">
        <f t="shared" si="22"/>
        <v>2.7</v>
      </c>
      <c r="M156" s="114"/>
    </row>
    <row r="157" spans="1:15" ht="12.75" x14ac:dyDescent="0.2">
      <c r="A157" s="113"/>
      <c r="B157" s="778" t="s">
        <v>374</v>
      </c>
      <c r="C157" s="779"/>
      <c r="D157" s="110">
        <v>8</v>
      </c>
      <c r="E157" s="110">
        <v>0.75</v>
      </c>
      <c r="F157" s="110"/>
      <c r="G157" s="110">
        <v>0.6</v>
      </c>
      <c r="H157" s="110"/>
      <c r="I157" s="110"/>
      <c r="J157" s="111"/>
      <c r="K157" s="111">
        <f t="shared" si="21"/>
        <v>0.44999999999999996</v>
      </c>
      <c r="L157" s="110">
        <f t="shared" si="22"/>
        <v>3.6</v>
      </c>
      <c r="M157" s="114"/>
    </row>
    <row r="158" spans="1:15" ht="12.75" x14ac:dyDescent="0.2">
      <c r="A158" s="113"/>
      <c r="B158" s="122" t="s">
        <v>375</v>
      </c>
      <c r="C158" s="128"/>
      <c r="D158" s="110">
        <v>1</v>
      </c>
      <c r="E158" s="110">
        <v>0.7</v>
      </c>
      <c r="F158" s="110"/>
      <c r="G158" s="110">
        <v>0.7</v>
      </c>
      <c r="H158" s="110"/>
      <c r="I158" s="110"/>
      <c r="J158" s="111"/>
      <c r="K158" s="111">
        <f t="shared" si="21"/>
        <v>0.48999999999999994</v>
      </c>
      <c r="L158" s="110">
        <f t="shared" si="22"/>
        <v>0.49</v>
      </c>
      <c r="M158" s="114"/>
    </row>
    <row r="159" spans="1:15" ht="12.75" x14ac:dyDescent="0.2">
      <c r="A159" s="113"/>
      <c r="B159" s="778" t="s">
        <v>376</v>
      </c>
      <c r="C159" s="779"/>
      <c r="D159" s="110">
        <v>1</v>
      </c>
      <c r="E159" s="110">
        <v>0.75</v>
      </c>
      <c r="F159" s="110"/>
      <c r="G159" s="110">
        <v>0.6</v>
      </c>
      <c r="H159" s="110"/>
      <c r="I159" s="110"/>
      <c r="J159" s="111"/>
      <c r="K159" s="111">
        <f t="shared" si="21"/>
        <v>0.44999999999999996</v>
      </c>
      <c r="L159" s="110">
        <f t="shared" si="22"/>
        <v>0.45</v>
      </c>
      <c r="M159" s="114"/>
    </row>
    <row r="160" spans="1:15" ht="12.75" x14ac:dyDescent="0.2">
      <c r="A160" s="113"/>
      <c r="B160" s="122" t="s">
        <v>377</v>
      </c>
      <c r="C160" s="128"/>
      <c r="D160" s="110">
        <v>2</v>
      </c>
      <c r="E160" s="110">
        <v>0.7</v>
      </c>
      <c r="F160" s="110"/>
      <c r="G160" s="110">
        <v>0.7</v>
      </c>
      <c r="H160" s="110"/>
      <c r="I160" s="110"/>
      <c r="J160" s="111"/>
      <c r="K160" s="111">
        <f t="shared" si="21"/>
        <v>0.48999999999999994</v>
      </c>
      <c r="L160" s="110">
        <f t="shared" si="22"/>
        <v>0.98</v>
      </c>
      <c r="M160" s="114"/>
    </row>
    <row r="161" spans="1:13" ht="12.75" x14ac:dyDescent="0.2">
      <c r="A161" s="113"/>
      <c r="B161" s="778" t="s">
        <v>389</v>
      </c>
      <c r="C161" s="779"/>
      <c r="D161" s="110">
        <v>1</v>
      </c>
      <c r="E161" s="110">
        <v>0.75</v>
      </c>
      <c r="F161" s="110"/>
      <c r="G161" s="110">
        <v>0.6</v>
      </c>
      <c r="H161" s="110"/>
      <c r="I161" s="110"/>
      <c r="J161" s="111"/>
      <c r="K161" s="111">
        <f t="shared" si="21"/>
        <v>0.44999999999999996</v>
      </c>
      <c r="L161" s="110">
        <f t="shared" si="22"/>
        <v>0.45</v>
      </c>
      <c r="M161" s="114"/>
    </row>
    <row r="162" spans="1:13" ht="12.75" x14ac:dyDescent="0.2">
      <c r="A162" s="113"/>
      <c r="B162" s="131" t="s">
        <v>379</v>
      </c>
      <c r="C162" s="131"/>
      <c r="D162" s="118">
        <v>4</v>
      </c>
      <c r="E162" s="118">
        <v>0.7</v>
      </c>
      <c r="F162" s="118"/>
      <c r="G162" s="118">
        <v>0.7</v>
      </c>
      <c r="H162" s="118"/>
      <c r="I162" s="118"/>
      <c r="J162" s="117"/>
      <c r="K162" s="117">
        <f>G162*E162</f>
        <v>0.48999999999999994</v>
      </c>
      <c r="L162" s="118">
        <f t="shared" si="22"/>
        <v>1.96</v>
      </c>
      <c r="M162" s="114"/>
    </row>
    <row r="163" spans="1:13" ht="12.75" x14ac:dyDescent="0.2">
      <c r="A163" s="113"/>
      <c r="B163" s="131" t="s">
        <v>380</v>
      </c>
      <c r="C163" s="132"/>
      <c r="D163" s="133">
        <v>4</v>
      </c>
      <c r="E163" s="133">
        <v>0.7</v>
      </c>
      <c r="F163" s="118"/>
      <c r="G163" s="118">
        <v>0.85</v>
      </c>
      <c r="H163" s="117"/>
      <c r="I163" s="117"/>
      <c r="J163" s="117"/>
      <c r="K163" s="117">
        <f t="shared" ref="K163:K170" si="23">G163*E163</f>
        <v>0.59499999999999997</v>
      </c>
      <c r="L163" s="118">
        <f t="shared" si="22"/>
        <v>2.38</v>
      </c>
      <c r="M163" s="114"/>
    </row>
    <row r="164" spans="1:13" ht="12.75" x14ac:dyDescent="0.2">
      <c r="A164" s="113"/>
      <c r="B164" s="131" t="s">
        <v>381</v>
      </c>
      <c r="C164" s="132"/>
      <c r="D164" s="133">
        <v>4</v>
      </c>
      <c r="E164" s="133">
        <v>0.7</v>
      </c>
      <c r="F164" s="118"/>
      <c r="G164" s="118">
        <v>0.7</v>
      </c>
      <c r="H164" s="117"/>
      <c r="I164" s="117"/>
      <c r="J164" s="117"/>
      <c r="K164" s="117">
        <f t="shared" si="23"/>
        <v>0.48999999999999994</v>
      </c>
      <c r="L164" s="118">
        <f t="shared" si="22"/>
        <v>1.96</v>
      </c>
      <c r="M164" s="114"/>
    </row>
    <row r="165" spans="1:13" ht="25.5" x14ac:dyDescent="0.2">
      <c r="A165" s="113"/>
      <c r="B165" s="131" t="s">
        <v>382</v>
      </c>
      <c r="C165" s="132"/>
      <c r="D165" s="133">
        <v>8</v>
      </c>
      <c r="E165" s="133">
        <v>0.8</v>
      </c>
      <c r="F165" s="118"/>
      <c r="G165" s="118">
        <v>0.8</v>
      </c>
      <c r="H165" s="117"/>
      <c r="I165" s="117"/>
      <c r="J165" s="117"/>
      <c r="K165" s="117">
        <f t="shared" si="23"/>
        <v>0.64000000000000012</v>
      </c>
      <c r="L165" s="118">
        <f t="shared" si="22"/>
        <v>5.12</v>
      </c>
      <c r="M165" s="114"/>
    </row>
    <row r="166" spans="1:13" ht="12.75" x14ac:dyDescent="0.2">
      <c r="A166" s="113"/>
      <c r="B166" s="131" t="s">
        <v>383</v>
      </c>
      <c r="C166" s="132"/>
      <c r="D166" s="133">
        <v>1</v>
      </c>
      <c r="E166" s="133">
        <v>1</v>
      </c>
      <c r="F166" s="118"/>
      <c r="G166" s="118">
        <v>1</v>
      </c>
      <c r="H166" s="117"/>
      <c r="I166" s="117"/>
      <c r="J166" s="117"/>
      <c r="K166" s="117">
        <f t="shared" si="23"/>
        <v>1</v>
      </c>
      <c r="L166" s="118">
        <f t="shared" si="22"/>
        <v>1</v>
      </c>
      <c r="M166" s="114"/>
    </row>
    <row r="167" spans="1:13" ht="12.75" x14ac:dyDescent="0.2">
      <c r="A167" s="113"/>
      <c r="B167" s="131" t="s">
        <v>384</v>
      </c>
      <c r="C167" s="132"/>
      <c r="D167" s="133">
        <v>3</v>
      </c>
      <c r="E167" s="133">
        <v>1</v>
      </c>
      <c r="F167" s="118"/>
      <c r="G167" s="118">
        <v>0.9</v>
      </c>
      <c r="H167" s="117"/>
      <c r="I167" s="117"/>
      <c r="J167" s="117"/>
      <c r="K167" s="117">
        <f t="shared" si="23"/>
        <v>0.9</v>
      </c>
      <c r="L167" s="118">
        <f t="shared" si="22"/>
        <v>2.7</v>
      </c>
      <c r="M167" s="114"/>
    </row>
    <row r="168" spans="1:13" ht="12.75" x14ac:dyDescent="0.2">
      <c r="A168" s="113"/>
      <c r="B168" s="131" t="s">
        <v>385</v>
      </c>
      <c r="C168" s="132"/>
      <c r="D168" s="133">
        <v>2</v>
      </c>
      <c r="E168" s="133">
        <v>0.95</v>
      </c>
      <c r="F168" s="133"/>
      <c r="G168" s="133">
        <v>0.95</v>
      </c>
      <c r="H168" s="118"/>
      <c r="I168" s="118"/>
      <c r="J168" s="117"/>
      <c r="K168" s="117">
        <f t="shared" si="23"/>
        <v>0.90249999999999997</v>
      </c>
      <c r="L168" s="118">
        <f t="shared" si="22"/>
        <v>1.81</v>
      </c>
      <c r="M168" s="114"/>
    </row>
    <row r="169" spans="1:13" ht="12.75" x14ac:dyDescent="0.2">
      <c r="A169" s="113"/>
      <c r="B169" s="131" t="s">
        <v>386</v>
      </c>
      <c r="C169" s="132"/>
      <c r="D169" s="133">
        <v>1</v>
      </c>
      <c r="E169" s="133">
        <v>1.45</v>
      </c>
      <c r="F169" s="133"/>
      <c r="G169" s="133">
        <v>1.25</v>
      </c>
      <c r="H169" s="118"/>
      <c r="I169" s="118"/>
      <c r="J169" s="117"/>
      <c r="K169" s="117">
        <f t="shared" si="23"/>
        <v>1.8125</v>
      </c>
      <c r="L169" s="118">
        <f t="shared" si="22"/>
        <v>1.81</v>
      </c>
      <c r="M169" s="114"/>
    </row>
    <row r="170" spans="1:13" ht="12.75" x14ac:dyDescent="0.2">
      <c r="A170" s="113"/>
      <c r="B170" s="131" t="s">
        <v>387</v>
      </c>
      <c r="C170" s="132"/>
      <c r="D170" s="133">
        <v>1</v>
      </c>
      <c r="E170" s="133">
        <v>1.1499999999999999</v>
      </c>
      <c r="F170" s="133"/>
      <c r="G170" s="133">
        <v>1</v>
      </c>
      <c r="H170" s="118"/>
      <c r="I170" s="118"/>
      <c r="J170" s="117"/>
      <c r="K170" s="117">
        <f t="shared" si="23"/>
        <v>1.1499999999999999</v>
      </c>
      <c r="L170" s="118">
        <f t="shared" si="22"/>
        <v>1.1499999999999999</v>
      </c>
      <c r="M170" s="114"/>
    </row>
    <row r="171" spans="1:13" ht="12.75" x14ac:dyDescent="0.2">
      <c r="A171" s="113"/>
      <c r="B171" s="131" t="s">
        <v>391</v>
      </c>
      <c r="C171" s="132"/>
      <c r="D171" s="133">
        <v>1</v>
      </c>
      <c r="E171" s="133">
        <v>0.59</v>
      </c>
      <c r="F171" s="133"/>
      <c r="G171" s="133">
        <v>1</v>
      </c>
      <c r="H171" s="118"/>
      <c r="I171" s="118"/>
      <c r="J171" s="117"/>
      <c r="K171" s="117">
        <f t="shared" ref="K171" si="24">G171*E171</f>
        <v>0.59</v>
      </c>
      <c r="L171" s="118">
        <f t="shared" ref="L171" si="25">ROUND(D171*K171,2)</f>
        <v>0.59</v>
      </c>
      <c r="M171" s="114"/>
    </row>
    <row r="172" spans="1:13" ht="12.75" x14ac:dyDescent="0.2">
      <c r="A172" s="113"/>
      <c r="B172" s="121"/>
      <c r="C172" s="134"/>
      <c r="D172" s="118"/>
      <c r="E172" s="118"/>
      <c r="F172" s="118"/>
      <c r="G172" s="118"/>
      <c r="H172" s="118"/>
      <c r="I172" s="118"/>
      <c r="J172" s="117"/>
      <c r="K172" s="117"/>
      <c r="L172" s="118"/>
      <c r="M172" s="114"/>
    </row>
    <row r="173" spans="1:13" ht="13.5" thickBot="1" x14ac:dyDescent="0.25">
      <c r="A173" s="113"/>
      <c r="B173" s="115"/>
      <c r="C173" s="116"/>
      <c r="D173" s="118"/>
      <c r="E173" s="118"/>
      <c r="F173" s="118"/>
      <c r="G173" s="118"/>
      <c r="H173" s="118"/>
      <c r="I173" s="118"/>
      <c r="J173" s="117"/>
      <c r="K173" s="117"/>
      <c r="L173" s="118"/>
      <c r="M173" s="114"/>
    </row>
    <row r="174" spans="1:13" s="108" customFormat="1" ht="12.75" customHeight="1" thickBot="1" x14ac:dyDescent="0.25">
      <c r="A174" s="266" t="s">
        <v>815</v>
      </c>
      <c r="B174" s="267" t="str">
        <f>REPROGRAMAÇÃO!B54</f>
        <v>PAREDES E FECHAMENTOS</v>
      </c>
      <c r="C174" s="267"/>
      <c r="D174" s="267"/>
      <c r="E174" s="267"/>
      <c r="F174" s="267"/>
      <c r="G174" s="267"/>
      <c r="H174" s="267"/>
      <c r="I174" s="267"/>
      <c r="J174" s="267"/>
      <c r="K174" s="267"/>
      <c r="L174" s="267"/>
      <c r="M174" s="268"/>
    </row>
    <row r="175" spans="1:13" ht="12.75" x14ac:dyDescent="0.2">
      <c r="A175" s="269"/>
      <c r="B175" s="270"/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1"/>
    </row>
    <row r="176" spans="1:13" ht="12.75" customHeight="1" x14ac:dyDescent="0.2">
      <c r="A176" s="272" t="s">
        <v>470</v>
      </c>
      <c r="B176" s="782" t="s">
        <v>816</v>
      </c>
      <c r="C176" s="783"/>
      <c r="D176" s="783"/>
      <c r="E176" s="783"/>
      <c r="F176" s="783"/>
      <c r="G176" s="783"/>
      <c r="H176" s="783"/>
      <c r="I176" s="783"/>
      <c r="J176" s="783"/>
      <c r="K176" s="784"/>
      <c r="L176" s="273"/>
      <c r="M176" s="274" t="s">
        <v>400</v>
      </c>
    </row>
    <row r="177" spans="1:13" ht="12.75" customHeight="1" x14ac:dyDescent="0.2">
      <c r="A177" s="303"/>
      <c r="B177" s="762" t="s">
        <v>133</v>
      </c>
      <c r="C177" s="763"/>
      <c r="D177" s="249"/>
      <c r="E177" s="249"/>
      <c r="F177" s="249"/>
      <c r="G177" s="249"/>
      <c r="H177" s="249"/>
      <c r="I177" s="249"/>
      <c r="J177" s="250"/>
      <c r="K177" s="250"/>
      <c r="L177" s="250">
        <f>REPROGRAMAÇÃO!F55</f>
        <v>560.11000000000104</v>
      </c>
      <c r="M177" s="250"/>
    </row>
    <row r="178" spans="1:13" ht="12.75" customHeight="1" x14ac:dyDescent="0.2">
      <c r="A178" s="303"/>
      <c r="B178" s="764" t="s">
        <v>812</v>
      </c>
      <c r="C178" s="765"/>
      <c r="D178" s="251"/>
      <c r="E178" s="251"/>
      <c r="F178" s="251"/>
      <c r="G178" s="251"/>
      <c r="H178" s="251"/>
      <c r="I178" s="251"/>
      <c r="J178" s="252"/>
      <c r="K178" s="252"/>
      <c r="L178" s="304">
        <v>435.57</v>
      </c>
      <c r="M178" s="252"/>
    </row>
    <row r="179" spans="1:13" ht="12.75" x14ac:dyDescent="0.2">
      <c r="A179" s="303"/>
      <c r="B179" s="253" t="s">
        <v>813</v>
      </c>
      <c r="C179" s="254"/>
      <c r="D179" s="255"/>
      <c r="E179" s="255"/>
      <c r="F179" s="255"/>
      <c r="G179" s="255"/>
      <c r="H179" s="255"/>
      <c r="I179" s="255"/>
      <c r="J179" s="256"/>
      <c r="K179" s="256"/>
      <c r="L179" s="304">
        <f>L178-L177</f>
        <v>-124.54000000000104</v>
      </c>
      <c r="M179" s="252"/>
    </row>
    <row r="180" spans="1:13" ht="12.75" x14ac:dyDescent="0.2">
      <c r="A180" s="239"/>
      <c r="B180" s="850"/>
      <c r="C180" s="851"/>
      <c r="D180" s="293"/>
      <c r="E180" s="293"/>
      <c r="F180" s="293"/>
      <c r="G180" s="293"/>
      <c r="H180" s="293"/>
      <c r="I180" s="293"/>
      <c r="J180" s="294"/>
      <c r="K180" s="294"/>
      <c r="L180" s="293"/>
      <c r="M180" s="275"/>
    </row>
    <row r="181" spans="1:13" ht="12.75" customHeight="1" x14ac:dyDescent="0.2">
      <c r="A181" s="239"/>
      <c r="B181" s="785" t="s">
        <v>360</v>
      </c>
      <c r="C181" s="785"/>
      <c r="D181" s="289"/>
      <c r="E181" s="289"/>
      <c r="F181" s="289"/>
      <c r="G181" s="289"/>
      <c r="H181" s="289"/>
      <c r="I181" s="289"/>
      <c r="J181" s="295"/>
      <c r="K181" s="295"/>
      <c r="L181" s="289"/>
      <c r="M181" s="292"/>
    </row>
    <row r="182" spans="1:13" ht="12.75" x14ac:dyDescent="0.2">
      <c r="A182" s="239"/>
      <c r="B182" s="785"/>
      <c r="C182" s="785"/>
      <c r="D182" s="289">
        <v>1</v>
      </c>
      <c r="E182" s="289">
        <v>5.4</v>
      </c>
      <c r="F182" s="289"/>
      <c r="G182" s="289">
        <v>3.3</v>
      </c>
      <c r="H182" s="289"/>
      <c r="I182" s="289"/>
      <c r="J182" s="295"/>
      <c r="K182" s="295">
        <f>G182*E182</f>
        <v>17.82</v>
      </c>
      <c r="L182" s="289">
        <f t="shared" ref="L182:L194" si="26">ROUND(D182*K182,2)</f>
        <v>17.82</v>
      </c>
      <c r="M182" s="292"/>
    </row>
    <row r="183" spans="1:13" ht="12.75" x14ac:dyDescent="0.2">
      <c r="A183" s="239"/>
      <c r="B183" s="785"/>
      <c r="C183" s="785"/>
      <c r="D183" s="289">
        <v>1</v>
      </c>
      <c r="E183" s="289">
        <v>9</v>
      </c>
      <c r="F183" s="289"/>
      <c r="G183" s="289">
        <v>3.3</v>
      </c>
      <c r="H183" s="289"/>
      <c r="I183" s="289"/>
      <c r="J183" s="295"/>
      <c r="K183" s="295">
        <f t="shared" ref="K183:K194" si="27">G183*E183</f>
        <v>29.7</v>
      </c>
      <c r="L183" s="289">
        <f t="shared" si="26"/>
        <v>29.7</v>
      </c>
      <c r="M183" s="292"/>
    </row>
    <row r="184" spans="1:13" ht="12.75" x14ac:dyDescent="0.2">
      <c r="A184" s="242"/>
      <c r="B184" s="795"/>
      <c r="C184" s="795"/>
      <c r="D184" s="289">
        <v>1</v>
      </c>
      <c r="E184" s="289">
        <v>18.899999999999999</v>
      </c>
      <c r="F184" s="289"/>
      <c r="G184" s="289">
        <v>3.3</v>
      </c>
      <c r="H184" s="289"/>
      <c r="I184" s="289"/>
      <c r="J184" s="295"/>
      <c r="K184" s="295">
        <f t="shared" si="27"/>
        <v>62.36999999999999</v>
      </c>
      <c r="L184" s="289">
        <f t="shared" si="26"/>
        <v>62.37</v>
      </c>
      <c r="M184" s="276"/>
    </row>
    <row r="185" spans="1:13" ht="12.75" x14ac:dyDescent="0.2">
      <c r="A185" s="277"/>
      <c r="B185" s="296"/>
      <c r="C185" s="296"/>
      <c r="D185" s="289">
        <v>1</v>
      </c>
      <c r="E185" s="289">
        <v>8</v>
      </c>
      <c r="F185" s="289"/>
      <c r="G185" s="289">
        <v>3.3</v>
      </c>
      <c r="H185" s="289"/>
      <c r="I185" s="289"/>
      <c r="J185" s="295"/>
      <c r="K185" s="295">
        <f t="shared" si="27"/>
        <v>26.4</v>
      </c>
      <c r="L185" s="289">
        <f t="shared" si="26"/>
        <v>26.4</v>
      </c>
      <c r="M185" s="292"/>
    </row>
    <row r="186" spans="1:13" ht="12.75" x14ac:dyDescent="0.2">
      <c r="A186" s="277"/>
      <c r="B186" s="296"/>
      <c r="C186" s="296"/>
      <c r="D186" s="289">
        <v>1</v>
      </c>
      <c r="E186" s="289">
        <v>1</v>
      </c>
      <c r="F186" s="289"/>
      <c r="G186" s="289">
        <v>3.3</v>
      </c>
      <c r="H186" s="289"/>
      <c r="I186" s="289"/>
      <c r="J186" s="295"/>
      <c r="K186" s="295">
        <f t="shared" si="27"/>
        <v>3.3</v>
      </c>
      <c r="L186" s="289">
        <f t="shared" si="26"/>
        <v>3.3</v>
      </c>
      <c r="M186" s="292"/>
    </row>
    <row r="187" spans="1:13" ht="12.75" x14ac:dyDescent="0.2">
      <c r="A187" s="277"/>
      <c r="B187" s="296" t="s">
        <v>817</v>
      </c>
      <c r="C187" s="296"/>
      <c r="D187" s="289">
        <v>10</v>
      </c>
      <c r="E187" s="289">
        <v>1.05</v>
      </c>
      <c r="F187" s="289"/>
      <c r="G187" s="289">
        <v>3.3</v>
      </c>
      <c r="H187" s="289"/>
      <c r="I187" s="289"/>
      <c r="J187" s="295"/>
      <c r="K187" s="295">
        <f t="shared" si="27"/>
        <v>3.4649999999999999</v>
      </c>
      <c r="L187" s="289">
        <f t="shared" si="26"/>
        <v>34.65</v>
      </c>
      <c r="M187" s="292"/>
    </row>
    <row r="188" spans="1:13" ht="12.75" x14ac:dyDescent="0.2">
      <c r="A188" s="277"/>
      <c r="B188" s="296"/>
      <c r="C188" s="296"/>
      <c r="D188" s="289"/>
      <c r="E188" s="289"/>
      <c r="F188" s="289"/>
      <c r="G188" s="289"/>
      <c r="H188" s="289"/>
      <c r="I188" s="289"/>
      <c r="J188" s="295"/>
      <c r="K188" s="295"/>
      <c r="L188" s="289"/>
      <c r="M188" s="292"/>
    </row>
    <row r="189" spans="1:13" ht="12.75" x14ac:dyDescent="0.2">
      <c r="A189" s="277"/>
      <c r="B189" s="296"/>
      <c r="C189" s="296"/>
      <c r="D189" s="289"/>
      <c r="E189" s="289"/>
      <c r="F189" s="289"/>
      <c r="G189" s="289"/>
      <c r="H189" s="289"/>
      <c r="I189" s="289"/>
      <c r="J189" s="295"/>
      <c r="K189" s="295"/>
      <c r="L189" s="289"/>
      <c r="M189" s="292"/>
    </row>
    <row r="190" spans="1:13" ht="12.75" x14ac:dyDescent="0.2">
      <c r="A190" s="277"/>
      <c r="B190" s="785" t="s">
        <v>818</v>
      </c>
      <c r="C190" s="785"/>
      <c r="D190" s="289">
        <v>2</v>
      </c>
      <c r="E190" s="289">
        <v>3.7</v>
      </c>
      <c r="F190" s="289"/>
      <c r="G190" s="289">
        <v>2.5</v>
      </c>
      <c r="H190" s="289"/>
      <c r="I190" s="289"/>
      <c r="J190" s="295"/>
      <c r="K190" s="295">
        <f t="shared" si="27"/>
        <v>9.25</v>
      </c>
      <c r="L190" s="289">
        <f t="shared" si="26"/>
        <v>18.5</v>
      </c>
      <c r="M190" s="292"/>
    </row>
    <row r="191" spans="1:13" ht="12.75" x14ac:dyDescent="0.2">
      <c r="A191" s="277"/>
      <c r="B191" s="297"/>
      <c r="C191" s="297"/>
      <c r="D191" s="289">
        <v>1</v>
      </c>
      <c r="E191" s="289">
        <v>1.7</v>
      </c>
      <c r="F191" s="289"/>
      <c r="G191" s="289">
        <v>2.5</v>
      </c>
      <c r="H191" s="289"/>
      <c r="I191" s="289"/>
      <c r="J191" s="295"/>
      <c r="K191" s="295">
        <f t="shared" si="27"/>
        <v>4.25</v>
      </c>
      <c r="L191" s="289">
        <f t="shared" si="26"/>
        <v>4.25</v>
      </c>
      <c r="M191" s="292"/>
    </row>
    <row r="192" spans="1:13" ht="12.75" x14ac:dyDescent="0.2">
      <c r="A192" s="277"/>
      <c r="B192" s="785" t="s">
        <v>819</v>
      </c>
      <c r="C192" s="785"/>
      <c r="D192" s="289">
        <v>2</v>
      </c>
      <c r="E192" s="289">
        <v>2.4</v>
      </c>
      <c r="F192" s="289"/>
      <c r="G192" s="289">
        <v>2.5</v>
      </c>
      <c r="H192" s="289"/>
      <c r="I192" s="289"/>
      <c r="J192" s="295"/>
      <c r="K192" s="295">
        <f t="shared" si="27"/>
        <v>6</v>
      </c>
      <c r="L192" s="289">
        <f t="shared" si="26"/>
        <v>12</v>
      </c>
      <c r="M192" s="292"/>
    </row>
    <row r="193" spans="1:13" ht="12.75" x14ac:dyDescent="0.2">
      <c r="A193" s="277"/>
      <c r="B193" s="785"/>
      <c r="C193" s="785"/>
      <c r="D193" s="289">
        <v>2</v>
      </c>
      <c r="E193" s="289">
        <v>1.8</v>
      </c>
      <c r="F193" s="289"/>
      <c r="G193" s="289">
        <v>2.5</v>
      </c>
      <c r="H193" s="289"/>
      <c r="I193" s="289"/>
      <c r="J193" s="295"/>
      <c r="K193" s="295">
        <f t="shared" si="27"/>
        <v>4.5</v>
      </c>
      <c r="L193" s="289">
        <f t="shared" si="26"/>
        <v>9</v>
      </c>
      <c r="M193" s="292"/>
    </row>
    <row r="194" spans="1:13" ht="12.75" x14ac:dyDescent="0.2">
      <c r="A194" s="277"/>
      <c r="B194" s="785" t="s">
        <v>820</v>
      </c>
      <c r="C194" s="785"/>
      <c r="D194" s="289">
        <v>2</v>
      </c>
      <c r="E194" s="289">
        <v>2.15</v>
      </c>
      <c r="F194" s="289"/>
      <c r="G194" s="289">
        <v>2.5</v>
      </c>
      <c r="H194" s="289"/>
      <c r="I194" s="289"/>
      <c r="J194" s="295"/>
      <c r="K194" s="295">
        <f t="shared" si="27"/>
        <v>5.375</v>
      </c>
      <c r="L194" s="289">
        <f t="shared" si="26"/>
        <v>10.75</v>
      </c>
      <c r="M194" s="276"/>
    </row>
    <row r="195" spans="1:13" ht="12.75" x14ac:dyDescent="0.2">
      <c r="A195" s="277"/>
      <c r="B195" s="297"/>
      <c r="C195" s="297"/>
      <c r="D195" s="289"/>
      <c r="E195" s="289"/>
      <c r="F195" s="289"/>
      <c r="G195" s="289"/>
      <c r="H195" s="289"/>
      <c r="I195" s="289"/>
      <c r="J195" s="295"/>
      <c r="K195" s="295"/>
      <c r="L195" s="289"/>
      <c r="M195" s="276"/>
    </row>
    <row r="196" spans="1:13" ht="12.75" x14ac:dyDescent="0.2">
      <c r="A196" s="277"/>
      <c r="B196" s="785" t="s">
        <v>821</v>
      </c>
      <c r="C196" s="785"/>
      <c r="D196" s="289">
        <v>1</v>
      </c>
      <c r="E196" s="289">
        <v>10</v>
      </c>
      <c r="F196" s="289"/>
      <c r="G196" s="289">
        <v>3</v>
      </c>
      <c r="H196" s="289"/>
      <c r="I196" s="289"/>
      <c r="J196" s="295"/>
      <c r="K196" s="295">
        <f t="shared" ref="K196:K197" si="28">G196*E196</f>
        <v>30</v>
      </c>
      <c r="L196" s="289">
        <f t="shared" ref="L196:L197" si="29">ROUND(D196*K196,2)</f>
        <v>30</v>
      </c>
      <c r="M196" s="276"/>
    </row>
    <row r="197" spans="1:13" ht="12.75" x14ac:dyDescent="0.2">
      <c r="A197" s="277"/>
      <c r="B197" s="785"/>
      <c r="C197" s="785"/>
      <c r="D197" s="289">
        <v>1</v>
      </c>
      <c r="E197" s="289">
        <v>3.5</v>
      </c>
      <c r="F197" s="289"/>
      <c r="G197" s="289">
        <v>3</v>
      </c>
      <c r="H197" s="289"/>
      <c r="I197" s="289"/>
      <c r="J197" s="295"/>
      <c r="K197" s="295">
        <f t="shared" si="28"/>
        <v>10.5</v>
      </c>
      <c r="L197" s="289">
        <f t="shared" si="29"/>
        <v>10.5</v>
      </c>
      <c r="M197" s="276"/>
    </row>
    <row r="198" spans="1:13" ht="12.75" x14ac:dyDescent="0.2">
      <c r="A198" s="277"/>
      <c r="B198" s="785"/>
      <c r="C198" s="785"/>
      <c r="D198" s="289"/>
      <c r="E198" s="289"/>
      <c r="F198" s="289"/>
      <c r="G198" s="289">
        <v>0.2</v>
      </c>
      <c r="H198" s="289"/>
      <c r="I198" s="289"/>
      <c r="J198" s="295"/>
      <c r="K198" s="295"/>
      <c r="L198" s="289"/>
      <c r="M198" s="292"/>
    </row>
    <row r="199" spans="1:13" ht="12.75" x14ac:dyDescent="0.2">
      <c r="A199" s="277"/>
      <c r="B199" s="785" t="s">
        <v>822</v>
      </c>
      <c r="C199" s="785"/>
      <c r="D199" s="289"/>
      <c r="E199" s="289">
        <v>0.3</v>
      </c>
      <c r="F199" s="289"/>
      <c r="G199" s="289">
        <v>0.15</v>
      </c>
      <c r="H199" s="289"/>
      <c r="I199" s="289"/>
      <c r="J199" s="295"/>
      <c r="K199" s="295"/>
      <c r="L199" s="289"/>
      <c r="M199" s="292"/>
    </row>
    <row r="200" spans="1:13" ht="12.75" x14ac:dyDescent="0.2">
      <c r="A200" s="277"/>
      <c r="B200" s="297" t="s">
        <v>823</v>
      </c>
      <c r="C200" s="297"/>
      <c r="D200" s="289">
        <v>2</v>
      </c>
      <c r="E200" s="289">
        <v>0.9</v>
      </c>
      <c r="F200" s="289"/>
      <c r="G200" s="289">
        <v>2.1</v>
      </c>
      <c r="H200" s="289"/>
      <c r="I200" s="289"/>
      <c r="J200" s="295"/>
      <c r="K200" s="295">
        <f>-G200*E200</f>
        <v>-1.8900000000000001</v>
      </c>
      <c r="L200" s="289">
        <f t="shared" ref="L200:L202" si="30">ROUND(D200*K200,2)</f>
        <v>-3.78</v>
      </c>
      <c r="M200" s="292"/>
    </row>
    <row r="201" spans="1:13" ht="12.75" x14ac:dyDescent="0.2">
      <c r="A201" s="277"/>
      <c r="B201" s="298"/>
      <c r="C201" s="298"/>
      <c r="D201" s="289">
        <v>1</v>
      </c>
      <c r="E201" s="289">
        <v>0.8</v>
      </c>
      <c r="F201" s="289"/>
      <c r="G201" s="289">
        <v>2.1</v>
      </c>
      <c r="H201" s="289"/>
      <c r="I201" s="289"/>
      <c r="J201" s="295"/>
      <c r="K201" s="295">
        <f t="shared" ref="K201:K202" si="31">-G201*E201</f>
        <v>-1.6800000000000002</v>
      </c>
      <c r="L201" s="289">
        <f t="shared" si="30"/>
        <v>-1.68</v>
      </c>
      <c r="M201" s="292"/>
    </row>
    <row r="202" spans="1:13" ht="12.75" x14ac:dyDescent="0.2">
      <c r="A202" s="277"/>
      <c r="B202" s="785" t="s">
        <v>824</v>
      </c>
      <c r="C202" s="785"/>
      <c r="D202" s="289">
        <v>1</v>
      </c>
      <c r="E202" s="289">
        <v>1.7</v>
      </c>
      <c r="F202" s="289"/>
      <c r="G202" s="289">
        <v>2.5</v>
      </c>
      <c r="H202" s="289"/>
      <c r="I202" s="289"/>
      <c r="J202" s="295"/>
      <c r="K202" s="295">
        <f t="shared" si="31"/>
        <v>-4.25</v>
      </c>
      <c r="L202" s="289">
        <f t="shared" si="30"/>
        <v>-4.25</v>
      </c>
      <c r="M202" s="292"/>
    </row>
    <row r="203" spans="1:13" ht="12.75" x14ac:dyDescent="0.2">
      <c r="A203" s="277"/>
      <c r="B203" s="297"/>
      <c r="C203" s="297"/>
      <c r="D203" s="289"/>
      <c r="E203" s="289"/>
      <c r="F203" s="289"/>
      <c r="G203" s="289"/>
      <c r="H203" s="289"/>
      <c r="I203" s="289"/>
      <c r="J203" s="295"/>
      <c r="K203" s="295"/>
      <c r="L203" s="289"/>
      <c r="M203" s="276"/>
    </row>
    <row r="204" spans="1:13" ht="12.75" x14ac:dyDescent="0.2">
      <c r="A204" s="277"/>
      <c r="B204" s="785" t="s">
        <v>825</v>
      </c>
      <c r="C204" s="785"/>
      <c r="D204" s="289">
        <v>2</v>
      </c>
      <c r="E204" s="289">
        <v>4.1500000000000004</v>
      </c>
      <c r="F204" s="289"/>
      <c r="G204" s="289">
        <v>0.6</v>
      </c>
      <c r="H204" s="289">
        <v>1</v>
      </c>
      <c r="I204" s="289">
        <v>2</v>
      </c>
      <c r="J204" s="295"/>
      <c r="K204" s="295">
        <f>((G204+H204)/2)*E204</f>
        <v>3.3200000000000003</v>
      </c>
      <c r="L204" s="289">
        <f>K204*D204*I204</f>
        <v>13.280000000000001</v>
      </c>
      <c r="M204" s="276"/>
    </row>
    <row r="205" spans="1:13" ht="12.75" x14ac:dyDescent="0.2">
      <c r="A205" s="277"/>
      <c r="B205" s="785" t="s">
        <v>826</v>
      </c>
      <c r="C205" s="785"/>
      <c r="D205" s="289">
        <v>1</v>
      </c>
      <c r="E205" s="289">
        <v>1.85</v>
      </c>
      <c r="F205" s="289"/>
      <c r="G205" s="289">
        <v>3.4</v>
      </c>
      <c r="H205" s="289"/>
      <c r="I205" s="289"/>
      <c r="J205" s="295"/>
      <c r="K205" s="295">
        <f t="shared" ref="K205:K210" si="32">G205*E205</f>
        <v>6.29</v>
      </c>
      <c r="L205" s="289">
        <f t="shared" ref="L205:L210" si="33">K205*D205</f>
        <v>6.29</v>
      </c>
      <c r="M205" s="276"/>
    </row>
    <row r="206" spans="1:13" ht="12.75" x14ac:dyDescent="0.2">
      <c r="A206" s="277"/>
      <c r="B206" s="785" t="s">
        <v>826</v>
      </c>
      <c r="C206" s="785"/>
      <c r="D206" s="289">
        <v>1</v>
      </c>
      <c r="E206" s="289">
        <v>2.85</v>
      </c>
      <c r="F206" s="289"/>
      <c r="G206" s="289">
        <v>3.4</v>
      </c>
      <c r="H206" s="289"/>
      <c r="I206" s="289"/>
      <c r="J206" s="295"/>
      <c r="K206" s="295">
        <f t="shared" si="32"/>
        <v>9.69</v>
      </c>
      <c r="L206" s="289">
        <f t="shared" si="33"/>
        <v>9.69</v>
      </c>
      <c r="M206" s="276"/>
    </row>
    <row r="207" spans="1:13" ht="12.75" x14ac:dyDescent="0.2">
      <c r="A207" s="277"/>
      <c r="B207" s="785" t="s">
        <v>826</v>
      </c>
      <c r="C207" s="785"/>
      <c r="D207" s="289">
        <v>1</v>
      </c>
      <c r="E207" s="289">
        <v>2.65</v>
      </c>
      <c r="F207" s="289"/>
      <c r="G207" s="289">
        <v>3.4</v>
      </c>
      <c r="H207" s="289"/>
      <c r="I207" s="289"/>
      <c r="J207" s="295"/>
      <c r="K207" s="295">
        <f t="shared" si="32"/>
        <v>9.01</v>
      </c>
      <c r="L207" s="289">
        <f t="shared" si="33"/>
        <v>9.01</v>
      </c>
      <c r="M207" s="276"/>
    </row>
    <row r="208" spans="1:13" ht="12.75" x14ac:dyDescent="0.2">
      <c r="A208" s="277"/>
      <c r="B208" s="785" t="s">
        <v>827</v>
      </c>
      <c r="C208" s="785"/>
      <c r="D208" s="289">
        <v>1</v>
      </c>
      <c r="E208" s="289">
        <v>1.85</v>
      </c>
      <c r="F208" s="289"/>
      <c r="G208" s="289">
        <v>3.4</v>
      </c>
      <c r="H208" s="289"/>
      <c r="I208" s="289"/>
      <c r="J208" s="295"/>
      <c r="K208" s="295">
        <f t="shared" si="32"/>
        <v>6.29</v>
      </c>
      <c r="L208" s="289">
        <f t="shared" si="33"/>
        <v>6.29</v>
      </c>
      <c r="M208" s="276"/>
    </row>
    <row r="209" spans="1:13" ht="12.75" x14ac:dyDescent="0.2">
      <c r="A209" s="277"/>
      <c r="B209" s="785" t="s">
        <v>827</v>
      </c>
      <c r="C209" s="785"/>
      <c r="D209" s="289">
        <v>1</v>
      </c>
      <c r="E209" s="289">
        <v>2.85</v>
      </c>
      <c r="F209" s="289"/>
      <c r="G209" s="289">
        <v>3.4</v>
      </c>
      <c r="H209" s="289"/>
      <c r="I209" s="289"/>
      <c r="J209" s="295"/>
      <c r="K209" s="295">
        <f t="shared" si="32"/>
        <v>9.69</v>
      </c>
      <c r="L209" s="289">
        <f t="shared" si="33"/>
        <v>9.69</v>
      </c>
      <c r="M209" s="276"/>
    </row>
    <row r="210" spans="1:13" ht="12.75" x14ac:dyDescent="0.2">
      <c r="A210" s="277"/>
      <c r="B210" s="785" t="s">
        <v>827</v>
      </c>
      <c r="C210" s="785"/>
      <c r="D210" s="289">
        <v>1</v>
      </c>
      <c r="E210" s="289">
        <v>2.65</v>
      </c>
      <c r="F210" s="289"/>
      <c r="G210" s="289">
        <v>3.4</v>
      </c>
      <c r="H210" s="289"/>
      <c r="I210" s="289"/>
      <c r="J210" s="295"/>
      <c r="K210" s="295">
        <f t="shared" si="32"/>
        <v>9.01</v>
      </c>
      <c r="L210" s="289">
        <f t="shared" si="33"/>
        <v>9.01</v>
      </c>
      <c r="M210" s="276"/>
    </row>
    <row r="211" spans="1:13" ht="12.75" x14ac:dyDescent="0.2">
      <c r="A211" s="277"/>
      <c r="B211" s="297"/>
      <c r="C211" s="297"/>
      <c r="D211" s="289"/>
      <c r="E211" s="289"/>
      <c r="F211" s="289"/>
      <c r="G211" s="289"/>
      <c r="H211" s="289"/>
      <c r="I211" s="289"/>
      <c r="J211" s="295"/>
      <c r="K211" s="295"/>
      <c r="L211" s="289"/>
      <c r="M211" s="276"/>
    </row>
    <row r="212" spans="1:13" ht="12.75" x14ac:dyDescent="0.2">
      <c r="A212" s="277"/>
      <c r="B212" s="785" t="s">
        <v>829</v>
      </c>
      <c r="C212" s="785"/>
      <c r="D212" s="299">
        <v>1</v>
      </c>
      <c r="E212" s="299">
        <v>37</v>
      </c>
      <c r="F212" s="299">
        <v>0.65</v>
      </c>
      <c r="G212" s="300"/>
      <c r="H212" s="300"/>
      <c r="I212" s="300"/>
      <c r="J212" s="300"/>
      <c r="K212" s="300">
        <f>E212*F212</f>
        <v>24.05</v>
      </c>
      <c r="L212" s="300">
        <f>K212*D212</f>
        <v>24.05</v>
      </c>
      <c r="M212" s="276"/>
    </row>
    <row r="213" spans="1:13" ht="12.75" x14ac:dyDescent="0.2">
      <c r="A213" s="277"/>
      <c r="B213" s="297"/>
      <c r="C213" s="297"/>
      <c r="D213" s="299">
        <v>1</v>
      </c>
      <c r="E213" s="299">
        <v>24.5</v>
      </c>
      <c r="F213" s="299">
        <v>0.95</v>
      </c>
      <c r="G213" s="300"/>
      <c r="H213" s="300"/>
      <c r="I213" s="300"/>
      <c r="J213" s="300"/>
      <c r="K213" s="300">
        <f>E213*F213</f>
        <v>23.274999999999999</v>
      </c>
      <c r="L213" s="300">
        <f>K213*D213</f>
        <v>23.274999999999999</v>
      </c>
      <c r="M213" s="276"/>
    </row>
    <row r="214" spans="1:13" ht="12.75" x14ac:dyDescent="0.2">
      <c r="A214" s="277"/>
      <c r="B214" s="297"/>
      <c r="C214" s="297"/>
      <c r="D214" s="285">
        <v>1</v>
      </c>
      <c r="E214" s="285">
        <v>2.4500000000000002</v>
      </c>
      <c r="F214" s="285">
        <v>3</v>
      </c>
      <c r="G214" s="286"/>
      <c r="H214" s="286"/>
      <c r="I214" s="286"/>
      <c r="J214" s="286"/>
      <c r="K214" s="286">
        <f>E214*F214</f>
        <v>7.3500000000000005</v>
      </c>
      <c r="L214" s="286">
        <f>K214*D214</f>
        <v>7.3500000000000005</v>
      </c>
      <c r="M214" s="276"/>
    </row>
    <row r="215" spans="1:13" ht="12.75" x14ac:dyDescent="0.2">
      <c r="A215" s="277"/>
      <c r="B215" s="297"/>
      <c r="C215" s="297"/>
      <c r="D215" s="289"/>
      <c r="E215" s="289"/>
      <c r="F215" s="289"/>
      <c r="G215" s="289"/>
      <c r="H215" s="289"/>
      <c r="I215" s="289"/>
      <c r="J215" s="295"/>
      <c r="K215" s="295"/>
      <c r="L215" s="289"/>
      <c r="M215" s="276"/>
    </row>
    <row r="216" spans="1:13" ht="12.75" x14ac:dyDescent="0.2">
      <c r="A216" s="277"/>
      <c r="B216" s="301" t="s">
        <v>830</v>
      </c>
      <c r="C216" s="301"/>
      <c r="D216" s="302">
        <v>1</v>
      </c>
      <c r="E216" s="302">
        <v>27.6</v>
      </c>
      <c r="F216" s="302"/>
      <c r="G216" s="302">
        <v>1.7</v>
      </c>
      <c r="H216" s="302"/>
      <c r="I216" s="302"/>
      <c r="J216" s="302"/>
      <c r="K216" s="302">
        <f>E216*G216</f>
        <v>46.92</v>
      </c>
      <c r="L216" s="302">
        <f>K216*D216</f>
        <v>46.92</v>
      </c>
      <c r="M216" s="276"/>
    </row>
    <row r="217" spans="1:13" ht="12.75" x14ac:dyDescent="0.2">
      <c r="A217" s="277"/>
      <c r="B217" s="301" t="s">
        <v>831</v>
      </c>
      <c r="C217" s="301"/>
      <c r="D217" s="302">
        <v>9</v>
      </c>
      <c r="E217" s="302">
        <v>0.2</v>
      </c>
      <c r="F217" s="302"/>
      <c r="G217" s="302">
        <v>1.7</v>
      </c>
      <c r="H217" s="302"/>
      <c r="I217" s="302"/>
      <c r="J217" s="302"/>
      <c r="K217" s="302">
        <f>G217*E217</f>
        <v>0.34</v>
      </c>
      <c r="L217" s="302">
        <f>K217*D217</f>
        <v>3.06</v>
      </c>
      <c r="M217" s="276"/>
    </row>
    <row r="218" spans="1:13" ht="12.75" x14ac:dyDescent="0.2">
      <c r="A218" s="277"/>
      <c r="B218" s="288"/>
      <c r="C218" s="289"/>
      <c r="D218" s="289"/>
      <c r="E218" s="290"/>
      <c r="F218" s="289"/>
      <c r="G218" s="290"/>
      <c r="H218" s="289"/>
      <c r="I218" s="289"/>
      <c r="J218" s="289"/>
      <c r="K218" s="289"/>
      <c r="L218" s="289"/>
      <c r="M218" s="276"/>
    </row>
    <row r="219" spans="1:13" ht="12.75" x14ac:dyDescent="0.2">
      <c r="A219" s="277"/>
      <c r="B219" s="288" t="s">
        <v>832</v>
      </c>
      <c r="C219" s="289"/>
      <c r="D219" s="289">
        <v>1</v>
      </c>
      <c r="E219" s="290">
        <v>1.3</v>
      </c>
      <c r="F219" s="289"/>
      <c r="G219" s="290">
        <v>2.6</v>
      </c>
      <c r="H219" s="289"/>
      <c r="I219" s="289"/>
      <c r="J219" s="289"/>
      <c r="K219" s="289">
        <f t="shared" ref="K219:K222" si="34">E219*G219</f>
        <v>3.3800000000000003</v>
      </c>
      <c r="L219" s="289">
        <f t="shared" ref="L219:L222" si="35">K219*D219</f>
        <v>3.3800000000000003</v>
      </c>
      <c r="M219" s="276"/>
    </row>
    <row r="220" spans="1:13" ht="12.75" x14ac:dyDescent="0.2">
      <c r="A220" s="277"/>
      <c r="B220" s="288" t="s">
        <v>833</v>
      </c>
      <c r="C220" s="289"/>
      <c r="D220" s="289">
        <v>1</v>
      </c>
      <c r="E220" s="290">
        <v>1.5</v>
      </c>
      <c r="F220" s="289"/>
      <c r="G220" s="290">
        <v>2.4</v>
      </c>
      <c r="H220" s="289"/>
      <c r="I220" s="289"/>
      <c r="J220" s="289"/>
      <c r="K220" s="289">
        <f t="shared" si="34"/>
        <v>3.5999999999999996</v>
      </c>
      <c r="L220" s="289">
        <f t="shared" si="35"/>
        <v>3.5999999999999996</v>
      </c>
      <c r="M220" s="276"/>
    </row>
    <row r="221" spans="1:13" ht="12.75" x14ac:dyDescent="0.2">
      <c r="A221" s="277"/>
      <c r="B221" s="288" t="s">
        <v>833</v>
      </c>
      <c r="C221" s="289"/>
      <c r="D221" s="289">
        <v>1</v>
      </c>
      <c r="E221" s="291">
        <v>1.5</v>
      </c>
      <c r="F221" s="289"/>
      <c r="G221" s="291">
        <v>2.4</v>
      </c>
      <c r="H221" s="289"/>
      <c r="I221" s="289"/>
      <c r="J221" s="289"/>
      <c r="K221" s="289">
        <f t="shared" si="34"/>
        <v>3.5999999999999996</v>
      </c>
      <c r="L221" s="289">
        <f t="shared" si="35"/>
        <v>3.5999999999999996</v>
      </c>
      <c r="M221" s="276"/>
    </row>
    <row r="222" spans="1:13" ht="12.75" x14ac:dyDescent="0.2">
      <c r="A222" s="277"/>
      <c r="B222" s="288" t="s">
        <v>832</v>
      </c>
      <c r="C222" s="289"/>
      <c r="D222" s="289">
        <v>1</v>
      </c>
      <c r="E222" s="291">
        <v>1.3</v>
      </c>
      <c r="F222" s="289"/>
      <c r="G222" s="291">
        <v>2.6</v>
      </c>
      <c r="H222" s="289"/>
      <c r="I222" s="289"/>
      <c r="J222" s="289"/>
      <c r="K222" s="289">
        <f t="shared" si="34"/>
        <v>3.3800000000000003</v>
      </c>
      <c r="L222" s="289">
        <f t="shared" si="35"/>
        <v>3.3800000000000003</v>
      </c>
      <c r="M222" s="276"/>
    </row>
    <row r="223" spans="1:13" ht="12.75" x14ac:dyDescent="0.2">
      <c r="A223" s="277"/>
      <c r="B223" s="280"/>
      <c r="C223" s="281"/>
      <c r="D223" s="278"/>
      <c r="E223" s="278"/>
      <c r="F223" s="278"/>
      <c r="G223" s="278"/>
      <c r="H223" s="278"/>
      <c r="I223" s="278"/>
      <c r="J223" s="279"/>
      <c r="K223" s="279"/>
      <c r="L223" s="278"/>
      <c r="M223" s="276"/>
    </row>
    <row r="224" spans="1:13" ht="12.75" x14ac:dyDescent="0.2">
      <c r="A224" s="277"/>
      <c r="B224" s="280"/>
      <c r="C224" s="281"/>
      <c r="D224" s="278"/>
      <c r="E224" s="278"/>
      <c r="F224" s="278"/>
      <c r="G224" s="278"/>
      <c r="H224" s="278"/>
      <c r="I224" s="278"/>
      <c r="J224" s="279"/>
      <c r="K224" s="279"/>
      <c r="L224" s="278"/>
      <c r="M224" s="276"/>
    </row>
    <row r="225" spans="1:13" ht="25.5" customHeight="1" x14ac:dyDescent="0.2">
      <c r="A225" s="272" t="s">
        <v>471</v>
      </c>
      <c r="B225" s="782" t="s">
        <v>105</v>
      </c>
      <c r="C225" s="783"/>
      <c r="D225" s="783"/>
      <c r="E225" s="783"/>
      <c r="F225" s="783"/>
      <c r="G225" s="783"/>
      <c r="H225" s="783"/>
      <c r="I225" s="783"/>
      <c r="J225" s="783"/>
      <c r="K225" s="784"/>
      <c r="L225" s="273">
        <f>SUM(L230:L235)</f>
        <v>43.519999999999996</v>
      </c>
      <c r="M225" s="274" t="s">
        <v>400</v>
      </c>
    </row>
    <row r="226" spans="1:13" ht="12.75" x14ac:dyDescent="0.2">
      <c r="A226" s="303"/>
      <c r="B226" s="762" t="s">
        <v>133</v>
      </c>
      <c r="C226" s="763"/>
      <c r="D226" s="249"/>
      <c r="E226" s="249"/>
      <c r="F226" s="249"/>
      <c r="G226" s="249"/>
      <c r="H226" s="249"/>
      <c r="I226" s="249"/>
      <c r="J226" s="250"/>
      <c r="K226" s="250"/>
      <c r="L226" s="250">
        <f>REPROGRAMAÇÃO!F56</f>
        <v>146.69</v>
      </c>
      <c r="M226" s="250"/>
    </row>
    <row r="227" spans="1:13" ht="12.75" x14ac:dyDescent="0.2">
      <c r="A227" s="303"/>
      <c r="B227" s="764" t="s">
        <v>812</v>
      </c>
      <c r="C227" s="765"/>
      <c r="D227" s="251"/>
      <c r="E227" s="251"/>
      <c r="F227" s="251"/>
      <c r="G227" s="251"/>
      <c r="H227" s="251"/>
      <c r="I227" s="251"/>
      <c r="J227" s="252"/>
      <c r="K227" s="252"/>
      <c r="L227" s="251">
        <f>SUM(L230:L236)</f>
        <v>52.669999999999995</v>
      </c>
      <c r="M227" s="252"/>
    </row>
    <row r="228" spans="1:13" ht="12.75" x14ac:dyDescent="0.2">
      <c r="A228" s="303"/>
      <c r="B228" s="253" t="s">
        <v>813</v>
      </c>
      <c r="C228" s="254"/>
      <c r="D228" s="255"/>
      <c r="E228" s="255"/>
      <c r="F228" s="255"/>
      <c r="G228" s="255"/>
      <c r="H228" s="255"/>
      <c r="I228" s="255"/>
      <c r="J228" s="256"/>
      <c r="K228" s="256"/>
      <c r="L228" s="251">
        <f>L227-L226</f>
        <v>-94.02000000000001</v>
      </c>
      <c r="M228" s="252"/>
    </row>
    <row r="229" spans="1:13" ht="12.75" x14ac:dyDescent="0.2">
      <c r="A229" s="277"/>
      <c r="B229" s="280"/>
      <c r="C229" s="281"/>
      <c r="D229" s="278"/>
      <c r="E229" s="278"/>
      <c r="F229" s="278"/>
      <c r="G229" s="278"/>
      <c r="H229" s="278"/>
      <c r="I229" s="278"/>
      <c r="J229" s="279"/>
      <c r="K229" s="279"/>
      <c r="L229" s="278"/>
      <c r="M229" s="276"/>
    </row>
    <row r="230" spans="1:13" ht="12.75" x14ac:dyDescent="0.2">
      <c r="A230" s="277"/>
      <c r="B230" s="793" t="s">
        <v>826</v>
      </c>
      <c r="C230" s="794"/>
      <c r="D230" s="240">
        <v>1</v>
      </c>
      <c r="E230" s="240">
        <v>4</v>
      </c>
      <c r="F230" s="240"/>
      <c r="G230" s="240">
        <v>3.4</v>
      </c>
      <c r="H230" s="240"/>
      <c r="I230" s="240"/>
      <c r="J230" s="241"/>
      <c r="K230" s="241">
        <f t="shared" ref="K230:K235" si="36">G230*E230</f>
        <v>13.6</v>
      </c>
      <c r="L230" s="240">
        <f t="shared" ref="L230:L235" si="37">K230*D230</f>
        <v>13.6</v>
      </c>
      <c r="M230" s="276"/>
    </row>
    <row r="231" spans="1:13" ht="12.75" x14ac:dyDescent="0.2">
      <c r="A231" s="277"/>
      <c r="B231" s="793" t="s">
        <v>826</v>
      </c>
      <c r="C231" s="794"/>
      <c r="D231" s="240">
        <v>1</v>
      </c>
      <c r="E231" s="240">
        <v>1.2</v>
      </c>
      <c r="F231" s="240"/>
      <c r="G231" s="240">
        <v>3.4</v>
      </c>
      <c r="H231" s="240"/>
      <c r="I231" s="240"/>
      <c r="J231" s="241"/>
      <c r="K231" s="241">
        <f t="shared" si="36"/>
        <v>4.08</v>
      </c>
      <c r="L231" s="240">
        <f t="shared" si="37"/>
        <v>4.08</v>
      </c>
      <c r="M231" s="276"/>
    </row>
    <row r="232" spans="1:13" ht="12.75" x14ac:dyDescent="0.2">
      <c r="A232" s="277"/>
      <c r="B232" s="793" t="s">
        <v>826</v>
      </c>
      <c r="C232" s="794"/>
      <c r="D232" s="240">
        <v>1</v>
      </c>
      <c r="E232" s="240">
        <v>1.2</v>
      </c>
      <c r="F232" s="240"/>
      <c r="G232" s="240">
        <v>3.4</v>
      </c>
      <c r="H232" s="240"/>
      <c r="I232" s="240"/>
      <c r="J232" s="241"/>
      <c r="K232" s="241">
        <f t="shared" si="36"/>
        <v>4.08</v>
      </c>
      <c r="L232" s="240">
        <f t="shared" si="37"/>
        <v>4.08</v>
      </c>
      <c r="M232" s="276"/>
    </row>
    <row r="233" spans="1:13" ht="12.75" x14ac:dyDescent="0.2">
      <c r="A233" s="277"/>
      <c r="B233" s="793" t="s">
        <v>827</v>
      </c>
      <c r="C233" s="794"/>
      <c r="D233" s="240">
        <v>1</v>
      </c>
      <c r="E233" s="240">
        <v>4</v>
      </c>
      <c r="F233" s="240"/>
      <c r="G233" s="240">
        <v>3.4</v>
      </c>
      <c r="H233" s="240"/>
      <c r="I233" s="240"/>
      <c r="J233" s="241"/>
      <c r="K233" s="241">
        <f t="shared" si="36"/>
        <v>13.6</v>
      </c>
      <c r="L233" s="240">
        <f t="shared" si="37"/>
        <v>13.6</v>
      </c>
      <c r="M233" s="276"/>
    </row>
    <row r="234" spans="1:13" ht="12.75" x14ac:dyDescent="0.2">
      <c r="A234" s="277"/>
      <c r="B234" s="793" t="s">
        <v>827</v>
      </c>
      <c r="C234" s="794"/>
      <c r="D234" s="240">
        <v>1</v>
      </c>
      <c r="E234" s="240">
        <v>1.2</v>
      </c>
      <c r="F234" s="240"/>
      <c r="G234" s="240">
        <v>3.4</v>
      </c>
      <c r="H234" s="240"/>
      <c r="I234" s="240"/>
      <c r="J234" s="241"/>
      <c r="K234" s="241">
        <f t="shared" si="36"/>
        <v>4.08</v>
      </c>
      <c r="L234" s="240">
        <f t="shared" si="37"/>
        <v>4.08</v>
      </c>
      <c r="M234" s="276"/>
    </row>
    <row r="235" spans="1:13" ht="12.75" x14ac:dyDescent="0.2">
      <c r="A235" s="277"/>
      <c r="B235" s="793" t="s">
        <v>827</v>
      </c>
      <c r="C235" s="794"/>
      <c r="D235" s="240">
        <v>1</v>
      </c>
      <c r="E235" s="240">
        <v>1.2</v>
      </c>
      <c r="F235" s="240"/>
      <c r="G235" s="240">
        <v>3.4</v>
      </c>
      <c r="H235" s="240"/>
      <c r="I235" s="240"/>
      <c r="J235" s="241"/>
      <c r="K235" s="241">
        <f t="shared" si="36"/>
        <v>4.08</v>
      </c>
      <c r="L235" s="240">
        <f t="shared" si="37"/>
        <v>4.08</v>
      </c>
      <c r="M235" s="276"/>
    </row>
    <row r="236" spans="1:13" ht="12.75" x14ac:dyDescent="0.2">
      <c r="A236" s="277"/>
      <c r="B236" s="243" t="s">
        <v>834</v>
      </c>
      <c r="C236" s="245"/>
      <c r="D236" s="240">
        <v>1</v>
      </c>
      <c r="E236" s="240">
        <v>16.63</v>
      </c>
      <c r="F236" s="240"/>
      <c r="G236" s="240">
        <v>0.55000000000000004</v>
      </c>
      <c r="H236" s="240"/>
      <c r="I236" s="240"/>
      <c r="J236" s="241"/>
      <c r="K236" s="241">
        <v>9.15</v>
      </c>
      <c r="L236" s="240">
        <v>9.15</v>
      </c>
      <c r="M236" s="276"/>
    </row>
    <row r="237" spans="1:13" ht="13.5" thickBot="1" x14ac:dyDescent="0.25">
      <c r="A237" s="277"/>
      <c r="B237" s="243"/>
      <c r="C237" s="245"/>
      <c r="D237" s="240"/>
      <c r="E237" s="240"/>
      <c r="F237" s="240"/>
      <c r="G237" s="240"/>
      <c r="H237" s="240"/>
      <c r="I237" s="240"/>
      <c r="J237" s="241"/>
      <c r="K237" s="241"/>
      <c r="L237" s="240"/>
      <c r="M237" s="276"/>
    </row>
    <row r="238" spans="1:13" ht="13.5" thickBot="1" x14ac:dyDescent="0.25">
      <c r="A238" s="266" t="s">
        <v>401</v>
      </c>
      <c r="B238" s="267" t="str">
        <f>REPROGRAMAÇÃO!B58</f>
        <v>COBERTURA</v>
      </c>
      <c r="C238" s="267"/>
      <c r="D238" s="267"/>
      <c r="E238" s="267"/>
      <c r="F238" s="267"/>
      <c r="G238" s="267"/>
      <c r="H238" s="267"/>
      <c r="I238" s="267"/>
      <c r="J238" s="267"/>
      <c r="K238" s="267"/>
      <c r="L238" s="267"/>
      <c r="M238" s="268"/>
    </row>
    <row r="239" spans="1:13" ht="12.75" x14ac:dyDescent="0.2">
      <c r="A239" s="277"/>
      <c r="B239" s="282"/>
      <c r="C239" s="283"/>
      <c r="D239" s="240"/>
      <c r="E239" s="240"/>
      <c r="F239" s="240"/>
      <c r="G239" s="240"/>
      <c r="H239" s="240"/>
      <c r="I239" s="240"/>
      <c r="J239" s="241"/>
      <c r="K239" s="241"/>
      <c r="L239" s="240"/>
      <c r="M239" s="276"/>
    </row>
    <row r="240" spans="1:13" ht="12.75" x14ac:dyDescent="0.2">
      <c r="A240" s="272" t="s">
        <v>472</v>
      </c>
      <c r="B240" s="782" t="str">
        <f>REPROGRAMAÇÃO!B60</f>
        <v>TELHA TERMOACÚSTICA TRAPEZOIDAL INCLINAÇÃO 17.6%</v>
      </c>
      <c r="C240" s="783"/>
      <c r="D240" s="783"/>
      <c r="E240" s="783"/>
      <c r="F240" s="783"/>
      <c r="G240" s="783"/>
      <c r="H240" s="783"/>
      <c r="I240" s="783"/>
      <c r="J240" s="783"/>
      <c r="K240" s="784"/>
      <c r="L240" s="273">
        <f>SUM(L245:L247)</f>
        <v>187.92000000000002</v>
      </c>
      <c r="M240" s="274" t="s">
        <v>400</v>
      </c>
    </row>
    <row r="241" spans="1:13" ht="12.75" x14ac:dyDescent="0.2">
      <c r="A241" s="239"/>
      <c r="B241" s="762" t="s">
        <v>133</v>
      </c>
      <c r="C241" s="763"/>
      <c r="D241" s="249"/>
      <c r="E241" s="249"/>
      <c r="F241" s="249"/>
      <c r="G241" s="249"/>
      <c r="H241" s="249"/>
      <c r="I241" s="249"/>
      <c r="J241" s="250"/>
      <c r="K241" s="250"/>
      <c r="L241" s="250">
        <f>REPROGRAMAÇÃO!F60</f>
        <v>223.8</v>
      </c>
      <c r="M241" s="250"/>
    </row>
    <row r="242" spans="1:13" ht="12.75" x14ac:dyDescent="0.2">
      <c r="A242" s="239"/>
      <c r="B242" s="764" t="s">
        <v>812</v>
      </c>
      <c r="C242" s="765"/>
      <c r="D242" s="251"/>
      <c r="E242" s="251"/>
      <c r="F242" s="251"/>
      <c r="G242" s="251"/>
      <c r="H242" s="251"/>
      <c r="I242" s="251"/>
      <c r="J242" s="252"/>
      <c r="K242" s="252"/>
      <c r="L242" s="251">
        <f>SUM(L245:L247)</f>
        <v>187.92000000000002</v>
      </c>
      <c r="M242" s="252"/>
    </row>
    <row r="243" spans="1:13" ht="12.75" x14ac:dyDescent="0.2">
      <c r="A243" s="239"/>
      <c r="B243" s="253" t="s">
        <v>813</v>
      </c>
      <c r="C243" s="254"/>
      <c r="D243" s="255"/>
      <c r="E243" s="255"/>
      <c r="F243" s="255"/>
      <c r="G243" s="255"/>
      <c r="H243" s="255"/>
      <c r="I243" s="255"/>
      <c r="J243" s="256"/>
      <c r="K243" s="256"/>
      <c r="L243" s="251">
        <f>L242-L241</f>
        <v>-35.879999999999995</v>
      </c>
      <c r="M243" s="252"/>
    </row>
    <row r="244" spans="1:13" ht="12.75" x14ac:dyDescent="0.2">
      <c r="A244" s="239"/>
      <c r="B244" s="311"/>
      <c r="C244" s="311"/>
      <c r="D244" s="237"/>
      <c r="E244" s="237"/>
      <c r="F244" s="237"/>
      <c r="G244" s="237"/>
      <c r="H244" s="237"/>
      <c r="I244" s="237"/>
      <c r="J244" s="248"/>
      <c r="K244" s="248"/>
      <c r="L244" s="237"/>
      <c r="M244" s="237"/>
    </row>
    <row r="245" spans="1:13" ht="14.25" x14ac:dyDescent="0.2">
      <c r="A245" s="239"/>
      <c r="B245" s="306" t="s">
        <v>835</v>
      </c>
      <c r="C245" s="307"/>
      <c r="D245" s="308">
        <v>1</v>
      </c>
      <c r="E245" s="308">
        <v>5</v>
      </c>
      <c r="F245" s="309"/>
      <c r="G245" s="309">
        <v>7.01</v>
      </c>
      <c r="H245" s="309"/>
      <c r="I245" s="309"/>
      <c r="J245" s="309"/>
      <c r="K245" s="309">
        <f>ROUND(E245*G245,2)</f>
        <v>35.049999999999997</v>
      </c>
      <c r="L245" s="309">
        <f>K245*D245</f>
        <v>35.049999999999997</v>
      </c>
      <c r="M245" s="284"/>
    </row>
    <row r="246" spans="1:13" ht="14.25" x14ac:dyDescent="0.2">
      <c r="A246" s="113"/>
      <c r="B246" s="306" t="s">
        <v>836</v>
      </c>
      <c r="C246" s="307"/>
      <c r="D246" s="308">
        <v>1</v>
      </c>
      <c r="E246" s="310">
        <v>19</v>
      </c>
      <c r="F246" s="309"/>
      <c r="G246" s="308">
        <v>7.75</v>
      </c>
      <c r="H246" s="309"/>
      <c r="I246" s="309"/>
      <c r="J246" s="309"/>
      <c r="K246" s="309">
        <f t="shared" ref="K246:K247" si="38">ROUND(E246*G246,2)</f>
        <v>147.25</v>
      </c>
      <c r="L246" s="309">
        <f>K246*D246</f>
        <v>147.25</v>
      </c>
      <c r="M246" s="284"/>
    </row>
    <row r="247" spans="1:13" ht="14.25" x14ac:dyDescent="0.2">
      <c r="A247" s="113"/>
      <c r="B247" s="306" t="s">
        <v>836</v>
      </c>
      <c r="C247" s="307"/>
      <c r="D247" s="308">
        <v>1</v>
      </c>
      <c r="E247" s="309">
        <v>5.35</v>
      </c>
      <c r="F247" s="309"/>
      <c r="G247" s="308">
        <v>1.05</v>
      </c>
      <c r="H247" s="309"/>
      <c r="I247" s="309"/>
      <c r="J247" s="309"/>
      <c r="K247" s="309">
        <f t="shared" si="38"/>
        <v>5.62</v>
      </c>
      <c r="L247" s="309">
        <f>K247*D247</f>
        <v>5.62</v>
      </c>
      <c r="M247" s="284"/>
    </row>
    <row r="248" spans="1:13" ht="12.75" x14ac:dyDescent="0.2">
      <c r="A248" s="113"/>
      <c r="B248" s="131"/>
      <c r="C248" s="131"/>
      <c r="D248" s="118"/>
      <c r="E248" s="118"/>
      <c r="F248" s="118"/>
      <c r="G248" s="110"/>
      <c r="H248" s="118"/>
      <c r="I248" s="118"/>
      <c r="J248" s="117"/>
      <c r="K248" s="111"/>
      <c r="L248" s="110"/>
      <c r="M248" s="114"/>
    </row>
    <row r="249" spans="1:13" ht="12.75" customHeight="1" x14ac:dyDescent="0.2">
      <c r="A249" s="272" t="s">
        <v>474</v>
      </c>
      <c r="B249" s="782" t="str">
        <f>REPROGRAMAÇÃO!B61</f>
        <v>TELHAMENTO COM TELHA DE AÇO/ALUMÍNIO E = 0,5 MM, COM ATÉ 2 ÁGUAS, INCL M2 USO IÇAMENTO. AF_07/2019</v>
      </c>
      <c r="C249" s="783"/>
      <c r="D249" s="783"/>
      <c r="E249" s="783"/>
      <c r="F249" s="783"/>
      <c r="G249" s="783"/>
      <c r="H249" s="783"/>
      <c r="I249" s="783"/>
      <c r="J249" s="783"/>
      <c r="K249" s="784"/>
      <c r="L249" s="273"/>
      <c r="M249" s="274" t="s">
        <v>400</v>
      </c>
    </row>
    <row r="250" spans="1:13" ht="12.75" x14ac:dyDescent="0.2">
      <c r="A250" s="239"/>
      <c r="B250" s="762" t="s">
        <v>133</v>
      </c>
      <c r="C250" s="763"/>
      <c r="D250" s="249"/>
      <c r="E250" s="249"/>
      <c r="F250" s="249"/>
      <c r="G250" s="249"/>
      <c r="H250" s="249"/>
      <c r="I250" s="249"/>
      <c r="J250" s="250"/>
      <c r="K250" s="250"/>
      <c r="L250" s="250">
        <f>REPROGRAMAÇÃO!F61</f>
        <v>274.86</v>
      </c>
      <c r="M250" s="275"/>
    </row>
    <row r="251" spans="1:13" ht="12.75" x14ac:dyDescent="0.2">
      <c r="A251" s="239"/>
      <c r="B251" s="764" t="s">
        <v>812</v>
      </c>
      <c r="C251" s="765"/>
      <c r="D251" s="251"/>
      <c r="E251" s="251"/>
      <c r="F251" s="251"/>
      <c r="G251" s="251"/>
      <c r="H251" s="251"/>
      <c r="I251" s="251"/>
      <c r="J251" s="252"/>
      <c r="K251" s="252"/>
      <c r="L251" s="251">
        <f>SUM(L256:L257)</f>
        <v>308.33999999999997</v>
      </c>
      <c r="M251" s="292"/>
    </row>
    <row r="252" spans="1:13" ht="12.75" x14ac:dyDescent="0.2">
      <c r="A252" s="239"/>
      <c r="B252" s="253" t="s">
        <v>813</v>
      </c>
      <c r="C252" s="254"/>
      <c r="D252" s="255"/>
      <c r="E252" s="255"/>
      <c r="F252" s="255"/>
      <c r="G252" s="255"/>
      <c r="H252" s="255"/>
      <c r="I252" s="255"/>
      <c r="J252" s="256"/>
      <c r="K252" s="256"/>
      <c r="L252" s="251">
        <f>L251-L250</f>
        <v>33.479999999999961</v>
      </c>
      <c r="M252" s="292"/>
    </row>
    <row r="253" spans="1:13" ht="12.75" x14ac:dyDescent="0.2">
      <c r="A253" s="239"/>
      <c r="B253" s="311"/>
      <c r="C253" s="311"/>
      <c r="D253" s="237"/>
      <c r="E253" s="237"/>
      <c r="F253" s="237"/>
      <c r="G253" s="237"/>
      <c r="H253" s="237"/>
      <c r="I253" s="237"/>
      <c r="J253" s="248"/>
      <c r="K253" s="248"/>
      <c r="L253" s="237"/>
      <c r="M253" s="292"/>
    </row>
    <row r="254" spans="1:13" ht="12.75" x14ac:dyDescent="0.2">
      <c r="A254" s="239"/>
      <c r="B254" s="311"/>
      <c r="C254" s="311"/>
      <c r="D254" s="237"/>
      <c r="E254" s="237"/>
      <c r="F254" s="237"/>
      <c r="G254" s="237"/>
      <c r="H254" s="237"/>
      <c r="I254" s="237"/>
      <c r="J254" s="248"/>
      <c r="K254" s="248"/>
      <c r="L254" s="237"/>
      <c r="M254" s="292"/>
    </row>
    <row r="255" spans="1:13" ht="12.75" customHeight="1" x14ac:dyDescent="0.2">
      <c r="A255" s="239"/>
      <c r="B255" s="785" t="s">
        <v>828</v>
      </c>
      <c r="C255" s="785"/>
      <c r="D255" s="289"/>
      <c r="E255" s="289"/>
      <c r="F255" s="289"/>
      <c r="G255" s="289"/>
      <c r="H255" s="289"/>
      <c r="I255" s="289"/>
      <c r="J255" s="295"/>
      <c r="K255" s="295"/>
      <c r="L255" s="289"/>
      <c r="M255" s="292"/>
    </row>
    <row r="256" spans="1:13" ht="12.75" x14ac:dyDescent="0.2">
      <c r="A256" s="239"/>
      <c r="B256" s="785"/>
      <c r="C256" s="785"/>
      <c r="D256" s="289">
        <v>2</v>
      </c>
      <c r="E256" s="289">
        <v>4.8</v>
      </c>
      <c r="F256" s="289"/>
      <c r="G256" s="289">
        <v>27</v>
      </c>
      <c r="H256" s="289"/>
      <c r="I256" s="289"/>
      <c r="J256" s="295"/>
      <c r="K256" s="295">
        <f>G256*E256</f>
        <v>129.6</v>
      </c>
      <c r="L256" s="289">
        <f t="shared" ref="L256" si="39">ROUND(D256*K256,2)</f>
        <v>259.2</v>
      </c>
      <c r="M256" s="292"/>
    </row>
    <row r="257" spans="1:13" ht="12.75" x14ac:dyDescent="0.2">
      <c r="A257" s="113"/>
      <c r="B257" s="312" t="s">
        <v>837</v>
      </c>
      <c r="C257" s="312"/>
      <c r="D257" s="289">
        <v>1</v>
      </c>
      <c r="E257" s="289">
        <v>2.6</v>
      </c>
      <c r="F257" s="289"/>
      <c r="G257" s="289">
        <v>18.899999999999999</v>
      </c>
      <c r="H257" s="289"/>
      <c r="I257" s="286"/>
      <c r="J257" s="286"/>
      <c r="K257" s="285">
        <f>E257*G257</f>
        <v>49.14</v>
      </c>
      <c r="L257" s="285">
        <f>K257</f>
        <v>49.14</v>
      </c>
      <c r="M257" s="114"/>
    </row>
    <row r="258" spans="1:13" ht="12.75" x14ac:dyDescent="0.2">
      <c r="A258" s="113"/>
      <c r="B258" s="131"/>
      <c r="C258" s="131"/>
      <c r="D258" s="118"/>
      <c r="E258" s="118"/>
      <c r="F258" s="118"/>
      <c r="G258" s="110"/>
      <c r="H258" s="118"/>
      <c r="I258" s="118"/>
      <c r="J258" s="117"/>
      <c r="K258" s="111"/>
      <c r="L258" s="110"/>
      <c r="M258" s="114"/>
    </row>
    <row r="259" spans="1:13" ht="12.75" x14ac:dyDescent="0.2">
      <c r="A259" s="272" t="s">
        <v>475</v>
      </c>
      <c r="B259" s="782" t="str">
        <f>REPROGRAMAÇÃO!B62</f>
        <v>TELHAMENTO COM TELHA CERÂMICA CAPA-CANAL, TIPO COLONIAL, COM ATÉ 2 ÁGUAS, INCLUSO TRANSPORTE VERTICAL. AF_07/2019</v>
      </c>
      <c r="C259" s="783"/>
      <c r="D259" s="783"/>
      <c r="E259" s="783"/>
      <c r="F259" s="783"/>
      <c r="G259" s="783"/>
      <c r="H259" s="783"/>
      <c r="I259" s="783"/>
      <c r="J259" s="783"/>
      <c r="K259" s="784"/>
      <c r="L259" s="273"/>
      <c r="M259" s="274" t="s">
        <v>400</v>
      </c>
    </row>
    <row r="260" spans="1:13" ht="12.75" x14ac:dyDescent="0.2">
      <c r="A260" s="239"/>
      <c r="B260" s="762" t="s">
        <v>133</v>
      </c>
      <c r="C260" s="763"/>
      <c r="D260" s="249"/>
      <c r="E260" s="249"/>
      <c r="F260" s="249"/>
      <c r="G260" s="249"/>
      <c r="H260" s="249"/>
      <c r="I260" s="249"/>
      <c r="J260" s="250"/>
      <c r="K260" s="250"/>
      <c r="L260" s="250">
        <f>REPROGRAMAÇÃO!F62</f>
        <v>52.56</v>
      </c>
      <c r="M260" s="275"/>
    </row>
    <row r="261" spans="1:13" ht="12.75" x14ac:dyDescent="0.2">
      <c r="A261" s="239"/>
      <c r="B261" s="764" t="s">
        <v>812</v>
      </c>
      <c r="C261" s="765"/>
      <c r="D261" s="251"/>
      <c r="E261" s="251"/>
      <c r="F261" s="251"/>
      <c r="G261" s="251"/>
      <c r="H261" s="251"/>
      <c r="I261" s="251"/>
      <c r="J261" s="252"/>
      <c r="K261" s="252"/>
      <c r="L261" s="251">
        <f>SUM(L264:L264)</f>
        <v>28.5</v>
      </c>
      <c r="M261" s="292"/>
    </row>
    <row r="262" spans="1:13" ht="12.75" x14ac:dyDescent="0.2">
      <c r="A262" s="239"/>
      <c r="B262" s="253" t="s">
        <v>813</v>
      </c>
      <c r="C262" s="254"/>
      <c r="D262" s="255"/>
      <c r="E262" s="255"/>
      <c r="F262" s="255"/>
      <c r="G262" s="255"/>
      <c r="H262" s="255"/>
      <c r="I262" s="255"/>
      <c r="J262" s="256"/>
      <c r="K262" s="256"/>
      <c r="L262" s="251">
        <f>L261-L260</f>
        <v>-24.060000000000002</v>
      </c>
      <c r="M262" s="292"/>
    </row>
    <row r="263" spans="1:13" ht="12.75" x14ac:dyDescent="0.2">
      <c r="A263" s="113"/>
      <c r="B263" s="131"/>
      <c r="C263" s="131"/>
      <c r="D263" s="118"/>
      <c r="E263" s="118"/>
      <c r="F263" s="118"/>
      <c r="G263" s="110"/>
      <c r="H263" s="118"/>
      <c r="I263" s="118"/>
      <c r="J263" s="117"/>
      <c r="K263" s="111"/>
      <c r="L263" s="110"/>
      <c r="M263" s="114"/>
    </row>
    <row r="264" spans="1:13" ht="14.25" x14ac:dyDescent="0.2">
      <c r="A264" s="313"/>
      <c r="B264" s="316" t="s">
        <v>838</v>
      </c>
      <c r="C264" s="287"/>
      <c r="D264" s="317">
        <v>1</v>
      </c>
      <c r="E264" s="317">
        <v>3</v>
      </c>
      <c r="F264" s="317"/>
      <c r="G264" s="317">
        <v>9.5</v>
      </c>
      <c r="H264" s="318"/>
      <c r="I264" s="318"/>
      <c r="J264" s="318"/>
      <c r="K264" s="317">
        <f>E264*G264</f>
        <v>28.5</v>
      </c>
      <c r="L264" s="317">
        <f>K264</f>
        <v>28.5</v>
      </c>
      <c r="M264" s="313"/>
    </row>
    <row r="265" spans="1:13" ht="12.75" x14ac:dyDescent="0.2">
      <c r="A265" s="113"/>
      <c r="B265" s="131"/>
      <c r="C265" s="132"/>
      <c r="D265" s="133"/>
      <c r="E265" s="133"/>
      <c r="F265" s="133"/>
      <c r="G265" s="133"/>
      <c r="H265" s="118"/>
      <c r="I265" s="118"/>
      <c r="J265" s="117"/>
      <c r="K265" s="117"/>
      <c r="L265" s="118"/>
      <c r="M265" s="114"/>
    </row>
    <row r="266" spans="1:13" ht="12.75" x14ac:dyDescent="0.2">
      <c r="A266" s="272" t="s">
        <v>479</v>
      </c>
      <c r="B266" s="782" t="str">
        <f>REPROGRAMAÇÃO!B64</f>
        <v>CUMEEIRA TERMOACÚSTICA</v>
      </c>
      <c r="C266" s="783"/>
      <c r="D266" s="783"/>
      <c r="E266" s="783"/>
      <c r="F266" s="783"/>
      <c r="G266" s="783"/>
      <c r="H266" s="783"/>
      <c r="I266" s="783"/>
      <c r="J266" s="783"/>
      <c r="K266" s="784"/>
      <c r="L266" s="273"/>
      <c r="M266" s="274" t="s">
        <v>400</v>
      </c>
    </row>
    <row r="267" spans="1:13" ht="12.75" x14ac:dyDescent="0.2">
      <c r="A267" s="239"/>
      <c r="B267" s="762" t="s">
        <v>133</v>
      </c>
      <c r="C267" s="763"/>
      <c r="D267" s="249"/>
      <c r="E267" s="249"/>
      <c r="F267" s="249"/>
      <c r="G267" s="249"/>
      <c r="H267" s="249"/>
      <c r="I267" s="249"/>
      <c r="J267" s="250"/>
      <c r="K267" s="250"/>
      <c r="L267" s="250">
        <f>REPROGRAMAÇÃO!F64</f>
        <v>26.38</v>
      </c>
      <c r="M267" s="275"/>
    </row>
    <row r="268" spans="1:13" ht="12.75" x14ac:dyDescent="0.2">
      <c r="A268" s="239"/>
      <c r="B268" s="764" t="s">
        <v>812</v>
      </c>
      <c r="C268" s="765"/>
      <c r="D268" s="251"/>
      <c r="E268" s="251"/>
      <c r="F268" s="251"/>
      <c r="G268" s="251"/>
      <c r="H268" s="251"/>
      <c r="I268" s="251"/>
      <c r="J268" s="252"/>
      <c r="K268" s="252"/>
      <c r="L268" s="251">
        <f>SUM(L271:L272)</f>
        <v>24</v>
      </c>
      <c r="M268" s="292"/>
    </row>
    <row r="269" spans="1:13" ht="12.75" x14ac:dyDescent="0.2">
      <c r="A269" s="239"/>
      <c r="B269" s="253" t="s">
        <v>813</v>
      </c>
      <c r="C269" s="254"/>
      <c r="D269" s="255"/>
      <c r="E269" s="255"/>
      <c r="F269" s="255"/>
      <c r="G269" s="255"/>
      <c r="H269" s="255"/>
      <c r="I269" s="255"/>
      <c r="J269" s="256"/>
      <c r="K269" s="256"/>
      <c r="L269" s="251">
        <f>L268-L267</f>
        <v>-2.379999999999999</v>
      </c>
      <c r="M269" s="292"/>
    </row>
    <row r="270" spans="1:13" ht="12.75" x14ac:dyDescent="0.2">
      <c r="A270" s="113"/>
      <c r="B270" s="131"/>
      <c r="C270" s="131"/>
      <c r="D270" s="118"/>
      <c r="E270" s="118"/>
      <c r="F270" s="118"/>
      <c r="G270" s="110"/>
      <c r="H270" s="118"/>
      <c r="I270" s="118"/>
      <c r="J270" s="117"/>
      <c r="K270" s="111"/>
      <c r="L270" s="110"/>
      <c r="M270" s="114"/>
    </row>
    <row r="271" spans="1:13" ht="14.25" x14ac:dyDescent="0.2">
      <c r="A271" s="313"/>
      <c r="B271" s="791" t="s">
        <v>835</v>
      </c>
      <c r="C271" s="792"/>
      <c r="D271" s="308">
        <v>1</v>
      </c>
      <c r="E271" s="308">
        <v>5</v>
      </c>
      <c r="F271" s="309"/>
      <c r="G271" s="309"/>
      <c r="H271" s="309"/>
      <c r="I271" s="309"/>
      <c r="J271" s="309"/>
      <c r="K271" s="308">
        <f>E271</f>
        <v>5</v>
      </c>
      <c r="L271" s="308">
        <f>K271*D271</f>
        <v>5</v>
      </c>
      <c r="M271" s="313"/>
    </row>
    <row r="272" spans="1:13" ht="12.75" x14ac:dyDescent="0.2">
      <c r="A272" s="113"/>
      <c r="B272" s="791" t="s">
        <v>836</v>
      </c>
      <c r="C272" s="792"/>
      <c r="D272" s="308">
        <v>1</v>
      </c>
      <c r="E272" s="310">
        <v>19</v>
      </c>
      <c r="F272" s="309"/>
      <c r="G272" s="309"/>
      <c r="H272" s="309"/>
      <c r="I272" s="309"/>
      <c r="J272" s="309"/>
      <c r="K272" s="308">
        <f>E272</f>
        <v>19</v>
      </c>
      <c r="L272" s="308">
        <f>K272*D272</f>
        <v>19</v>
      </c>
      <c r="M272" s="114"/>
    </row>
    <row r="273" spans="1:13" ht="12.75" x14ac:dyDescent="0.2">
      <c r="A273" s="113"/>
      <c r="B273" s="323"/>
      <c r="C273" s="323"/>
      <c r="D273" s="324"/>
      <c r="E273" s="325"/>
      <c r="F273" s="323"/>
      <c r="G273" s="323"/>
      <c r="H273" s="323"/>
      <c r="I273" s="323"/>
      <c r="J273" s="323"/>
      <c r="K273" s="324"/>
      <c r="L273" s="324"/>
      <c r="M273" s="114"/>
    </row>
    <row r="274" spans="1:13" ht="12.75" x14ac:dyDescent="0.2">
      <c r="A274" s="272" t="s">
        <v>483</v>
      </c>
      <c r="B274" s="782" t="str">
        <f>REPROGRAMAÇÃO!B66</f>
        <v>RUFO EXTERNO/INTERNO EM CHAPA DE AÇO GALVANIZADO NÚMERO 26, CORTE DE 33 CM, INCLUSO IÇAMENTO. AF_07/2019</v>
      </c>
      <c r="C274" s="783"/>
      <c r="D274" s="783"/>
      <c r="E274" s="783"/>
      <c r="F274" s="783"/>
      <c r="G274" s="783"/>
      <c r="H274" s="783"/>
      <c r="I274" s="783"/>
      <c r="J274" s="783"/>
      <c r="K274" s="784"/>
      <c r="L274" s="273"/>
      <c r="M274" s="274" t="s">
        <v>400</v>
      </c>
    </row>
    <row r="275" spans="1:13" ht="12.75" x14ac:dyDescent="0.2">
      <c r="A275" s="239"/>
      <c r="B275" s="762" t="s">
        <v>133</v>
      </c>
      <c r="C275" s="763"/>
      <c r="D275" s="249"/>
      <c r="E275" s="249"/>
      <c r="F275" s="249"/>
      <c r="G275" s="249"/>
      <c r="H275" s="249"/>
      <c r="I275" s="249"/>
      <c r="J275" s="250"/>
      <c r="K275" s="250"/>
      <c r="L275" s="250">
        <f>REPROGRAMAÇÃO!F66</f>
        <v>9.0299999999999994</v>
      </c>
      <c r="M275" s="275"/>
    </row>
    <row r="276" spans="1:13" ht="12.75" x14ac:dyDescent="0.2">
      <c r="A276" s="239"/>
      <c r="B276" s="764" t="s">
        <v>812</v>
      </c>
      <c r="C276" s="765"/>
      <c r="D276" s="251"/>
      <c r="E276" s="251"/>
      <c r="F276" s="251"/>
      <c r="G276" s="251"/>
      <c r="H276" s="251"/>
      <c r="I276" s="251"/>
      <c r="J276" s="252"/>
      <c r="K276" s="252"/>
      <c r="L276" s="251">
        <f>SUM(L279:L284)</f>
        <v>52.8</v>
      </c>
      <c r="M276" s="292"/>
    </row>
    <row r="277" spans="1:13" ht="12.75" x14ac:dyDescent="0.2">
      <c r="A277" s="239"/>
      <c r="B277" s="253" t="s">
        <v>813</v>
      </c>
      <c r="C277" s="254"/>
      <c r="D277" s="255"/>
      <c r="E277" s="255"/>
      <c r="F277" s="255"/>
      <c r="G277" s="255"/>
      <c r="H277" s="255"/>
      <c r="I277" s="255"/>
      <c r="J277" s="256"/>
      <c r="K277" s="256"/>
      <c r="L277" s="251">
        <f>L276-L275</f>
        <v>43.769999999999996</v>
      </c>
      <c r="M277" s="292"/>
    </row>
    <row r="278" spans="1:13" ht="12.75" x14ac:dyDescent="0.2">
      <c r="A278" s="242"/>
      <c r="B278" s="319"/>
      <c r="C278" s="319"/>
      <c r="D278" s="320"/>
      <c r="E278" s="320"/>
      <c r="F278" s="320"/>
      <c r="G278" s="320"/>
      <c r="H278" s="320"/>
      <c r="I278" s="320"/>
      <c r="J278" s="321"/>
      <c r="K278" s="321"/>
      <c r="L278" s="237"/>
      <c r="M278" s="276"/>
    </row>
    <row r="279" spans="1:13" ht="12.75" x14ac:dyDescent="0.2">
      <c r="A279" s="113"/>
      <c r="B279" s="789" t="s">
        <v>840</v>
      </c>
      <c r="C279" s="790"/>
      <c r="D279" s="308">
        <v>2</v>
      </c>
      <c r="E279" s="308">
        <v>3.5</v>
      </c>
      <c r="F279" s="309"/>
      <c r="G279" s="309"/>
      <c r="H279" s="309"/>
      <c r="I279" s="309"/>
      <c r="J279" s="309"/>
      <c r="K279" s="308">
        <f>E279</f>
        <v>3.5</v>
      </c>
      <c r="L279" s="308">
        <f>K279*D279</f>
        <v>7</v>
      </c>
      <c r="M279" s="114"/>
    </row>
    <row r="280" spans="1:13" ht="12.75" x14ac:dyDescent="0.2">
      <c r="A280" s="113"/>
      <c r="B280" s="789" t="s">
        <v>839</v>
      </c>
      <c r="C280" s="790"/>
      <c r="D280" s="308">
        <v>1</v>
      </c>
      <c r="E280" s="308">
        <v>10.199999999999999</v>
      </c>
      <c r="F280" s="309"/>
      <c r="G280" s="309"/>
      <c r="H280" s="309"/>
      <c r="I280" s="309"/>
      <c r="J280" s="309"/>
      <c r="K280" s="308">
        <f t="shared" ref="K280:K283" si="40">E280</f>
        <v>10.199999999999999</v>
      </c>
      <c r="L280" s="308">
        <f t="shared" ref="L280:L283" si="41">K280*D280</f>
        <v>10.199999999999999</v>
      </c>
      <c r="M280" s="114"/>
    </row>
    <row r="281" spans="1:13" ht="12.75" x14ac:dyDescent="0.2">
      <c r="A281" s="113"/>
      <c r="B281" s="789" t="s">
        <v>841</v>
      </c>
      <c r="C281" s="790"/>
      <c r="D281" s="308">
        <v>2</v>
      </c>
      <c r="E281" s="308">
        <v>3</v>
      </c>
      <c r="F281" s="309"/>
      <c r="G281" s="309"/>
      <c r="H281" s="309"/>
      <c r="I281" s="309"/>
      <c r="J281" s="309"/>
      <c r="K281" s="308">
        <f t="shared" si="40"/>
        <v>3</v>
      </c>
      <c r="L281" s="308">
        <f t="shared" si="41"/>
        <v>6</v>
      </c>
      <c r="M281" s="114"/>
    </row>
    <row r="282" spans="1:13" ht="12.75" x14ac:dyDescent="0.2">
      <c r="A282" s="113"/>
      <c r="B282" s="789" t="s">
        <v>843</v>
      </c>
      <c r="C282" s="790"/>
      <c r="D282" s="308">
        <v>1</v>
      </c>
      <c r="E282" s="308">
        <v>5.0999999999999996</v>
      </c>
      <c r="F282" s="309"/>
      <c r="G282" s="309"/>
      <c r="H282" s="309"/>
      <c r="I282" s="309"/>
      <c r="J282" s="309"/>
      <c r="K282" s="308">
        <f t="shared" ref="K282" si="42">E282</f>
        <v>5.0999999999999996</v>
      </c>
      <c r="L282" s="308">
        <f t="shared" ref="L282" si="43">K282*D282</f>
        <v>5.0999999999999996</v>
      </c>
      <c r="M282" s="114"/>
    </row>
    <row r="283" spans="1:13" ht="12.75" x14ac:dyDescent="0.2">
      <c r="A283" s="113"/>
      <c r="B283" s="789" t="s">
        <v>366</v>
      </c>
      <c r="C283" s="790"/>
      <c r="D283" s="308">
        <v>1</v>
      </c>
      <c r="E283" s="308">
        <v>5.5</v>
      </c>
      <c r="F283" s="309"/>
      <c r="G283" s="309"/>
      <c r="H283" s="309"/>
      <c r="I283" s="309"/>
      <c r="J283" s="309"/>
      <c r="K283" s="308">
        <f t="shared" si="40"/>
        <v>5.5</v>
      </c>
      <c r="L283" s="308">
        <f t="shared" si="41"/>
        <v>5.5</v>
      </c>
      <c r="M283" s="114"/>
    </row>
    <row r="284" spans="1:13" ht="12.75" x14ac:dyDescent="0.2">
      <c r="A284" s="113"/>
      <c r="B284" s="789" t="s">
        <v>842</v>
      </c>
      <c r="C284" s="790"/>
      <c r="D284" s="308">
        <v>1</v>
      </c>
      <c r="E284" s="308">
        <v>19</v>
      </c>
      <c r="F284" s="309"/>
      <c r="G284" s="309"/>
      <c r="H284" s="309"/>
      <c r="I284" s="309"/>
      <c r="J284" s="309"/>
      <c r="K284" s="308">
        <f t="shared" ref="K284" si="44">E284</f>
        <v>19</v>
      </c>
      <c r="L284" s="308">
        <f t="shared" ref="L284" si="45">K284*D284</f>
        <v>19</v>
      </c>
      <c r="M284" s="114"/>
    </row>
    <row r="285" spans="1:13" ht="14.25" x14ac:dyDescent="0.2">
      <c r="A285" s="113"/>
      <c r="B285" s="322"/>
      <c r="C285" s="322"/>
      <c r="D285" s="314"/>
      <c r="E285" s="314"/>
      <c r="F285" s="315"/>
      <c r="G285" s="315"/>
      <c r="H285" s="315"/>
      <c r="I285" s="315"/>
      <c r="J285" s="315"/>
      <c r="K285" s="314"/>
      <c r="L285" s="315"/>
      <c r="M285" s="114"/>
    </row>
    <row r="286" spans="1:13" ht="14.25" x14ac:dyDescent="0.2">
      <c r="A286" s="113"/>
      <c r="B286" s="322"/>
      <c r="C286" s="322"/>
      <c r="D286" s="314"/>
      <c r="E286" s="314"/>
      <c r="F286" s="315"/>
      <c r="G286" s="315"/>
      <c r="H286" s="315"/>
      <c r="I286" s="315"/>
      <c r="J286" s="315"/>
      <c r="K286" s="314"/>
      <c r="L286" s="315"/>
      <c r="M286" s="114"/>
    </row>
    <row r="287" spans="1:13" ht="12.75" x14ac:dyDescent="0.2">
      <c r="A287" s="272" t="str">
        <f>REPROGRAMAÇÃO!A68</f>
        <v>5.10</v>
      </c>
      <c r="B287" s="782" t="str">
        <f>REPROGRAMAÇÃO!B68</f>
        <v>FORRO EM DRYWALL, PARA AMBIENTES COMERCIAIS, INCLUSIVE ESTRUTURA DE FIXAÇÃO. AF_05/2017_P</v>
      </c>
      <c r="C287" s="783"/>
      <c r="D287" s="783"/>
      <c r="E287" s="783"/>
      <c r="F287" s="783"/>
      <c r="G287" s="783"/>
      <c r="H287" s="783"/>
      <c r="I287" s="783"/>
      <c r="J287" s="783"/>
      <c r="K287" s="784"/>
      <c r="L287" s="273"/>
      <c r="M287" s="274" t="s">
        <v>400</v>
      </c>
    </row>
    <row r="288" spans="1:13" ht="12.75" x14ac:dyDescent="0.2">
      <c r="A288" s="239"/>
      <c r="B288" s="762" t="s">
        <v>133</v>
      </c>
      <c r="C288" s="763"/>
      <c r="D288" s="249"/>
      <c r="E288" s="249"/>
      <c r="F288" s="249"/>
      <c r="G288" s="249"/>
      <c r="H288" s="249"/>
      <c r="I288" s="249"/>
      <c r="J288" s="250"/>
      <c r="K288" s="250"/>
      <c r="L288" s="250">
        <f>REPROGRAMAÇÃO!F68</f>
        <v>338.69</v>
      </c>
      <c r="M288" s="275"/>
    </row>
    <row r="289" spans="1:16" s="108" customFormat="1" ht="12.75" x14ac:dyDescent="0.2">
      <c r="A289" s="239"/>
      <c r="B289" s="764" t="s">
        <v>812</v>
      </c>
      <c r="C289" s="765"/>
      <c r="D289" s="251"/>
      <c r="E289" s="251"/>
      <c r="F289" s="251"/>
      <c r="G289" s="251"/>
      <c r="H289" s="251"/>
      <c r="I289" s="251"/>
      <c r="J289" s="252"/>
      <c r="K289" s="252"/>
      <c r="L289" s="251">
        <f>SUM(L292:L295)</f>
        <v>184.7175</v>
      </c>
      <c r="M289" s="292"/>
      <c r="O289" s="108" t="e">
        <f>#REF!*4</f>
        <v>#REF!</v>
      </c>
      <c r="P289" s="108" t="e">
        <f>O289*0.617</f>
        <v>#REF!</v>
      </c>
    </row>
    <row r="290" spans="1:16" ht="12.75" x14ac:dyDescent="0.2">
      <c r="A290" s="239"/>
      <c r="B290" s="253" t="s">
        <v>813</v>
      </c>
      <c r="C290" s="254"/>
      <c r="D290" s="255"/>
      <c r="E290" s="255"/>
      <c r="F290" s="255"/>
      <c r="G290" s="255"/>
      <c r="H290" s="255"/>
      <c r="I290" s="255"/>
      <c r="J290" s="256"/>
      <c r="K290" s="256"/>
      <c r="L290" s="251">
        <f>L289-L288</f>
        <v>-153.9725</v>
      </c>
      <c r="M290" s="292"/>
    </row>
    <row r="291" spans="1:16" ht="12.75" x14ac:dyDescent="0.2">
      <c r="A291" s="242"/>
      <c r="B291" s="319"/>
      <c r="C291" s="319"/>
      <c r="D291" s="320"/>
      <c r="E291" s="320"/>
      <c r="F291" s="320"/>
      <c r="G291" s="320"/>
      <c r="H291" s="320"/>
      <c r="I291" s="320"/>
      <c r="J291" s="321"/>
      <c r="K291" s="321"/>
      <c r="L291" s="237"/>
      <c r="M291" s="276"/>
    </row>
    <row r="292" spans="1:16" ht="12.75" x14ac:dyDescent="0.2">
      <c r="A292" s="113"/>
      <c r="B292" s="789" t="s">
        <v>844</v>
      </c>
      <c r="C292" s="790"/>
      <c r="D292" s="308">
        <v>1</v>
      </c>
      <c r="E292" s="308">
        <v>8.0500000000000007</v>
      </c>
      <c r="F292" s="309"/>
      <c r="G292" s="308">
        <v>5.35</v>
      </c>
      <c r="H292" s="309"/>
      <c r="I292" s="309"/>
      <c r="J292" s="309"/>
      <c r="K292" s="308">
        <f>G292*E292</f>
        <v>43.067500000000003</v>
      </c>
      <c r="L292" s="308">
        <f>K292*D292</f>
        <v>43.067500000000003</v>
      </c>
      <c r="M292" s="114"/>
    </row>
    <row r="293" spans="1:16" ht="12.75" x14ac:dyDescent="0.2">
      <c r="A293" s="113"/>
      <c r="B293" s="789" t="s">
        <v>845</v>
      </c>
      <c r="C293" s="790"/>
      <c r="D293" s="308">
        <v>1</v>
      </c>
      <c r="E293" s="308">
        <v>13.5</v>
      </c>
      <c r="F293" s="309"/>
      <c r="G293" s="308">
        <v>7.9</v>
      </c>
      <c r="H293" s="309"/>
      <c r="I293" s="309"/>
      <c r="J293" s="309"/>
      <c r="K293" s="308">
        <f t="shared" ref="K293" si="46">G293*E293</f>
        <v>106.65</v>
      </c>
      <c r="L293" s="308">
        <f t="shared" ref="L293:L294" si="47">K293*D293</f>
        <v>106.65</v>
      </c>
      <c r="M293" s="114"/>
    </row>
    <row r="294" spans="1:16" ht="12.75" x14ac:dyDescent="0.2">
      <c r="A294" s="113"/>
      <c r="B294" s="789" t="s">
        <v>846</v>
      </c>
      <c r="C294" s="790"/>
      <c r="D294" s="308">
        <v>1</v>
      </c>
      <c r="E294" s="308">
        <v>5</v>
      </c>
      <c r="F294" s="309"/>
      <c r="G294" s="308">
        <v>7</v>
      </c>
      <c r="H294" s="309"/>
      <c r="I294" s="309"/>
      <c r="J294" s="309"/>
      <c r="K294" s="308">
        <f>G294*E294</f>
        <v>35</v>
      </c>
      <c r="L294" s="308">
        <f t="shared" si="47"/>
        <v>35</v>
      </c>
      <c r="M294" s="114"/>
    </row>
    <row r="295" spans="1:16" ht="12.75" x14ac:dyDescent="0.2">
      <c r="A295" s="113"/>
      <c r="B295" s="789"/>
      <c r="C295" s="790"/>
      <c r="D295" s="308"/>
      <c r="E295" s="308"/>
      <c r="F295" s="309"/>
      <c r="G295" s="309"/>
      <c r="H295" s="309"/>
      <c r="I295" s="309"/>
      <c r="J295" s="309"/>
      <c r="K295" s="308"/>
      <c r="L295" s="308"/>
      <c r="M295" s="114"/>
    </row>
    <row r="296" spans="1:16" ht="34.5" customHeight="1" x14ac:dyDescent="0.2">
      <c r="A296" s="272" t="s">
        <v>847</v>
      </c>
      <c r="B296" s="782" t="str">
        <f>REPROGRAMAÇÃO!B70</f>
        <v>TRAMA DE MADEIRA COMPOSTA POR RIPAS, CAIBROS E TERÇAS PARA TELHADOS DE ATÉ 2 ÁGUAS PARA TELHA CERÂMICA CAPA-CANAL, INCLUSO TRANSPORTE VERTICAL. AF_07/2019</v>
      </c>
      <c r="C296" s="783"/>
      <c r="D296" s="783"/>
      <c r="E296" s="783"/>
      <c r="F296" s="783"/>
      <c r="G296" s="783"/>
      <c r="H296" s="783"/>
      <c r="I296" s="783"/>
      <c r="J296" s="783"/>
      <c r="K296" s="784"/>
      <c r="L296" s="273"/>
      <c r="M296" s="274" t="s">
        <v>400</v>
      </c>
    </row>
    <row r="297" spans="1:16" ht="12.75" x14ac:dyDescent="0.2">
      <c r="A297" s="239"/>
      <c r="B297" s="762" t="s">
        <v>133</v>
      </c>
      <c r="C297" s="763"/>
      <c r="D297" s="249"/>
      <c r="E297" s="249"/>
      <c r="F297" s="249"/>
      <c r="G297" s="249"/>
      <c r="H297" s="249"/>
      <c r="I297" s="249"/>
      <c r="J297" s="250"/>
      <c r="K297" s="250"/>
      <c r="L297" s="250">
        <f>REPROGRAMAÇÃO!I70</f>
        <v>33.25</v>
      </c>
      <c r="M297" s="275"/>
    </row>
    <row r="298" spans="1:16" ht="12.75" x14ac:dyDescent="0.2">
      <c r="A298" s="239"/>
      <c r="B298" s="764" t="s">
        <v>812</v>
      </c>
      <c r="C298" s="765"/>
      <c r="D298" s="251"/>
      <c r="E298" s="251"/>
      <c r="F298" s="251"/>
      <c r="G298" s="251"/>
      <c r="H298" s="251"/>
      <c r="I298" s="251"/>
      <c r="J298" s="252"/>
      <c r="K298" s="252"/>
      <c r="L298" s="251">
        <f>SUM(L301:L301)</f>
        <v>33.25</v>
      </c>
      <c r="M298" s="292"/>
    </row>
    <row r="299" spans="1:16" ht="12.75" x14ac:dyDescent="0.2">
      <c r="A299" s="239"/>
      <c r="B299" s="253" t="s">
        <v>813</v>
      </c>
      <c r="C299" s="254"/>
      <c r="D299" s="255"/>
      <c r="E299" s="255"/>
      <c r="F299" s="255"/>
      <c r="G299" s="255"/>
      <c r="H299" s="255"/>
      <c r="I299" s="255"/>
      <c r="J299" s="256"/>
      <c r="K299" s="256"/>
      <c r="L299" s="251">
        <f>L298-L297</f>
        <v>0</v>
      </c>
      <c r="M299" s="292"/>
    </row>
    <row r="300" spans="1:16" ht="12.75" x14ac:dyDescent="0.2">
      <c r="A300" s="113"/>
      <c r="B300" s="131"/>
      <c r="C300" s="131"/>
      <c r="D300" s="118"/>
      <c r="E300" s="118"/>
      <c r="F300" s="118"/>
      <c r="G300" s="110"/>
      <c r="H300" s="118"/>
      <c r="I300" s="118"/>
      <c r="J300" s="117"/>
      <c r="K300" s="111"/>
      <c r="L300" s="110"/>
      <c r="M300" s="114"/>
    </row>
    <row r="301" spans="1:16" ht="14.25" x14ac:dyDescent="0.2">
      <c r="A301" s="313"/>
      <c r="B301" s="326" t="s">
        <v>838</v>
      </c>
      <c r="C301" s="327"/>
      <c r="D301" s="324">
        <v>1</v>
      </c>
      <c r="E301" s="324">
        <v>3.5</v>
      </c>
      <c r="F301" s="324"/>
      <c r="G301" s="324">
        <v>9.5</v>
      </c>
      <c r="H301" s="323"/>
      <c r="I301" s="323"/>
      <c r="J301" s="323"/>
      <c r="K301" s="324">
        <f>E301*G301</f>
        <v>33.25</v>
      </c>
      <c r="L301" s="324">
        <f>K301</f>
        <v>33.25</v>
      </c>
      <c r="M301" s="313"/>
    </row>
    <row r="302" spans="1:16" ht="12.75" x14ac:dyDescent="0.2">
      <c r="A302" s="127"/>
      <c r="B302" s="131"/>
      <c r="C302" s="132"/>
      <c r="D302" s="133"/>
      <c r="E302" s="133"/>
      <c r="F302" s="118"/>
      <c r="G302" s="118"/>
      <c r="H302" s="117"/>
      <c r="I302" s="117"/>
      <c r="J302" s="117"/>
      <c r="K302" s="111"/>
      <c r="L302" s="118"/>
      <c r="M302" s="114"/>
    </row>
    <row r="303" spans="1:16" ht="12.75" x14ac:dyDescent="0.2">
      <c r="A303" s="272" t="s">
        <v>848</v>
      </c>
      <c r="B303" s="782" t="str">
        <f>REPROGRAMAÇÃO!B71</f>
        <v>Estrutura Metálica p/ Cobertura c/Vigas-Treliça e terças na garagem</v>
      </c>
      <c r="C303" s="783"/>
      <c r="D303" s="783"/>
      <c r="E303" s="783"/>
      <c r="F303" s="783"/>
      <c r="G303" s="783"/>
      <c r="H303" s="783"/>
      <c r="I303" s="783"/>
      <c r="J303" s="783"/>
      <c r="K303" s="784"/>
      <c r="L303" s="273"/>
      <c r="M303" s="274" t="s">
        <v>400</v>
      </c>
    </row>
    <row r="304" spans="1:16" ht="12.75" x14ac:dyDescent="0.2">
      <c r="A304" s="239"/>
      <c r="B304" s="762" t="s">
        <v>133</v>
      </c>
      <c r="C304" s="763"/>
      <c r="D304" s="249"/>
      <c r="E304" s="249"/>
      <c r="F304" s="249"/>
      <c r="G304" s="249"/>
      <c r="H304" s="249"/>
      <c r="I304" s="249"/>
      <c r="J304" s="250"/>
      <c r="K304" s="250"/>
      <c r="L304" s="250">
        <f>REPROGRAMAÇÃO!F71</f>
        <v>501.52</v>
      </c>
      <c r="M304" s="275"/>
    </row>
    <row r="305" spans="1:13" ht="12.75" x14ac:dyDescent="0.2">
      <c r="A305" s="239"/>
      <c r="B305" s="764" t="s">
        <v>812</v>
      </c>
      <c r="C305" s="765"/>
      <c r="D305" s="251"/>
      <c r="E305" s="251"/>
      <c r="F305" s="251"/>
      <c r="G305" s="251"/>
      <c r="H305" s="251"/>
      <c r="I305" s="251"/>
      <c r="J305" s="252"/>
      <c r="K305" s="252"/>
      <c r="L305" s="251">
        <f>SUM(L308:L312)</f>
        <v>515.55999999999995</v>
      </c>
      <c r="M305" s="292"/>
    </row>
    <row r="306" spans="1:13" ht="12.75" x14ac:dyDescent="0.2">
      <c r="A306" s="239"/>
      <c r="B306" s="253" t="s">
        <v>813</v>
      </c>
      <c r="C306" s="254"/>
      <c r="D306" s="255"/>
      <c r="E306" s="255"/>
      <c r="F306" s="255"/>
      <c r="G306" s="255"/>
      <c r="H306" s="255"/>
      <c r="I306" s="255"/>
      <c r="J306" s="256"/>
      <c r="K306" s="256"/>
      <c r="L306" s="251">
        <f>L305-L304</f>
        <v>14.039999999999964</v>
      </c>
      <c r="M306" s="292"/>
    </row>
    <row r="307" spans="1:13" ht="12.75" x14ac:dyDescent="0.2">
      <c r="A307" s="113"/>
      <c r="B307" s="131"/>
      <c r="C307" s="131"/>
      <c r="D307" s="118"/>
      <c r="E307" s="118"/>
      <c r="F307" s="118"/>
      <c r="G307" s="333"/>
      <c r="H307" s="118"/>
      <c r="I307" s="118"/>
      <c r="J307" s="117"/>
      <c r="K307" s="334"/>
      <c r="L307" s="333"/>
      <c r="M307" s="114"/>
    </row>
    <row r="308" spans="1:13" ht="14.25" x14ac:dyDescent="0.2">
      <c r="A308" s="313"/>
      <c r="B308" s="335" t="s">
        <v>849</v>
      </c>
      <c r="C308" s="336"/>
      <c r="D308" s="308">
        <v>1</v>
      </c>
      <c r="E308" s="308">
        <v>10</v>
      </c>
      <c r="F308" s="308"/>
      <c r="G308" s="308">
        <v>27</v>
      </c>
      <c r="H308" s="308"/>
      <c r="I308" s="308"/>
      <c r="J308" s="308"/>
      <c r="K308" s="308">
        <f>E308*G308</f>
        <v>270</v>
      </c>
      <c r="L308" s="308">
        <f>K308*D308</f>
        <v>270</v>
      </c>
    </row>
    <row r="309" spans="1:13" ht="12.75" x14ac:dyDescent="0.2">
      <c r="A309" s="127"/>
      <c r="B309" s="335" t="s">
        <v>850</v>
      </c>
      <c r="C309" s="335"/>
      <c r="D309" s="289">
        <v>1</v>
      </c>
      <c r="E309" s="337">
        <v>3.1</v>
      </c>
      <c r="F309" s="337"/>
      <c r="G309" s="337">
        <v>18.899999999999999</v>
      </c>
      <c r="H309" s="285"/>
      <c r="I309" s="285"/>
      <c r="J309" s="285"/>
      <c r="K309" s="285">
        <f>E309*G309</f>
        <v>58.589999999999996</v>
      </c>
      <c r="L309" s="285">
        <f>K309</f>
        <v>58.589999999999996</v>
      </c>
      <c r="M309" s="114"/>
    </row>
    <row r="310" spans="1:13" ht="12.75" x14ac:dyDescent="0.2">
      <c r="A310" s="127"/>
      <c r="B310" s="789" t="s">
        <v>835</v>
      </c>
      <c r="C310" s="790"/>
      <c r="D310" s="308">
        <v>1</v>
      </c>
      <c r="E310" s="308">
        <v>5</v>
      </c>
      <c r="F310" s="308"/>
      <c r="G310" s="308">
        <v>7.01</v>
      </c>
      <c r="H310" s="308"/>
      <c r="I310" s="308"/>
      <c r="J310" s="308"/>
      <c r="K310" s="308">
        <f>ROUND(E310*G310,2)</f>
        <v>35.049999999999997</v>
      </c>
      <c r="L310" s="308">
        <f>K310*D310</f>
        <v>35.049999999999997</v>
      </c>
      <c r="M310" s="114"/>
    </row>
    <row r="311" spans="1:13" ht="12.75" x14ac:dyDescent="0.2">
      <c r="A311" s="127"/>
      <c r="B311" s="789" t="s">
        <v>836</v>
      </c>
      <c r="C311" s="790"/>
      <c r="D311" s="308">
        <v>1</v>
      </c>
      <c r="E311" s="338">
        <v>19</v>
      </c>
      <c r="F311" s="308"/>
      <c r="G311" s="308">
        <v>7.7</v>
      </c>
      <c r="H311" s="308"/>
      <c r="I311" s="308"/>
      <c r="J311" s="308"/>
      <c r="K311" s="308">
        <f t="shared" ref="K311:K312" si="48">ROUND(E311*G311,2)</f>
        <v>146.30000000000001</v>
      </c>
      <c r="L311" s="308">
        <f>K311*D311</f>
        <v>146.30000000000001</v>
      </c>
      <c r="M311" s="114"/>
    </row>
    <row r="312" spans="1:13" ht="12.75" x14ac:dyDescent="0.2">
      <c r="A312" s="127"/>
      <c r="B312" s="789" t="s">
        <v>836</v>
      </c>
      <c r="C312" s="790"/>
      <c r="D312" s="308">
        <v>1</v>
      </c>
      <c r="E312" s="308">
        <v>5.35</v>
      </c>
      <c r="F312" s="308"/>
      <c r="G312" s="308">
        <v>1.05</v>
      </c>
      <c r="H312" s="308"/>
      <c r="I312" s="308"/>
      <c r="J312" s="308"/>
      <c r="K312" s="308">
        <f t="shared" si="48"/>
        <v>5.62</v>
      </c>
      <c r="L312" s="308">
        <f>K312*D312</f>
        <v>5.62</v>
      </c>
      <c r="M312" s="114"/>
    </row>
    <row r="313" spans="1:13" ht="12.75" x14ac:dyDescent="0.2">
      <c r="A313" s="127"/>
      <c r="B313" s="131"/>
      <c r="C313" s="132"/>
      <c r="D313" s="133"/>
      <c r="E313" s="133"/>
      <c r="F313" s="133"/>
      <c r="G313" s="133"/>
      <c r="H313" s="118"/>
      <c r="I313" s="118"/>
      <c r="J313" s="117"/>
      <c r="K313" s="111"/>
      <c r="L313" s="118"/>
      <c r="M313" s="114"/>
    </row>
    <row r="314" spans="1:13" ht="12.75" x14ac:dyDescent="0.2">
      <c r="A314" s="272" t="s">
        <v>851</v>
      </c>
      <c r="B314" s="782" t="str">
        <f>REPROGRAMAÇÃO!B74</f>
        <v>Calha em chapa de aço galvanizado nº 26, desenvolvimento 86 cm (fundo=32 cm, laterais=15 cm, bordas=12cm)</v>
      </c>
      <c r="C314" s="783"/>
      <c r="D314" s="783"/>
      <c r="E314" s="783"/>
      <c r="F314" s="783"/>
      <c r="G314" s="783"/>
      <c r="H314" s="783"/>
      <c r="I314" s="783"/>
      <c r="J314" s="783"/>
      <c r="K314" s="784"/>
      <c r="L314" s="273"/>
      <c r="M314" s="274" t="s">
        <v>400</v>
      </c>
    </row>
    <row r="315" spans="1:13" ht="12.75" x14ac:dyDescent="0.2">
      <c r="A315" s="239"/>
      <c r="B315" s="762" t="s">
        <v>133</v>
      </c>
      <c r="C315" s="763"/>
      <c r="D315" s="249"/>
      <c r="E315" s="249"/>
      <c r="F315" s="249"/>
      <c r="G315" s="249"/>
      <c r="H315" s="249"/>
      <c r="I315" s="249"/>
      <c r="J315" s="250"/>
      <c r="K315" s="250"/>
      <c r="L315" s="250">
        <f>REPROGRAMAÇÃO!F74</f>
        <v>87</v>
      </c>
      <c r="M315" s="275"/>
    </row>
    <row r="316" spans="1:13" ht="12.75" x14ac:dyDescent="0.2">
      <c r="A316" s="239"/>
      <c r="B316" s="764" t="s">
        <v>812</v>
      </c>
      <c r="C316" s="765"/>
      <c r="D316" s="251"/>
      <c r="E316" s="251"/>
      <c r="F316" s="251"/>
      <c r="G316" s="251"/>
      <c r="H316" s="251"/>
      <c r="I316" s="251"/>
      <c r="J316" s="252"/>
      <c r="K316" s="252"/>
      <c r="L316" s="251">
        <f>SUM(L319:L326)</f>
        <v>171.5</v>
      </c>
      <c r="M316" s="292"/>
    </row>
    <row r="317" spans="1:13" ht="12.75" x14ac:dyDescent="0.2">
      <c r="A317" s="239"/>
      <c r="B317" s="253" t="s">
        <v>813</v>
      </c>
      <c r="C317" s="254"/>
      <c r="D317" s="255"/>
      <c r="E317" s="255"/>
      <c r="F317" s="255"/>
      <c r="G317" s="255"/>
      <c r="H317" s="255"/>
      <c r="I317" s="255"/>
      <c r="J317" s="256"/>
      <c r="K317" s="256"/>
      <c r="L317" s="251">
        <f>L316-L315</f>
        <v>84.5</v>
      </c>
      <c r="M317" s="292"/>
    </row>
    <row r="318" spans="1:13" ht="12.75" x14ac:dyDescent="0.2">
      <c r="A318" s="113"/>
      <c r="B318" s="131"/>
      <c r="C318" s="131"/>
      <c r="D318" s="118"/>
      <c r="E318" s="118"/>
      <c r="F318" s="118"/>
      <c r="G318" s="333"/>
      <c r="H318" s="118"/>
      <c r="I318" s="118"/>
      <c r="J318" s="117"/>
      <c r="K318" s="334"/>
      <c r="L318" s="333"/>
      <c r="M318" s="114"/>
    </row>
    <row r="319" spans="1:13" ht="14.25" x14ac:dyDescent="0.2">
      <c r="A319" s="313"/>
      <c r="B319" s="776" t="s">
        <v>836</v>
      </c>
      <c r="C319" s="776"/>
      <c r="D319" s="339">
        <v>2</v>
      </c>
      <c r="E319" s="339">
        <v>19</v>
      </c>
      <c r="F319" s="339"/>
      <c r="G319" s="339"/>
      <c r="H319" s="339"/>
      <c r="I319" s="339"/>
      <c r="J319" s="339"/>
      <c r="K319" s="339">
        <f>E319</f>
        <v>19</v>
      </c>
      <c r="L319" s="339">
        <f>K319*D319</f>
        <v>38</v>
      </c>
      <c r="M319" s="305"/>
    </row>
    <row r="320" spans="1:13" ht="14.25" x14ac:dyDescent="0.2">
      <c r="A320" s="127"/>
      <c r="B320" s="776" t="s">
        <v>852</v>
      </c>
      <c r="C320" s="776"/>
      <c r="D320" s="340">
        <v>2</v>
      </c>
      <c r="E320" s="340">
        <v>5</v>
      </c>
      <c r="F320" s="341"/>
      <c r="G320" s="341"/>
      <c r="H320" s="341"/>
      <c r="I320" s="341"/>
      <c r="J320" s="341"/>
      <c r="K320" s="339">
        <f>E320</f>
        <v>5</v>
      </c>
      <c r="L320" s="339">
        <f>K320*D320</f>
        <v>10</v>
      </c>
      <c r="M320" s="305"/>
    </row>
    <row r="321" spans="1:13" ht="12.75" x14ac:dyDescent="0.2">
      <c r="A321" s="127"/>
      <c r="B321" s="775" t="s">
        <v>854</v>
      </c>
      <c r="C321" s="775"/>
      <c r="D321" s="308">
        <v>2</v>
      </c>
      <c r="E321" s="308">
        <v>18.899999999999999</v>
      </c>
      <c r="F321" s="308"/>
      <c r="G321" s="308"/>
      <c r="H321" s="309"/>
      <c r="I321" s="309"/>
      <c r="J321" s="309"/>
      <c r="K321" s="308">
        <f t="shared" ref="K321:K322" si="49">E321</f>
        <v>18.899999999999999</v>
      </c>
      <c r="L321" s="308">
        <f t="shared" ref="L321:L322" si="50">K321*D321</f>
        <v>37.799999999999997</v>
      </c>
      <c r="M321" s="114"/>
    </row>
    <row r="322" spans="1:13" ht="12.75" x14ac:dyDescent="0.2">
      <c r="A322" s="127"/>
      <c r="B322" s="775" t="s">
        <v>839</v>
      </c>
      <c r="C322" s="775"/>
      <c r="D322" s="308">
        <v>1</v>
      </c>
      <c r="E322" s="308">
        <v>10.199999999999999</v>
      </c>
      <c r="F322" s="308"/>
      <c r="G322" s="308"/>
      <c r="H322" s="309"/>
      <c r="I322" s="309"/>
      <c r="J322" s="309"/>
      <c r="K322" s="308">
        <f t="shared" si="49"/>
        <v>10.199999999999999</v>
      </c>
      <c r="L322" s="308">
        <f t="shared" si="50"/>
        <v>10.199999999999999</v>
      </c>
      <c r="M322" s="114"/>
    </row>
    <row r="323" spans="1:13" ht="12.75" x14ac:dyDescent="0.2">
      <c r="A323" s="127"/>
      <c r="B323" s="775" t="s">
        <v>356</v>
      </c>
      <c r="C323" s="775"/>
      <c r="D323" s="308">
        <v>1</v>
      </c>
      <c r="E323" s="308">
        <v>27.5</v>
      </c>
      <c r="F323" s="308"/>
      <c r="G323" s="308"/>
      <c r="H323" s="309"/>
      <c r="I323" s="309"/>
      <c r="J323" s="309"/>
      <c r="K323" s="308">
        <f>E323</f>
        <v>27.5</v>
      </c>
      <c r="L323" s="308">
        <f>K323*D323</f>
        <v>27.5</v>
      </c>
      <c r="M323" s="114"/>
    </row>
    <row r="324" spans="1:13" ht="12.75" x14ac:dyDescent="0.2">
      <c r="A324" s="113"/>
      <c r="B324" s="775" t="s">
        <v>853</v>
      </c>
      <c r="C324" s="775"/>
      <c r="D324" s="308">
        <v>2</v>
      </c>
      <c r="E324" s="308">
        <v>3.5</v>
      </c>
      <c r="F324" s="308"/>
      <c r="G324" s="308"/>
      <c r="H324" s="309"/>
      <c r="I324" s="309"/>
      <c r="J324" s="309"/>
      <c r="K324" s="308">
        <f>E324</f>
        <v>3.5</v>
      </c>
      <c r="L324" s="308">
        <f>K324*D324</f>
        <v>7</v>
      </c>
      <c r="M324" s="114"/>
    </row>
    <row r="325" spans="1:13" ht="12.75" x14ac:dyDescent="0.2">
      <c r="A325" s="113"/>
      <c r="B325" s="775" t="s">
        <v>855</v>
      </c>
      <c r="C325" s="775"/>
      <c r="D325" s="310">
        <v>1</v>
      </c>
      <c r="E325" s="310">
        <v>26</v>
      </c>
      <c r="F325" s="343"/>
      <c r="G325" s="343"/>
      <c r="H325" s="343"/>
      <c r="I325" s="343"/>
      <c r="J325" s="343"/>
      <c r="K325" s="308">
        <f>E325</f>
        <v>26</v>
      </c>
      <c r="L325" s="308">
        <f>K325*D325</f>
        <v>26</v>
      </c>
      <c r="M325" s="114"/>
    </row>
    <row r="326" spans="1:13" ht="12.75" x14ac:dyDescent="0.2">
      <c r="A326" s="113"/>
      <c r="B326" s="775" t="s">
        <v>856</v>
      </c>
      <c r="C326" s="775"/>
      <c r="D326" s="310">
        <v>1</v>
      </c>
      <c r="E326" s="310">
        <v>15</v>
      </c>
      <c r="F326" s="343"/>
      <c r="G326" s="343"/>
      <c r="H326" s="343"/>
      <c r="I326" s="343"/>
      <c r="J326" s="343"/>
      <c r="K326" s="308">
        <f>E326</f>
        <v>15</v>
      </c>
      <c r="L326" s="308">
        <f>K326*D326</f>
        <v>15</v>
      </c>
      <c r="M326" s="114"/>
    </row>
    <row r="327" spans="1:13" ht="14.25" x14ac:dyDescent="0.2">
      <c r="A327" s="113"/>
      <c r="B327" s="342"/>
      <c r="C327" s="342"/>
      <c r="D327" s="331"/>
      <c r="E327" s="331"/>
      <c r="F327" s="331"/>
      <c r="G327" s="331"/>
      <c r="H327" s="332"/>
      <c r="I327" s="332"/>
      <c r="J327" s="332"/>
      <c r="K327" s="331"/>
      <c r="L327" s="331"/>
      <c r="M327" s="114"/>
    </row>
    <row r="328" spans="1:13" s="108" customFormat="1" ht="12.75" x14ac:dyDescent="0.2">
      <c r="A328" s="365" t="s">
        <v>859</v>
      </c>
      <c r="B328" s="786" t="s">
        <v>861</v>
      </c>
      <c r="C328" s="787"/>
      <c r="D328" s="787"/>
      <c r="E328" s="787"/>
      <c r="F328" s="787"/>
      <c r="G328" s="787"/>
      <c r="H328" s="787"/>
      <c r="I328" s="787"/>
      <c r="J328" s="787"/>
      <c r="K328" s="788"/>
      <c r="L328" s="346">
        <f>SUM(L329:L343)</f>
        <v>217.40140000000002</v>
      </c>
      <c r="M328" s="367" t="s">
        <v>400</v>
      </c>
    </row>
    <row r="329" spans="1:13" ht="12.75" x14ac:dyDescent="0.2">
      <c r="A329" s="364"/>
      <c r="B329" s="370" t="s">
        <v>872</v>
      </c>
      <c r="C329" s="366"/>
      <c r="D329" s="364">
        <v>1</v>
      </c>
      <c r="E329" s="344">
        <v>11.7</v>
      </c>
      <c r="F329" s="364"/>
      <c r="G329" s="344">
        <v>1.6</v>
      </c>
      <c r="H329" s="364"/>
      <c r="I329" s="364"/>
      <c r="J329" s="369"/>
      <c r="K329" s="369">
        <f>G329*E329</f>
        <v>18.72</v>
      </c>
      <c r="L329" s="364">
        <f>K329*D329</f>
        <v>18.72</v>
      </c>
      <c r="M329" s="364"/>
    </row>
    <row r="330" spans="1:13" ht="12.75" customHeight="1" x14ac:dyDescent="0.2">
      <c r="A330" s="364"/>
      <c r="B330" s="370" t="s">
        <v>873</v>
      </c>
      <c r="C330" s="366"/>
      <c r="D330" s="364">
        <v>1</v>
      </c>
      <c r="E330" s="344">
        <v>3.12</v>
      </c>
      <c r="F330" s="364"/>
      <c r="G330" s="344">
        <v>1.2</v>
      </c>
      <c r="H330" s="364"/>
      <c r="I330" s="364"/>
      <c r="J330" s="369"/>
      <c r="K330" s="369">
        <f t="shared" ref="K330:K343" si="51">G330*E330</f>
        <v>3.7439999999999998</v>
      </c>
      <c r="L330" s="364">
        <f t="shared" ref="L330:L343" si="52">K330*D330</f>
        <v>3.7439999999999998</v>
      </c>
      <c r="M330" s="364"/>
    </row>
    <row r="331" spans="1:13" ht="12.75" x14ac:dyDescent="0.2">
      <c r="A331" s="364"/>
      <c r="B331" s="370" t="s">
        <v>873</v>
      </c>
      <c r="C331" s="366"/>
      <c r="D331" s="364">
        <v>1</v>
      </c>
      <c r="E331" s="344">
        <v>3.12</v>
      </c>
      <c r="F331" s="364"/>
      <c r="G331" s="344">
        <v>1.2</v>
      </c>
      <c r="H331" s="364"/>
      <c r="I331" s="364"/>
      <c r="J331" s="369"/>
      <c r="K331" s="369">
        <f t="shared" si="51"/>
        <v>3.7439999999999998</v>
      </c>
      <c r="L331" s="364">
        <f t="shared" si="52"/>
        <v>3.7439999999999998</v>
      </c>
      <c r="M331" s="364"/>
    </row>
    <row r="332" spans="1:13" ht="12.75" x14ac:dyDescent="0.2">
      <c r="A332" s="364"/>
      <c r="B332" s="370" t="s">
        <v>874</v>
      </c>
      <c r="C332" s="366"/>
      <c r="D332" s="364">
        <v>1</v>
      </c>
      <c r="E332" s="344">
        <v>18.7</v>
      </c>
      <c r="F332" s="364"/>
      <c r="G332" s="344">
        <v>3.3</v>
      </c>
      <c r="H332" s="364"/>
      <c r="I332" s="364"/>
      <c r="J332" s="369"/>
      <c r="K332" s="369">
        <f t="shared" si="51"/>
        <v>61.709999999999994</v>
      </c>
      <c r="L332" s="364">
        <f t="shared" si="52"/>
        <v>61.709999999999994</v>
      </c>
      <c r="M332" s="364"/>
    </row>
    <row r="333" spans="1:13" ht="12.75" customHeight="1" x14ac:dyDescent="0.2">
      <c r="A333" s="364"/>
      <c r="B333" s="370" t="s">
        <v>875</v>
      </c>
      <c r="C333" s="371"/>
      <c r="D333" s="364">
        <v>1</v>
      </c>
      <c r="E333" s="344">
        <v>4.37</v>
      </c>
      <c r="F333" s="364"/>
      <c r="G333" s="344">
        <v>1.7</v>
      </c>
      <c r="H333" s="364"/>
      <c r="I333" s="364"/>
      <c r="J333" s="369"/>
      <c r="K333" s="369">
        <f t="shared" si="51"/>
        <v>7.4290000000000003</v>
      </c>
      <c r="L333" s="364">
        <f t="shared" si="52"/>
        <v>7.4290000000000003</v>
      </c>
      <c r="M333" s="364"/>
    </row>
    <row r="334" spans="1:13" ht="12.75" customHeight="1" x14ac:dyDescent="0.2">
      <c r="A334" s="370"/>
      <c r="B334" s="370" t="s">
        <v>875</v>
      </c>
      <c r="C334" s="370"/>
      <c r="D334" s="364">
        <v>1</v>
      </c>
      <c r="E334" s="344">
        <v>4.37</v>
      </c>
      <c r="F334" s="370"/>
      <c r="G334" s="344">
        <v>1.7</v>
      </c>
      <c r="H334" s="370"/>
      <c r="I334" s="370"/>
      <c r="J334" s="370"/>
      <c r="K334" s="369">
        <f t="shared" si="51"/>
        <v>7.4290000000000003</v>
      </c>
      <c r="L334" s="364">
        <f t="shared" si="52"/>
        <v>7.4290000000000003</v>
      </c>
      <c r="M334" s="370"/>
    </row>
    <row r="335" spans="1:13" ht="12.75" customHeight="1" x14ac:dyDescent="0.2">
      <c r="A335" s="370"/>
      <c r="B335" s="370" t="s">
        <v>876</v>
      </c>
      <c r="C335" s="370"/>
      <c r="D335" s="364">
        <v>1</v>
      </c>
      <c r="E335" s="344">
        <v>10.45</v>
      </c>
      <c r="F335" s="370"/>
      <c r="G335" s="344">
        <v>2.1</v>
      </c>
      <c r="H335" s="370"/>
      <c r="I335" s="370"/>
      <c r="J335" s="370"/>
      <c r="K335" s="369">
        <f t="shared" si="51"/>
        <v>21.945</v>
      </c>
      <c r="L335" s="364">
        <f t="shared" si="52"/>
        <v>21.945</v>
      </c>
      <c r="M335" s="370"/>
    </row>
    <row r="336" spans="1:13" ht="12.75" customHeight="1" x14ac:dyDescent="0.2">
      <c r="A336" s="370"/>
      <c r="B336" s="370" t="s">
        <v>876</v>
      </c>
      <c r="C336" s="370"/>
      <c r="D336" s="364">
        <v>1</v>
      </c>
      <c r="E336" s="344">
        <v>1.53</v>
      </c>
      <c r="F336" s="370"/>
      <c r="G336" s="344">
        <v>0.95</v>
      </c>
      <c r="H336" s="370"/>
      <c r="I336" s="370"/>
      <c r="J336" s="370"/>
      <c r="K336" s="369">
        <f t="shared" si="51"/>
        <v>1.4535</v>
      </c>
      <c r="L336" s="364">
        <f t="shared" si="52"/>
        <v>1.4535</v>
      </c>
      <c r="M336" s="370"/>
    </row>
    <row r="337" spans="1:13" ht="12.75" customHeight="1" x14ac:dyDescent="0.2">
      <c r="A337" s="370"/>
      <c r="B337" s="370" t="s">
        <v>877</v>
      </c>
      <c r="C337" s="370"/>
      <c r="D337" s="364">
        <v>1</v>
      </c>
      <c r="E337" s="344">
        <v>1.21</v>
      </c>
      <c r="F337" s="370"/>
      <c r="G337" s="344">
        <v>1.28</v>
      </c>
      <c r="H337" s="370"/>
      <c r="I337" s="370"/>
      <c r="J337" s="370"/>
      <c r="K337" s="369">
        <f t="shared" si="51"/>
        <v>1.5488</v>
      </c>
      <c r="L337" s="364">
        <f t="shared" si="52"/>
        <v>1.5488</v>
      </c>
      <c r="M337" s="370"/>
    </row>
    <row r="338" spans="1:13" ht="12.75" customHeight="1" x14ac:dyDescent="0.2">
      <c r="A338" s="370"/>
      <c r="B338" s="370" t="s">
        <v>878</v>
      </c>
      <c r="C338" s="370"/>
      <c r="D338" s="364">
        <v>1</v>
      </c>
      <c r="E338" s="344">
        <v>6.18</v>
      </c>
      <c r="F338" s="370"/>
      <c r="G338" s="344">
        <v>4.95</v>
      </c>
      <c r="H338" s="370"/>
      <c r="I338" s="370"/>
      <c r="J338" s="370"/>
      <c r="K338" s="369">
        <f t="shared" si="51"/>
        <v>30.591000000000001</v>
      </c>
      <c r="L338" s="364">
        <f t="shared" si="52"/>
        <v>30.591000000000001</v>
      </c>
      <c r="M338" s="370"/>
    </row>
    <row r="339" spans="1:13" ht="12.75" customHeight="1" x14ac:dyDescent="0.2">
      <c r="A339" s="370"/>
      <c r="B339" s="370" t="s">
        <v>878</v>
      </c>
      <c r="C339" s="370"/>
      <c r="D339" s="364">
        <v>1</v>
      </c>
      <c r="E339" s="344">
        <v>3</v>
      </c>
      <c r="F339" s="370"/>
      <c r="G339" s="344">
        <v>0.86</v>
      </c>
      <c r="H339" s="370"/>
      <c r="I339" s="370"/>
      <c r="J339" s="370"/>
      <c r="K339" s="369">
        <f t="shared" si="51"/>
        <v>2.58</v>
      </c>
      <c r="L339" s="364">
        <f t="shared" si="52"/>
        <v>2.58</v>
      </c>
      <c r="M339" s="370"/>
    </row>
    <row r="340" spans="1:13" ht="12.75" customHeight="1" x14ac:dyDescent="0.2">
      <c r="A340" s="370"/>
      <c r="B340" s="370" t="s">
        <v>821</v>
      </c>
      <c r="C340" s="370"/>
      <c r="D340" s="364">
        <v>1</v>
      </c>
      <c r="E340" s="344">
        <v>1.83</v>
      </c>
      <c r="F340" s="370"/>
      <c r="G340" s="344">
        <v>2.37</v>
      </c>
      <c r="H340" s="370"/>
      <c r="I340" s="370"/>
      <c r="J340" s="370"/>
      <c r="K340" s="369">
        <f t="shared" si="51"/>
        <v>4.3371000000000004</v>
      </c>
      <c r="L340" s="364">
        <f t="shared" si="52"/>
        <v>4.3371000000000004</v>
      </c>
      <c r="M340" s="370"/>
    </row>
    <row r="341" spans="1:13" ht="12.75" customHeight="1" x14ac:dyDescent="0.2">
      <c r="A341" s="370"/>
      <c r="B341" s="370" t="s">
        <v>879</v>
      </c>
      <c r="C341" s="370"/>
      <c r="D341" s="364">
        <v>1</v>
      </c>
      <c r="E341" s="344">
        <v>1.42</v>
      </c>
      <c r="F341" s="370"/>
      <c r="G341" s="344">
        <v>1.75</v>
      </c>
      <c r="H341" s="370"/>
      <c r="I341" s="370"/>
      <c r="J341" s="370"/>
      <c r="K341" s="369">
        <f t="shared" si="51"/>
        <v>2.4849999999999999</v>
      </c>
      <c r="L341" s="364">
        <f t="shared" si="52"/>
        <v>2.4849999999999999</v>
      </c>
      <c r="M341" s="370"/>
    </row>
    <row r="342" spans="1:13" ht="12.75" customHeight="1" x14ac:dyDescent="0.2">
      <c r="A342" s="370"/>
      <c r="B342" s="370" t="s">
        <v>879</v>
      </c>
      <c r="C342" s="370"/>
      <c r="D342" s="364">
        <v>1</v>
      </c>
      <c r="E342" s="344">
        <v>1.42</v>
      </c>
      <c r="F342" s="370"/>
      <c r="G342" s="344">
        <v>1.75</v>
      </c>
      <c r="H342" s="370"/>
      <c r="I342" s="370"/>
      <c r="J342" s="370"/>
      <c r="K342" s="369">
        <f t="shared" si="51"/>
        <v>2.4849999999999999</v>
      </c>
      <c r="L342" s="364">
        <f t="shared" si="52"/>
        <v>2.4849999999999999</v>
      </c>
      <c r="M342" s="370"/>
    </row>
    <row r="343" spans="1:13" ht="12.75" customHeight="1" x14ac:dyDescent="0.2">
      <c r="A343" s="370"/>
      <c r="B343" s="370" t="s">
        <v>880</v>
      </c>
      <c r="C343" s="370"/>
      <c r="D343" s="364">
        <v>1</v>
      </c>
      <c r="E343" s="344">
        <v>5.9</v>
      </c>
      <c r="F343" s="370"/>
      <c r="G343" s="344">
        <v>8</v>
      </c>
      <c r="H343" s="370"/>
      <c r="I343" s="370"/>
      <c r="J343" s="370"/>
      <c r="K343" s="369">
        <f t="shared" si="51"/>
        <v>47.2</v>
      </c>
      <c r="L343" s="364">
        <f t="shared" si="52"/>
        <v>47.2</v>
      </c>
      <c r="M343" s="370"/>
    </row>
    <row r="344" spans="1:13" ht="12.75" customHeight="1" x14ac:dyDescent="0.2">
      <c r="A344" s="113"/>
      <c r="B344" s="131"/>
      <c r="C344" s="134"/>
      <c r="D344" s="368"/>
      <c r="E344" s="368"/>
      <c r="F344" s="368"/>
      <c r="G344" s="368"/>
      <c r="H344" s="118"/>
      <c r="I344" s="117"/>
      <c r="J344" s="117"/>
      <c r="K344" s="117"/>
      <c r="L344" s="118"/>
      <c r="M344" s="114"/>
    </row>
    <row r="345" spans="1:13" ht="12.75" customHeight="1" thickBot="1" x14ac:dyDescent="0.25">
      <c r="A345" s="113"/>
      <c r="B345" s="131"/>
      <c r="C345" s="132"/>
      <c r="D345" s="133"/>
      <c r="E345" s="133"/>
      <c r="F345" s="133"/>
      <c r="G345" s="133"/>
      <c r="H345" s="118"/>
      <c r="I345" s="117"/>
      <c r="J345" s="117"/>
      <c r="K345" s="117"/>
      <c r="L345" s="118"/>
      <c r="M345" s="114"/>
    </row>
    <row r="346" spans="1:13" ht="12.75" customHeight="1" thickBot="1" x14ac:dyDescent="0.25">
      <c r="A346" s="266" t="s">
        <v>882</v>
      </c>
      <c r="B346" s="267" t="str">
        <f>REPROGRAMAÇÃO!B77</f>
        <v>PAVIMENTAÇÃO</v>
      </c>
      <c r="C346" s="267"/>
      <c r="D346" s="267"/>
      <c r="E346" s="267"/>
      <c r="F346" s="267"/>
      <c r="G346" s="267"/>
      <c r="H346" s="267"/>
      <c r="I346" s="267"/>
      <c r="J346" s="267"/>
      <c r="K346" s="267"/>
      <c r="L346" s="267"/>
      <c r="M346" s="268"/>
    </row>
    <row r="347" spans="1:13" ht="12.75" customHeight="1" thickBot="1" x14ac:dyDescent="0.25">
      <c r="A347" s="266" t="s">
        <v>102</v>
      </c>
      <c r="B347" s="267" t="str">
        <f>REPROGRAMAÇÃO!B78</f>
        <v>ÁREA EXTERNA</v>
      </c>
      <c r="C347" s="267"/>
      <c r="D347" s="267"/>
      <c r="E347" s="267"/>
      <c r="F347" s="267"/>
      <c r="G347" s="267"/>
      <c r="H347" s="267"/>
      <c r="I347" s="267"/>
      <c r="J347" s="267"/>
      <c r="K347" s="267"/>
      <c r="L347" s="267"/>
      <c r="M347" s="268"/>
    </row>
    <row r="348" spans="1:13" ht="28.5" customHeight="1" x14ac:dyDescent="0.2">
      <c r="A348" s="272" t="s">
        <v>488</v>
      </c>
      <c r="B348" s="782" t="str">
        <f>REPROGRAMAÇÃO!B79</f>
        <v>EXECUÇÃO DE PÁTIO/ESTACIONAMENTO EM PISO INTERTRAVADO, COM BLOCO RETANGULAR COLORIDO DE 20 X 10 CM, ESPESSURA 6 CM. AF_12/2015</v>
      </c>
      <c r="C348" s="783"/>
      <c r="D348" s="783"/>
      <c r="E348" s="783"/>
      <c r="F348" s="783"/>
      <c r="G348" s="783"/>
      <c r="H348" s="783"/>
      <c r="I348" s="783"/>
      <c r="J348" s="783"/>
      <c r="K348" s="784"/>
      <c r="L348" s="273">
        <f>SUM(L353:L355)</f>
        <v>21.024999999999999</v>
      </c>
      <c r="M348" s="274" t="s">
        <v>400</v>
      </c>
    </row>
    <row r="349" spans="1:13" ht="12.75" customHeight="1" x14ac:dyDescent="0.2">
      <c r="A349" s="239"/>
      <c r="B349" s="762" t="s">
        <v>133</v>
      </c>
      <c r="C349" s="763"/>
      <c r="D349" s="249"/>
      <c r="E349" s="249"/>
      <c r="F349" s="249"/>
      <c r="G349" s="249"/>
      <c r="H349" s="249"/>
      <c r="I349" s="249"/>
      <c r="J349" s="250"/>
      <c r="K349" s="250"/>
      <c r="L349" s="250">
        <f>REPROGRAMAÇÃO!F79</f>
        <v>56.12</v>
      </c>
      <c r="M349" s="250"/>
    </row>
    <row r="350" spans="1:13" ht="12.75" customHeight="1" x14ac:dyDescent="0.2">
      <c r="A350" s="239"/>
      <c r="B350" s="764" t="s">
        <v>812</v>
      </c>
      <c r="C350" s="765"/>
      <c r="D350" s="251"/>
      <c r="E350" s="251"/>
      <c r="F350" s="251"/>
      <c r="G350" s="251"/>
      <c r="H350" s="251"/>
      <c r="I350" s="251"/>
      <c r="J350" s="252"/>
      <c r="K350" s="252"/>
      <c r="L350" s="251">
        <f>SUM(L353:L357)</f>
        <v>62.705399999999997</v>
      </c>
      <c r="M350" s="252"/>
    </row>
    <row r="351" spans="1:13" ht="12.75" customHeight="1" x14ac:dyDescent="0.2">
      <c r="A351" s="239"/>
      <c r="B351" s="253" t="s">
        <v>813</v>
      </c>
      <c r="C351" s="254"/>
      <c r="D351" s="255"/>
      <c r="E351" s="255"/>
      <c r="F351" s="255"/>
      <c r="G351" s="255"/>
      <c r="H351" s="255"/>
      <c r="I351" s="255"/>
      <c r="J351" s="256"/>
      <c r="K351" s="256"/>
      <c r="L351" s="251">
        <f>L350-L349</f>
        <v>6.5853999999999999</v>
      </c>
      <c r="M351" s="252"/>
    </row>
    <row r="352" spans="1:13" ht="12.75" customHeight="1" x14ac:dyDescent="0.2">
      <c r="A352" s="239"/>
      <c r="B352" s="311"/>
      <c r="C352" s="311"/>
      <c r="D352" s="237"/>
      <c r="E352" s="237"/>
      <c r="F352" s="237"/>
      <c r="G352" s="237"/>
      <c r="H352" s="237"/>
      <c r="I352" s="237"/>
      <c r="J352" s="248"/>
      <c r="K352" s="248"/>
      <c r="L352" s="237"/>
      <c r="M352" s="237"/>
    </row>
    <row r="353" spans="1:13" ht="12.75" customHeight="1" x14ac:dyDescent="0.2">
      <c r="A353" s="239"/>
      <c r="B353" s="777" t="s">
        <v>883</v>
      </c>
      <c r="C353" s="777"/>
      <c r="D353" s="392">
        <v>1</v>
      </c>
      <c r="E353" s="388">
        <v>5.22</v>
      </c>
      <c r="F353" s="391"/>
      <c r="G353" s="388">
        <v>2.6</v>
      </c>
      <c r="H353" s="391"/>
      <c r="I353" s="391"/>
      <c r="J353" s="391"/>
      <c r="K353" s="387">
        <v>13.571999999999999</v>
      </c>
      <c r="L353" s="387">
        <v>13.571999999999999</v>
      </c>
      <c r="M353" s="389"/>
    </row>
    <row r="354" spans="1:13" ht="12.75" customHeight="1" x14ac:dyDescent="0.2">
      <c r="A354" s="113"/>
      <c r="B354" s="390"/>
      <c r="C354" s="390"/>
      <c r="D354" s="392">
        <v>1</v>
      </c>
      <c r="E354" s="388">
        <v>2.9</v>
      </c>
      <c r="F354" s="391"/>
      <c r="G354" s="388">
        <v>1.4</v>
      </c>
      <c r="H354" s="391"/>
      <c r="I354" s="391"/>
      <c r="J354" s="391"/>
      <c r="K354" s="387">
        <v>4.0599999999999996</v>
      </c>
      <c r="L354" s="387">
        <v>4.0599999999999996</v>
      </c>
      <c r="M354" s="389"/>
    </row>
    <row r="355" spans="1:13" ht="12.75" customHeight="1" x14ac:dyDescent="0.2">
      <c r="A355" s="113"/>
      <c r="B355" s="390"/>
      <c r="C355" s="390"/>
      <c r="D355" s="392">
        <v>1</v>
      </c>
      <c r="E355" s="388">
        <v>2.9</v>
      </c>
      <c r="F355" s="391"/>
      <c r="G355" s="388">
        <v>1.17</v>
      </c>
      <c r="H355" s="391"/>
      <c r="I355" s="391"/>
      <c r="J355" s="391"/>
      <c r="K355" s="387">
        <v>3.3929999999999998</v>
      </c>
      <c r="L355" s="387">
        <v>3.3929999999999998</v>
      </c>
      <c r="M355" s="389"/>
    </row>
    <row r="356" spans="1:13" ht="12.75" customHeight="1" x14ac:dyDescent="0.2">
      <c r="A356" s="113"/>
      <c r="B356" s="390"/>
      <c r="C356" s="390"/>
      <c r="D356" s="392">
        <v>1</v>
      </c>
      <c r="E356" s="388">
        <v>4.0999999999999996</v>
      </c>
      <c r="F356" s="391"/>
      <c r="G356" s="388">
        <v>9</v>
      </c>
      <c r="H356" s="391"/>
      <c r="I356" s="391"/>
      <c r="J356" s="391"/>
      <c r="K356" s="387">
        <v>36.9</v>
      </c>
      <c r="L356" s="387">
        <v>36.9</v>
      </c>
      <c r="M356" s="389"/>
    </row>
    <row r="357" spans="1:13" ht="12.75" customHeight="1" x14ac:dyDescent="0.2">
      <c r="A357" s="113"/>
      <c r="B357" s="390"/>
      <c r="C357" s="390"/>
      <c r="D357" s="392">
        <v>1</v>
      </c>
      <c r="E357" s="388">
        <v>3.23</v>
      </c>
      <c r="F357" s="391"/>
      <c r="G357" s="388">
        <v>1.48</v>
      </c>
      <c r="H357" s="391"/>
      <c r="I357" s="391"/>
      <c r="J357" s="391"/>
      <c r="K357" s="387">
        <v>4.7804000000000002</v>
      </c>
      <c r="L357" s="387">
        <v>4.7804000000000002</v>
      </c>
      <c r="M357" s="389"/>
    </row>
    <row r="358" spans="1:13" ht="12.75" customHeight="1" x14ac:dyDescent="0.2">
      <c r="A358" s="113"/>
      <c r="B358" s="131"/>
      <c r="C358" s="132"/>
      <c r="D358" s="133"/>
      <c r="E358" s="133"/>
      <c r="F358" s="133"/>
      <c r="G358" s="133"/>
      <c r="H358" s="118"/>
      <c r="I358" s="118"/>
      <c r="J358" s="117"/>
      <c r="K358" s="117"/>
      <c r="L358" s="118"/>
      <c r="M358" s="114"/>
    </row>
    <row r="359" spans="1:13" ht="24.75" customHeight="1" x14ac:dyDescent="0.2">
      <c r="A359" s="272" t="s">
        <v>490</v>
      </c>
      <c r="B359" s="782" t="str">
        <f>REPROGRAMAÇÃO!B80</f>
        <v>EXECUÇÃO DE PÁTIO/ESTACIONAMENTO EM PISO INTERTRAVADO, COM BLOCO RETANGULAR COR NATURAL DE 20 X 10 CM, ESPESSURA 6 CM. AF_12/2015</v>
      </c>
      <c r="C359" s="783"/>
      <c r="D359" s="783"/>
      <c r="E359" s="783"/>
      <c r="F359" s="783"/>
      <c r="G359" s="783"/>
      <c r="H359" s="783"/>
      <c r="I359" s="783"/>
      <c r="J359" s="783"/>
      <c r="K359" s="784"/>
      <c r="L359" s="273">
        <f>SUM(L364:L366)</f>
        <v>63.055000000000007</v>
      </c>
      <c r="M359" s="274" t="s">
        <v>400</v>
      </c>
    </row>
    <row r="360" spans="1:13" ht="12.75" customHeight="1" x14ac:dyDescent="0.2">
      <c r="A360" s="239"/>
      <c r="B360" s="762" t="s">
        <v>133</v>
      </c>
      <c r="C360" s="763"/>
      <c r="D360" s="249"/>
      <c r="E360" s="249"/>
      <c r="F360" s="249"/>
      <c r="G360" s="249"/>
      <c r="H360" s="249"/>
      <c r="I360" s="249"/>
      <c r="J360" s="250"/>
      <c r="K360" s="250"/>
      <c r="L360" s="250">
        <f>REPROGRAMAÇÃO!F80</f>
        <v>60.640000000001002</v>
      </c>
      <c r="M360" s="250"/>
    </row>
    <row r="361" spans="1:13" ht="12.75" customHeight="1" x14ac:dyDescent="0.2">
      <c r="A361" s="239"/>
      <c r="B361" s="764" t="s">
        <v>812</v>
      </c>
      <c r="C361" s="765"/>
      <c r="D361" s="251"/>
      <c r="E361" s="251"/>
      <c r="F361" s="251"/>
      <c r="G361" s="251"/>
      <c r="H361" s="251"/>
      <c r="I361" s="251"/>
      <c r="J361" s="252"/>
      <c r="K361" s="252"/>
      <c r="L361" s="251">
        <f>SUM(L364:L366)</f>
        <v>63.055000000000007</v>
      </c>
      <c r="M361" s="252"/>
    </row>
    <row r="362" spans="1:13" ht="12.75" customHeight="1" x14ac:dyDescent="0.2">
      <c r="A362" s="239"/>
      <c r="B362" s="253" t="s">
        <v>813</v>
      </c>
      <c r="C362" s="254"/>
      <c r="D362" s="255"/>
      <c r="E362" s="255"/>
      <c r="F362" s="255"/>
      <c r="G362" s="255"/>
      <c r="H362" s="255"/>
      <c r="I362" s="255"/>
      <c r="J362" s="256"/>
      <c r="K362" s="256"/>
      <c r="L362" s="251">
        <f>L361-L360</f>
        <v>2.4149999999990044</v>
      </c>
      <c r="M362" s="252"/>
    </row>
    <row r="363" spans="1:13" ht="12.75" customHeight="1" x14ac:dyDescent="0.2">
      <c r="A363" s="239"/>
      <c r="B363" s="311"/>
      <c r="C363" s="311"/>
      <c r="D363" s="237"/>
      <c r="E363" s="237"/>
      <c r="F363" s="237"/>
      <c r="G363" s="237"/>
      <c r="H363" s="237"/>
      <c r="I363" s="237"/>
      <c r="J363" s="248"/>
      <c r="K363" s="248"/>
      <c r="L363" s="237"/>
      <c r="M363" s="237"/>
    </row>
    <row r="364" spans="1:13" ht="12.75" customHeight="1" x14ac:dyDescent="0.2">
      <c r="A364" s="239"/>
      <c r="B364" s="777" t="s">
        <v>883</v>
      </c>
      <c r="C364" s="777"/>
      <c r="D364" s="402">
        <v>1</v>
      </c>
      <c r="E364" s="398">
        <v>31.7</v>
      </c>
      <c r="F364" s="399"/>
      <c r="G364" s="399">
        <v>1.7</v>
      </c>
      <c r="H364" s="401"/>
      <c r="I364" s="401"/>
      <c r="J364" s="401"/>
      <c r="K364" s="397">
        <v>53.89</v>
      </c>
      <c r="L364" s="397">
        <v>53.89</v>
      </c>
      <c r="M364" s="389"/>
    </row>
    <row r="365" spans="1:13" s="108" customFormat="1" ht="12.75" customHeight="1" x14ac:dyDescent="0.2">
      <c r="A365" s="113"/>
      <c r="B365" s="400"/>
      <c r="C365" s="400"/>
      <c r="D365" s="402">
        <v>1</v>
      </c>
      <c r="E365" s="398">
        <v>3.1</v>
      </c>
      <c r="F365" s="399"/>
      <c r="G365" s="399">
        <v>1.65</v>
      </c>
      <c r="H365" s="401"/>
      <c r="I365" s="401"/>
      <c r="J365" s="401"/>
      <c r="K365" s="397">
        <v>5.1150000000000002</v>
      </c>
      <c r="L365" s="397">
        <v>5.1150000000000002</v>
      </c>
      <c r="M365" s="389"/>
    </row>
    <row r="366" spans="1:13" ht="12.75" x14ac:dyDescent="0.2">
      <c r="A366" s="113"/>
      <c r="B366" s="400"/>
      <c r="C366" s="400"/>
      <c r="D366" s="402">
        <v>1</v>
      </c>
      <c r="E366" s="398">
        <v>2.7</v>
      </c>
      <c r="F366" s="399"/>
      <c r="G366" s="399">
        <v>1.5</v>
      </c>
      <c r="H366" s="401"/>
      <c r="I366" s="401"/>
      <c r="J366" s="401"/>
      <c r="K366" s="397">
        <v>4.0500000000000007</v>
      </c>
      <c r="L366" s="397">
        <v>4.0500000000000007</v>
      </c>
      <c r="M366" s="389"/>
    </row>
    <row r="367" spans="1:13" ht="12.75" x14ac:dyDescent="0.2">
      <c r="A367" s="118"/>
      <c r="B367" s="854"/>
      <c r="C367" s="854"/>
      <c r="D367" s="118"/>
      <c r="E367" s="118"/>
      <c r="F367" s="118"/>
      <c r="G367" s="118"/>
      <c r="H367" s="118"/>
      <c r="I367" s="118"/>
      <c r="J367" s="117"/>
      <c r="K367" s="117"/>
      <c r="L367" s="118"/>
      <c r="M367" s="118"/>
    </row>
    <row r="368" spans="1:13" ht="28.5" customHeight="1" x14ac:dyDescent="0.2">
      <c r="A368" s="405" t="s">
        <v>500</v>
      </c>
      <c r="B368" s="761" t="s">
        <v>501</v>
      </c>
      <c r="C368" s="761"/>
      <c r="D368" s="761"/>
      <c r="E368" s="761"/>
      <c r="F368" s="761"/>
      <c r="G368" s="761"/>
      <c r="H368" s="761"/>
      <c r="I368" s="761"/>
      <c r="J368" s="761"/>
      <c r="K368" s="761"/>
      <c r="L368" s="761"/>
      <c r="M368" s="761"/>
    </row>
    <row r="369" spans="1:13" ht="12.75" x14ac:dyDescent="0.2">
      <c r="A369" s="239"/>
      <c r="B369" s="762" t="s">
        <v>133</v>
      </c>
      <c r="C369" s="763"/>
      <c r="D369" s="249"/>
      <c r="E369" s="249"/>
      <c r="F369" s="249"/>
      <c r="G369" s="249"/>
      <c r="H369" s="249"/>
      <c r="I369" s="249"/>
      <c r="J369" s="250"/>
      <c r="K369" s="250"/>
      <c r="L369" s="250">
        <f>REPROGRAMAÇÃO!F86</f>
        <v>118.530000000001</v>
      </c>
      <c r="M369" s="407"/>
    </row>
    <row r="370" spans="1:13" ht="12.75" x14ac:dyDescent="0.2">
      <c r="A370" s="239"/>
      <c r="B370" s="764" t="s">
        <v>812</v>
      </c>
      <c r="C370" s="765"/>
      <c r="D370" s="251"/>
      <c r="E370" s="251"/>
      <c r="F370" s="251"/>
      <c r="G370" s="251"/>
      <c r="H370" s="251"/>
      <c r="I370" s="251"/>
      <c r="J370" s="252"/>
      <c r="K370" s="252"/>
      <c r="L370" s="251">
        <f>SUM(L373:L383)</f>
        <v>199.29999999999998</v>
      </c>
      <c r="M370" s="407"/>
    </row>
    <row r="371" spans="1:13" ht="12.75" x14ac:dyDescent="0.2">
      <c r="A371" s="239"/>
      <c r="B371" s="253" t="s">
        <v>813</v>
      </c>
      <c r="C371" s="254"/>
      <c r="D371" s="255"/>
      <c r="E371" s="255"/>
      <c r="F371" s="255"/>
      <c r="G371" s="255"/>
      <c r="H371" s="255"/>
      <c r="I371" s="255"/>
      <c r="J371" s="256"/>
      <c r="K371" s="256"/>
      <c r="L371" s="251">
        <f>L370-L369</f>
        <v>80.769999999998987</v>
      </c>
      <c r="M371" s="407"/>
    </row>
    <row r="372" spans="1:13" ht="12.75" x14ac:dyDescent="0.2">
      <c r="A372" s="407"/>
      <c r="B372" s="409"/>
      <c r="C372" s="409"/>
      <c r="D372" s="411"/>
      <c r="E372" s="411"/>
      <c r="F372" s="407"/>
      <c r="G372" s="407"/>
      <c r="H372" s="407"/>
      <c r="I372" s="407"/>
      <c r="J372" s="407"/>
      <c r="K372" s="408"/>
      <c r="L372" s="408"/>
      <c r="M372" s="407"/>
    </row>
    <row r="373" spans="1:13" ht="12.75" x14ac:dyDescent="0.2">
      <c r="A373" s="410"/>
      <c r="B373" s="777" t="s">
        <v>883</v>
      </c>
      <c r="C373" s="777"/>
      <c r="D373" s="411">
        <v>1</v>
      </c>
      <c r="E373" s="406">
        <v>9.4</v>
      </c>
      <c r="F373" s="410"/>
      <c r="G373" s="410"/>
      <c r="H373" s="410"/>
      <c r="I373" s="410"/>
      <c r="J373" s="410"/>
      <c r="K373" s="408">
        <v>9.4</v>
      </c>
      <c r="L373" s="408">
        <v>9.4</v>
      </c>
      <c r="M373" s="407"/>
    </row>
    <row r="374" spans="1:13" ht="12.75" x14ac:dyDescent="0.2">
      <c r="A374" s="410"/>
      <c r="B374" s="777" t="s">
        <v>883</v>
      </c>
      <c r="C374" s="777"/>
      <c r="D374" s="411">
        <v>1</v>
      </c>
      <c r="E374" s="406">
        <v>3.85</v>
      </c>
      <c r="F374" s="410"/>
      <c r="G374" s="410"/>
      <c r="H374" s="410"/>
      <c r="I374" s="410"/>
      <c r="J374" s="410"/>
      <c r="K374" s="408">
        <v>3.85</v>
      </c>
      <c r="L374" s="408">
        <v>3.85</v>
      </c>
      <c r="M374" s="407"/>
    </row>
    <row r="375" spans="1:13" ht="12.75" x14ac:dyDescent="0.2">
      <c r="A375" s="410"/>
      <c r="B375" s="777" t="s">
        <v>883</v>
      </c>
      <c r="C375" s="777"/>
      <c r="D375" s="411">
        <v>1</v>
      </c>
      <c r="E375" s="406">
        <v>25.7</v>
      </c>
      <c r="F375" s="410"/>
      <c r="G375" s="410"/>
      <c r="H375" s="410"/>
      <c r="I375" s="410"/>
      <c r="J375" s="410"/>
      <c r="K375" s="408">
        <v>25.7</v>
      </c>
      <c r="L375" s="408">
        <v>25.7</v>
      </c>
      <c r="M375" s="407"/>
    </row>
    <row r="376" spans="1:13" ht="12.75" x14ac:dyDescent="0.2">
      <c r="A376" s="410"/>
      <c r="B376" s="777" t="s">
        <v>883</v>
      </c>
      <c r="C376" s="777"/>
      <c r="D376" s="411">
        <v>1</v>
      </c>
      <c r="E376" s="406">
        <v>7.4</v>
      </c>
      <c r="F376" s="410"/>
      <c r="G376" s="410"/>
      <c r="H376" s="410"/>
      <c r="I376" s="410"/>
      <c r="J376" s="410"/>
      <c r="K376" s="408">
        <v>7.4</v>
      </c>
      <c r="L376" s="408">
        <v>7.4</v>
      </c>
      <c r="M376" s="407"/>
    </row>
    <row r="377" spans="1:13" ht="12.75" x14ac:dyDescent="0.2">
      <c r="A377" s="410"/>
      <c r="B377" s="777" t="s">
        <v>883</v>
      </c>
      <c r="C377" s="777"/>
      <c r="D377" s="411">
        <v>1</v>
      </c>
      <c r="E377" s="406">
        <v>7.4</v>
      </c>
      <c r="F377" s="410"/>
      <c r="G377" s="410"/>
      <c r="H377" s="410"/>
      <c r="I377" s="410"/>
      <c r="J377" s="410"/>
      <c r="K377" s="408">
        <v>7.4</v>
      </c>
      <c r="L377" s="408">
        <v>7.4</v>
      </c>
      <c r="M377" s="407"/>
    </row>
    <row r="378" spans="1:13" ht="12.75" x14ac:dyDescent="0.2">
      <c r="A378" s="410"/>
      <c r="B378" s="777" t="s">
        <v>883</v>
      </c>
      <c r="C378" s="777"/>
      <c r="D378" s="411">
        <v>1</v>
      </c>
      <c r="E378" s="406">
        <v>48.6</v>
      </c>
      <c r="F378" s="410"/>
      <c r="G378" s="410"/>
      <c r="H378" s="410"/>
      <c r="I378" s="410"/>
      <c r="J378" s="410"/>
      <c r="K378" s="408">
        <v>48.6</v>
      </c>
      <c r="L378" s="408">
        <v>48.6</v>
      </c>
      <c r="M378" s="407"/>
    </row>
    <row r="379" spans="1:13" ht="12.75" x14ac:dyDescent="0.2">
      <c r="A379" s="410"/>
      <c r="B379" s="777" t="s">
        <v>883</v>
      </c>
      <c r="C379" s="777"/>
      <c r="D379" s="411">
        <v>1</v>
      </c>
      <c r="E379" s="406">
        <v>3.85</v>
      </c>
      <c r="F379" s="410"/>
      <c r="G379" s="410"/>
      <c r="H379" s="410"/>
      <c r="I379" s="410"/>
      <c r="J379" s="410"/>
      <c r="K379" s="408">
        <v>3.85</v>
      </c>
      <c r="L379" s="408">
        <v>3.85</v>
      </c>
      <c r="M379" s="407"/>
    </row>
    <row r="380" spans="1:13" ht="12.75" x14ac:dyDescent="0.2">
      <c r="A380" s="410"/>
      <c r="B380" s="777" t="s">
        <v>883</v>
      </c>
      <c r="C380" s="777"/>
      <c r="D380" s="411">
        <v>1</v>
      </c>
      <c r="E380" s="406">
        <v>7.6</v>
      </c>
      <c r="F380" s="410"/>
      <c r="G380" s="410"/>
      <c r="H380" s="410"/>
      <c r="I380" s="410"/>
      <c r="J380" s="410"/>
      <c r="K380" s="408">
        <v>7.6</v>
      </c>
      <c r="L380" s="408">
        <v>7.6</v>
      </c>
      <c r="M380" s="407"/>
    </row>
    <row r="381" spans="1:13" ht="12.75" x14ac:dyDescent="0.2">
      <c r="A381" s="407"/>
      <c r="B381" s="777" t="s">
        <v>883</v>
      </c>
      <c r="C381" s="777"/>
      <c r="D381" s="411">
        <v>1</v>
      </c>
      <c r="E381" s="406">
        <v>9.1999999999999993</v>
      </c>
      <c r="F381" s="407"/>
      <c r="G381" s="407"/>
      <c r="H381" s="407"/>
      <c r="I381" s="407"/>
      <c r="J381" s="407"/>
      <c r="K381" s="408">
        <v>9.1999999999999993</v>
      </c>
      <c r="L381" s="408">
        <v>9.1999999999999993</v>
      </c>
      <c r="M381" s="407"/>
    </row>
    <row r="382" spans="1:13" ht="12.75" x14ac:dyDescent="0.2">
      <c r="A382" s="407"/>
      <c r="B382" s="777" t="s">
        <v>883</v>
      </c>
      <c r="C382" s="777"/>
      <c r="D382" s="411">
        <v>1</v>
      </c>
      <c r="E382" s="406">
        <v>9.3000000000000007</v>
      </c>
      <c r="F382" s="407"/>
      <c r="G382" s="407"/>
      <c r="H382" s="407"/>
      <c r="I382" s="407"/>
      <c r="J382" s="407"/>
      <c r="K382" s="408">
        <v>9.3000000000000007</v>
      </c>
      <c r="L382" s="408">
        <v>9.3000000000000007</v>
      </c>
      <c r="M382" s="407"/>
    </row>
    <row r="383" spans="1:13" ht="12.75" x14ac:dyDescent="0.2">
      <c r="A383" s="407"/>
      <c r="B383" s="777" t="s">
        <v>884</v>
      </c>
      <c r="C383" s="777"/>
      <c r="D383" s="411">
        <v>1</v>
      </c>
      <c r="E383" s="406">
        <v>67</v>
      </c>
      <c r="F383" s="407"/>
      <c r="G383" s="407"/>
      <c r="H383" s="407"/>
      <c r="I383" s="407"/>
      <c r="J383" s="407"/>
      <c r="K383" s="408">
        <v>67</v>
      </c>
      <c r="L383" s="408">
        <v>67</v>
      </c>
      <c r="M383" s="407"/>
    </row>
    <row r="384" spans="1:13" ht="12.75" x14ac:dyDescent="0.2">
      <c r="A384" s="118"/>
      <c r="B384" s="121"/>
      <c r="C384" s="121"/>
      <c r="D384" s="118"/>
      <c r="E384" s="118"/>
      <c r="F384" s="118"/>
      <c r="G384" s="118"/>
      <c r="H384" s="118"/>
      <c r="I384" s="118"/>
      <c r="J384" s="117"/>
      <c r="K384" s="117"/>
      <c r="L384" s="118"/>
      <c r="M384" s="114"/>
    </row>
    <row r="385" spans="1:13" ht="25.5" customHeight="1" x14ac:dyDescent="0.2">
      <c r="A385" s="412" t="s">
        <v>502</v>
      </c>
      <c r="B385" s="761" t="s">
        <v>503</v>
      </c>
      <c r="C385" s="761"/>
      <c r="D385" s="761"/>
      <c r="E385" s="761"/>
      <c r="F385" s="761"/>
      <c r="G385" s="761"/>
      <c r="H385" s="761"/>
      <c r="I385" s="761"/>
      <c r="J385" s="761"/>
      <c r="K385" s="761"/>
      <c r="L385" s="761"/>
      <c r="M385" s="761"/>
    </row>
    <row r="386" spans="1:13" ht="12.75" customHeight="1" x14ac:dyDescent="0.2">
      <c r="A386" s="419"/>
      <c r="B386" s="762" t="s">
        <v>133</v>
      </c>
      <c r="C386" s="763"/>
      <c r="D386" s="249"/>
      <c r="E386" s="249"/>
      <c r="F386" s="249"/>
      <c r="G386" s="249"/>
      <c r="H386" s="249"/>
      <c r="I386" s="249"/>
      <c r="J386" s="250"/>
      <c r="K386" s="250"/>
      <c r="L386" s="250">
        <f>REPROGRAMAÇÃO!F87</f>
        <v>1.41</v>
      </c>
      <c r="M386" s="416"/>
    </row>
    <row r="387" spans="1:13" ht="12.75" customHeight="1" x14ac:dyDescent="0.2">
      <c r="A387" s="416"/>
      <c r="B387" s="764" t="s">
        <v>812</v>
      </c>
      <c r="C387" s="765"/>
      <c r="D387" s="251"/>
      <c r="E387" s="251"/>
      <c r="F387" s="251"/>
      <c r="G387" s="251"/>
      <c r="H387" s="251"/>
      <c r="I387" s="251"/>
      <c r="J387" s="252"/>
      <c r="K387" s="252"/>
      <c r="L387" s="251">
        <f>SUM(L390:L397)</f>
        <v>9.0304000000000002</v>
      </c>
      <c r="M387" s="416"/>
    </row>
    <row r="388" spans="1:13" ht="12.75" customHeight="1" x14ac:dyDescent="0.2">
      <c r="A388" s="416"/>
      <c r="B388" s="253" t="s">
        <v>813</v>
      </c>
      <c r="C388" s="254"/>
      <c r="D388" s="255"/>
      <c r="E388" s="255"/>
      <c r="F388" s="255"/>
      <c r="G388" s="255"/>
      <c r="H388" s="255"/>
      <c r="I388" s="255"/>
      <c r="J388" s="256"/>
      <c r="K388" s="256"/>
      <c r="L388" s="251">
        <f>L387-L386</f>
        <v>7.6204000000000001</v>
      </c>
      <c r="M388" s="416"/>
    </row>
    <row r="389" spans="1:13" ht="12.75" customHeight="1" x14ac:dyDescent="0.2">
      <c r="A389" s="416"/>
      <c r="B389" s="418"/>
      <c r="C389" s="418"/>
      <c r="D389" s="420"/>
      <c r="E389" s="420"/>
      <c r="F389" s="416"/>
      <c r="G389" s="416"/>
      <c r="H389" s="416"/>
      <c r="I389" s="416"/>
      <c r="J389" s="416"/>
      <c r="K389" s="417"/>
      <c r="L389" s="417"/>
      <c r="M389" s="416"/>
    </row>
    <row r="390" spans="1:13" ht="12.75" x14ac:dyDescent="0.2">
      <c r="A390" s="419"/>
      <c r="B390" s="777" t="s">
        <v>886</v>
      </c>
      <c r="C390" s="777"/>
      <c r="D390" s="420">
        <v>1</v>
      </c>
      <c r="E390" s="414">
        <v>7.7</v>
      </c>
      <c r="F390" s="414"/>
      <c r="G390" s="414">
        <v>0.4</v>
      </c>
      <c r="H390" s="419"/>
      <c r="I390" s="414">
        <v>0.08</v>
      </c>
      <c r="J390" s="419"/>
      <c r="K390" s="417">
        <f>G390*E390*I390</f>
        <v>0.24640000000000001</v>
      </c>
      <c r="L390" s="417">
        <f>K390*D390</f>
        <v>0.24640000000000001</v>
      </c>
      <c r="M390" s="416"/>
    </row>
    <row r="391" spans="1:13" ht="12.75" x14ac:dyDescent="0.2">
      <c r="A391" s="419"/>
      <c r="B391" s="418"/>
      <c r="C391" s="418"/>
      <c r="D391" s="420">
        <v>1</v>
      </c>
      <c r="E391" s="414">
        <v>7.7</v>
      </c>
      <c r="F391" s="414"/>
      <c r="G391" s="414">
        <v>0.2</v>
      </c>
      <c r="H391" s="419"/>
      <c r="I391" s="414">
        <v>0.08</v>
      </c>
      <c r="J391" s="419"/>
      <c r="K391" s="417">
        <f t="shared" ref="K391:K397" si="53">G391*E391*I391</f>
        <v>0.1232</v>
      </c>
      <c r="L391" s="417">
        <f t="shared" ref="L391:L397" si="54">K391*D391</f>
        <v>0.1232</v>
      </c>
      <c r="M391" s="416"/>
    </row>
    <row r="392" spans="1:13" ht="12.75" x14ac:dyDescent="0.2">
      <c r="A392" s="419"/>
      <c r="B392" s="418"/>
      <c r="C392" s="418"/>
      <c r="D392" s="420">
        <v>1</v>
      </c>
      <c r="E392" s="414">
        <v>7.7</v>
      </c>
      <c r="F392" s="414"/>
      <c r="G392" s="414">
        <v>0.2</v>
      </c>
      <c r="H392" s="419"/>
      <c r="I392" s="414">
        <v>0.08</v>
      </c>
      <c r="J392" s="419"/>
      <c r="K392" s="417">
        <f t="shared" si="53"/>
        <v>0.1232</v>
      </c>
      <c r="L392" s="417">
        <f t="shared" si="54"/>
        <v>0.1232</v>
      </c>
      <c r="M392" s="416"/>
    </row>
    <row r="393" spans="1:13" ht="12.75" x14ac:dyDescent="0.2">
      <c r="A393" s="419"/>
      <c r="B393" s="418"/>
      <c r="C393" s="418"/>
      <c r="D393" s="420">
        <v>1</v>
      </c>
      <c r="E393" s="414">
        <v>7.7</v>
      </c>
      <c r="F393" s="414"/>
      <c r="G393" s="414">
        <v>0.2</v>
      </c>
      <c r="H393" s="419"/>
      <c r="I393" s="414">
        <v>0.08</v>
      </c>
      <c r="J393" s="419"/>
      <c r="K393" s="417">
        <f t="shared" si="53"/>
        <v>0.1232</v>
      </c>
      <c r="L393" s="417">
        <f t="shared" si="54"/>
        <v>0.1232</v>
      </c>
      <c r="M393" s="416"/>
    </row>
    <row r="394" spans="1:13" ht="12.75" x14ac:dyDescent="0.2">
      <c r="A394" s="419"/>
      <c r="B394" s="418"/>
      <c r="C394" s="418"/>
      <c r="D394" s="420">
        <v>1</v>
      </c>
      <c r="E394" s="414">
        <v>7.7</v>
      </c>
      <c r="F394" s="414"/>
      <c r="G394" s="414">
        <v>0.2</v>
      </c>
      <c r="H394" s="419"/>
      <c r="I394" s="414">
        <v>0.08</v>
      </c>
      <c r="J394" s="419"/>
      <c r="K394" s="417">
        <f t="shared" si="53"/>
        <v>0.1232</v>
      </c>
      <c r="L394" s="417">
        <f t="shared" si="54"/>
        <v>0.1232</v>
      </c>
      <c r="M394" s="416"/>
    </row>
    <row r="395" spans="1:13" ht="12.75" x14ac:dyDescent="0.2">
      <c r="A395" s="419"/>
      <c r="B395" s="418"/>
      <c r="C395" s="418"/>
      <c r="D395" s="420">
        <v>1</v>
      </c>
      <c r="E395" s="414">
        <v>26.5</v>
      </c>
      <c r="F395" s="414"/>
      <c r="G395" s="414">
        <v>0.2</v>
      </c>
      <c r="H395" s="419"/>
      <c r="I395" s="414">
        <v>0.08</v>
      </c>
      <c r="J395" s="419"/>
      <c r="K395" s="417">
        <f t="shared" si="53"/>
        <v>0.42400000000000004</v>
      </c>
      <c r="L395" s="417">
        <f t="shared" si="54"/>
        <v>0.42400000000000004</v>
      </c>
      <c r="M395" s="416"/>
    </row>
    <row r="396" spans="1:13" ht="12.75" x14ac:dyDescent="0.2">
      <c r="A396" s="419"/>
      <c r="B396" s="418"/>
      <c r="C396" s="418"/>
      <c r="D396" s="420">
        <v>1</v>
      </c>
      <c r="E396" s="414">
        <v>7.7</v>
      </c>
      <c r="F396" s="414"/>
      <c r="G396" s="414">
        <v>0.2</v>
      </c>
      <c r="H396" s="419"/>
      <c r="I396" s="414">
        <v>0.08</v>
      </c>
      <c r="J396" s="419"/>
      <c r="K396" s="417">
        <f t="shared" si="53"/>
        <v>0.1232</v>
      </c>
      <c r="L396" s="417">
        <f t="shared" si="54"/>
        <v>0.1232</v>
      </c>
      <c r="M396" s="416"/>
    </row>
    <row r="397" spans="1:13" ht="12.75" x14ac:dyDescent="0.2">
      <c r="A397" s="416"/>
      <c r="B397" s="777" t="s">
        <v>888</v>
      </c>
      <c r="C397" s="777"/>
      <c r="D397" s="420">
        <v>1</v>
      </c>
      <c r="E397" s="414">
        <v>35.200000000000003</v>
      </c>
      <c r="F397" s="414"/>
      <c r="G397" s="414">
        <v>2.75</v>
      </c>
      <c r="H397" s="416"/>
      <c r="I397" s="416">
        <v>0.08</v>
      </c>
      <c r="J397" s="416"/>
      <c r="K397" s="417">
        <f t="shared" si="53"/>
        <v>7.7440000000000007</v>
      </c>
      <c r="L397" s="417">
        <f t="shared" si="54"/>
        <v>7.7440000000000007</v>
      </c>
      <c r="M397" s="416"/>
    </row>
    <row r="398" spans="1:13" ht="12.75" x14ac:dyDescent="0.2">
      <c r="A398" s="416"/>
      <c r="B398" s="418"/>
      <c r="C398" s="418"/>
      <c r="D398" s="420"/>
      <c r="E398" s="414"/>
      <c r="F398" s="414"/>
      <c r="G398" s="414"/>
      <c r="H398" s="416"/>
      <c r="I398" s="414"/>
      <c r="J398" s="416"/>
      <c r="K398" s="417"/>
      <c r="L398" s="417"/>
      <c r="M398" s="416"/>
    </row>
    <row r="399" spans="1:13" ht="21.75" customHeight="1" x14ac:dyDescent="0.2">
      <c r="A399" s="412" t="s">
        <v>504</v>
      </c>
      <c r="B399" s="761" t="s">
        <v>97</v>
      </c>
      <c r="C399" s="761"/>
      <c r="D399" s="761"/>
      <c r="E399" s="761"/>
      <c r="F399" s="761"/>
      <c r="G399" s="761"/>
      <c r="H399" s="761"/>
      <c r="I399" s="761"/>
      <c r="J399" s="761"/>
      <c r="K399" s="761"/>
      <c r="L399" s="761"/>
      <c r="M399" s="761"/>
    </row>
    <row r="400" spans="1:13" ht="12.75" x14ac:dyDescent="0.2">
      <c r="A400" s="419"/>
      <c r="B400" s="762" t="s">
        <v>133</v>
      </c>
      <c r="C400" s="763"/>
      <c r="D400" s="249"/>
      <c r="E400" s="249"/>
      <c r="F400" s="249"/>
      <c r="G400" s="249"/>
      <c r="H400" s="249"/>
      <c r="I400" s="249"/>
      <c r="J400" s="250"/>
      <c r="K400" s="250"/>
      <c r="L400" s="250">
        <f>REPROGRAMAÇÃO!F88</f>
        <v>107.170000000001</v>
      </c>
      <c r="M400" s="416"/>
    </row>
    <row r="401" spans="1:13" ht="12.75" x14ac:dyDescent="0.2">
      <c r="A401" s="416"/>
      <c r="B401" s="764" t="s">
        <v>812</v>
      </c>
      <c r="C401" s="765"/>
      <c r="D401" s="251"/>
      <c r="E401" s="251"/>
      <c r="F401" s="251"/>
      <c r="G401" s="251"/>
      <c r="H401" s="251"/>
      <c r="I401" s="251"/>
      <c r="J401" s="252"/>
      <c r="K401" s="252"/>
      <c r="L401" s="251">
        <f>SUM(L404:L422)</f>
        <v>264.36190000000101</v>
      </c>
      <c r="M401" s="416"/>
    </row>
    <row r="402" spans="1:13" ht="12.75" x14ac:dyDescent="0.2">
      <c r="A402" s="416"/>
      <c r="B402" s="253" t="s">
        <v>813</v>
      </c>
      <c r="C402" s="254"/>
      <c r="D402" s="255"/>
      <c r="E402" s="255"/>
      <c r="F402" s="255"/>
      <c r="G402" s="255"/>
      <c r="H402" s="255"/>
      <c r="I402" s="255"/>
      <c r="J402" s="256"/>
      <c r="K402" s="256"/>
      <c r="L402" s="251">
        <f>L401-L400</f>
        <v>157.19190000000003</v>
      </c>
      <c r="M402" s="416"/>
    </row>
    <row r="403" spans="1:13" ht="12.75" x14ac:dyDescent="0.2">
      <c r="A403" s="416"/>
      <c r="B403" s="418"/>
      <c r="C403" s="418"/>
      <c r="D403" s="420"/>
      <c r="E403" s="420"/>
      <c r="F403" s="416"/>
      <c r="G403" s="416"/>
      <c r="H403" s="416"/>
      <c r="I403" s="416"/>
      <c r="J403" s="416"/>
      <c r="K403" s="417"/>
      <c r="L403" s="417"/>
      <c r="M403" s="416"/>
    </row>
    <row r="404" spans="1:13" ht="12.75" x14ac:dyDescent="0.2">
      <c r="A404" s="419"/>
      <c r="B404" s="777" t="s">
        <v>883</v>
      </c>
      <c r="C404" s="777"/>
      <c r="D404" s="420">
        <v>1</v>
      </c>
      <c r="E404" s="414">
        <v>9</v>
      </c>
      <c r="F404" s="414"/>
      <c r="G404" s="414">
        <v>2</v>
      </c>
      <c r="H404" s="419"/>
      <c r="I404" s="419"/>
      <c r="J404" s="419"/>
      <c r="K404" s="413">
        <v>18</v>
      </c>
      <c r="L404" s="413">
        <v>18</v>
      </c>
      <c r="M404" s="416"/>
    </row>
    <row r="405" spans="1:13" ht="12.75" x14ac:dyDescent="0.2">
      <c r="A405" s="419"/>
      <c r="B405" s="777" t="s">
        <v>883</v>
      </c>
      <c r="C405" s="777"/>
      <c r="D405" s="420">
        <v>1</v>
      </c>
      <c r="E405" s="414">
        <v>5.25</v>
      </c>
      <c r="F405" s="414"/>
      <c r="G405" s="414">
        <v>1.35</v>
      </c>
      <c r="H405" s="419"/>
      <c r="I405" s="419"/>
      <c r="J405" s="419"/>
      <c r="K405" s="413">
        <v>7.0875000000000004</v>
      </c>
      <c r="L405" s="413">
        <v>7.0875000000000004</v>
      </c>
      <c r="M405" s="416"/>
    </row>
    <row r="406" spans="1:13" ht="12.75" x14ac:dyDescent="0.2">
      <c r="A406" s="419"/>
      <c r="B406" s="777" t="s">
        <v>883</v>
      </c>
      <c r="C406" s="777"/>
      <c r="D406" s="420">
        <v>1</v>
      </c>
      <c r="E406" s="414">
        <v>2.4</v>
      </c>
      <c r="F406" s="414"/>
      <c r="G406" s="414">
        <v>1.4</v>
      </c>
      <c r="H406" s="419"/>
      <c r="I406" s="419"/>
      <c r="J406" s="419"/>
      <c r="K406" s="413">
        <v>3.36</v>
      </c>
      <c r="L406" s="413">
        <v>3.36</v>
      </c>
      <c r="M406" s="416"/>
    </row>
    <row r="407" spans="1:13" ht="12.75" x14ac:dyDescent="0.2">
      <c r="A407" s="419"/>
      <c r="B407" s="777" t="s">
        <v>883</v>
      </c>
      <c r="C407" s="777"/>
      <c r="D407" s="420">
        <v>1</v>
      </c>
      <c r="E407" s="414">
        <v>15.74</v>
      </c>
      <c r="F407" s="414"/>
      <c r="G407" s="414">
        <v>3.13</v>
      </c>
      <c r="H407" s="419"/>
      <c r="I407" s="419"/>
      <c r="J407" s="419"/>
      <c r="K407" s="413">
        <v>49.266199999999998</v>
      </c>
      <c r="L407" s="413">
        <v>49.266199999999998</v>
      </c>
      <c r="M407" s="416"/>
    </row>
    <row r="408" spans="1:13" ht="12.75" x14ac:dyDescent="0.2">
      <c r="A408" s="419"/>
      <c r="B408" s="777" t="s">
        <v>883</v>
      </c>
      <c r="C408" s="777"/>
      <c r="D408" s="420">
        <v>1</v>
      </c>
      <c r="E408" s="414">
        <v>2.4</v>
      </c>
      <c r="F408" s="414"/>
      <c r="G408" s="414">
        <v>1.4</v>
      </c>
      <c r="H408" s="419"/>
      <c r="I408" s="419"/>
      <c r="J408" s="419"/>
      <c r="K408" s="413">
        <v>3.36</v>
      </c>
      <c r="L408" s="413">
        <v>3.36</v>
      </c>
      <c r="M408" s="416"/>
    </row>
    <row r="409" spans="1:13" ht="12.75" x14ac:dyDescent="0.2">
      <c r="A409" s="419"/>
      <c r="B409" s="777" t="s">
        <v>883</v>
      </c>
      <c r="C409" s="777"/>
      <c r="D409" s="420">
        <v>1</v>
      </c>
      <c r="E409" s="414">
        <v>6.9</v>
      </c>
      <c r="F409" s="414"/>
      <c r="G409" s="414">
        <v>1.1100000000000001</v>
      </c>
      <c r="H409" s="419"/>
      <c r="I409" s="419"/>
      <c r="J409" s="419"/>
      <c r="K409" s="413">
        <v>7.6590000000000007</v>
      </c>
      <c r="L409" s="413">
        <v>7.6590000000000007</v>
      </c>
      <c r="M409" s="416"/>
    </row>
    <row r="410" spans="1:13" ht="12.75" x14ac:dyDescent="0.2">
      <c r="A410" s="419"/>
      <c r="B410" s="777" t="s">
        <v>883</v>
      </c>
      <c r="C410" s="777"/>
      <c r="D410" s="420">
        <v>1</v>
      </c>
      <c r="E410" s="414">
        <v>3</v>
      </c>
      <c r="F410" s="414"/>
      <c r="G410" s="414">
        <v>2.7</v>
      </c>
      <c r="H410" s="419"/>
      <c r="I410" s="419"/>
      <c r="J410" s="419"/>
      <c r="K410" s="413">
        <v>8.1000000000000014</v>
      </c>
      <c r="L410" s="413">
        <v>8.1000000000000014</v>
      </c>
      <c r="M410" s="416"/>
    </row>
    <row r="411" spans="1:13" ht="12.75" x14ac:dyDescent="0.2">
      <c r="A411" s="419"/>
      <c r="B411" s="777" t="s">
        <v>883</v>
      </c>
      <c r="C411" s="777"/>
      <c r="D411" s="420">
        <v>1</v>
      </c>
      <c r="E411" s="414">
        <v>1.2</v>
      </c>
      <c r="F411" s="414"/>
      <c r="G411" s="414">
        <v>3.2</v>
      </c>
      <c r="H411" s="419"/>
      <c r="I411" s="419"/>
      <c r="J411" s="419"/>
      <c r="K411" s="413">
        <v>3.84</v>
      </c>
      <c r="L411" s="413">
        <v>3.84</v>
      </c>
      <c r="M411" s="416"/>
    </row>
    <row r="412" spans="1:13" ht="12.75" x14ac:dyDescent="0.2">
      <c r="A412" s="419"/>
      <c r="B412" s="777" t="s">
        <v>883</v>
      </c>
      <c r="C412" s="777"/>
      <c r="D412" s="420">
        <v>1</v>
      </c>
      <c r="E412" s="414">
        <v>2.5</v>
      </c>
      <c r="F412" s="414"/>
      <c r="G412" s="414">
        <v>1.22</v>
      </c>
      <c r="H412" s="419"/>
      <c r="I412" s="419"/>
      <c r="J412" s="419"/>
      <c r="K412" s="413">
        <v>3.05</v>
      </c>
      <c r="L412" s="413">
        <v>3.05</v>
      </c>
      <c r="M412" s="416"/>
    </row>
    <row r="413" spans="1:13" ht="12.75" x14ac:dyDescent="0.2">
      <c r="A413" s="419"/>
      <c r="B413" s="777" t="s">
        <v>883</v>
      </c>
      <c r="C413" s="777"/>
      <c r="D413" s="420">
        <v>1</v>
      </c>
      <c r="E413" s="414">
        <v>2.73</v>
      </c>
      <c r="F413" s="414"/>
      <c r="G413" s="414">
        <v>1.5</v>
      </c>
      <c r="H413" s="419"/>
      <c r="I413" s="419"/>
      <c r="J413" s="419"/>
      <c r="K413" s="413">
        <v>4.0949999999999998</v>
      </c>
      <c r="L413" s="413">
        <v>4.0949999999999998</v>
      </c>
      <c r="M413" s="416"/>
    </row>
    <row r="414" spans="1:13" ht="12.75" x14ac:dyDescent="0.2">
      <c r="A414" s="419"/>
      <c r="B414" s="777" t="s">
        <v>883</v>
      </c>
      <c r="C414" s="777"/>
      <c r="D414" s="420">
        <v>1</v>
      </c>
      <c r="E414" s="414">
        <v>2.7</v>
      </c>
      <c r="F414" s="414"/>
      <c r="G414" s="414">
        <v>1.83</v>
      </c>
      <c r="H414" s="419"/>
      <c r="I414" s="419"/>
      <c r="J414" s="419"/>
      <c r="K414" s="413">
        <v>4.9410000000000007</v>
      </c>
      <c r="L414" s="413">
        <v>4.9410000000000007</v>
      </c>
      <c r="M414" s="416"/>
    </row>
    <row r="415" spans="1:13" ht="12.75" x14ac:dyDescent="0.2">
      <c r="A415" s="419"/>
      <c r="B415" s="777" t="s">
        <v>883</v>
      </c>
      <c r="C415" s="777"/>
      <c r="D415" s="420">
        <v>1</v>
      </c>
      <c r="E415" s="414">
        <v>4.3</v>
      </c>
      <c r="F415" s="414"/>
      <c r="G415" s="414">
        <v>5.07</v>
      </c>
      <c r="H415" s="419"/>
      <c r="I415" s="419"/>
      <c r="J415" s="419"/>
      <c r="K415" s="413">
        <v>21.801000000000002</v>
      </c>
      <c r="L415" s="413">
        <v>21.801000000000002</v>
      </c>
      <c r="M415" s="416"/>
    </row>
    <row r="416" spans="1:13" ht="12.75" x14ac:dyDescent="0.2">
      <c r="A416" s="419"/>
      <c r="B416" s="777" t="s">
        <v>883</v>
      </c>
      <c r="C416" s="777"/>
      <c r="D416" s="420">
        <v>1</v>
      </c>
      <c r="E416" s="414">
        <v>1.36</v>
      </c>
      <c r="F416" s="414"/>
      <c r="G416" s="414">
        <v>2.76</v>
      </c>
      <c r="H416" s="419"/>
      <c r="I416" s="419"/>
      <c r="J416" s="419"/>
      <c r="K416" s="413">
        <v>3.7536</v>
      </c>
      <c r="L416" s="413">
        <v>3.7536</v>
      </c>
      <c r="M416" s="416"/>
    </row>
    <row r="417" spans="1:13" ht="12.75" x14ac:dyDescent="0.2">
      <c r="A417" s="419"/>
      <c r="B417" s="777" t="s">
        <v>883</v>
      </c>
      <c r="C417" s="777"/>
      <c r="D417" s="420">
        <v>1</v>
      </c>
      <c r="E417" s="414">
        <v>1.36</v>
      </c>
      <c r="F417" s="414"/>
      <c r="G417" s="414">
        <v>2.76</v>
      </c>
      <c r="H417" s="419"/>
      <c r="I417" s="419"/>
      <c r="J417" s="419"/>
      <c r="K417" s="413">
        <v>3.7536</v>
      </c>
      <c r="L417" s="413">
        <v>3.7536</v>
      </c>
      <c r="M417" s="416"/>
    </row>
    <row r="418" spans="1:13" ht="12.75" x14ac:dyDescent="0.2">
      <c r="A418" s="419"/>
      <c r="B418" s="777" t="s">
        <v>887</v>
      </c>
      <c r="C418" s="777"/>
      <c r="D418" s="420">
        <v>1</v>
      </c>
      <c r="E418" s="414">
        <v>21.4</v>
      </c>
      <c r="F418" s="414"/>
      <c r="G418" s="414">
        <v>0.5</v>
      </c>
      <c r="H418" s="419"/>
      <c r="I418" s="419"/>
      <c r="J418" s="419"/>
      <c r="K418" s="413">
        <v>10.7</v>
      </c>
      <c r="L418" s="413">
        <v>10.7</v>
      </c>
      <c r="M418" s="416"/>
    </row>
    <row r="419" spans="1:13" ht="12.75" x14ac:dyDescent="0.2">
      <c r="A419" s="419"/>
      <c r="B419" s="777" t="s">
        <v>887</v>
      </c>
      <c r="C419" s="777"/>
      <c r="D419" s="420">
        <v>1</v>
      </c>
      <c r="E419" s="414">
        <v>8.85</v>
      </c>
      <c r="F419" s="414"/>
      <c r="G419" s="414">
        <v>0.5</v>
      </c>
      <c r="H419" s="419"/>
      <c r="I419" s="419"/>
      <c r="J419" s="419"/>
      <c r="K419" s="413">
        <v>4.4249999999999998</v>
      </c>
      <c r="L419" s="413">
        <v>4.4249999999999998</v>
      </c>
      <c r="M419" s="416"/>
    </row>
    <row r="420" spans="1:13" ht="12.75" x14ac:dyDescent="0.2">
      <c r="A420" s="419"/>
      <c r="B420" s="418"/>
      <c r="C420" s="418"/>
      <c r="D420" s="420"/>
      <c r="E420" s="420"/>
      <c r="F420" s="419"/>
      <c r="G420" s="419"/>
      <c r="H420" s="419"/>
      <c r="I420" s="419"/>
      <c r="J420" s="419"/>
      <c r="K420" s="417"/>
      <c r="L420" s="417"/>
      <c r="M420" s="416"/>
    </row>
    <row r="421" spans="1:13" ht="28.5" customHeight="1" x14ac:dyDescent="0.2">
      <c r="A421" s="412" t="s">
        <v>505</v>
      </c>
      <c r="B421" s="761" t="s">
        <v>96</v>
      </c>
      <c r="C421" s="761"/>
      <c r="D421" s="761"/>
      <c r="E421" s="761"/>
      <c r="F421" s="761"/>
      <c r="G421" s="761"/>
      <c r="H421" s="761"/>
      <c r="I421" s="761"/>
      <c r="J421" s="761"/>
      <c r="K421" s="761"/>
      <c r="L421" s="761"/>
      <c r="M421" s="761"/>
    </row>
    <row r="422" spans="1:13" ht="12.75" x14ac:dyDescent="0.2">
      <c r="A422" s="419"/>
      <c r="B422" s="762" t="s">
        <v>133</v>
      </c>
      <c r="C422" s="763"/>
      <c r="D422" s="249"/>
      <c r="E422" s="249"/>
      <c r="F422" s="249"/>
      <c r="G422" s="249"/>
      <c r="H422" s="249"/>
      <c r="I422" s="249"/>
      <c r="J422" s="250"/>
      <c r="K422" s="250"/>
      <c r="L422" s="250">
        <f>REPROGRAMAÇÃO!F89</f>
        <v>107.170000000001</v>
      </c>
      <c r="M422" s="416"/>
    </row>
    <row r="423" spans="1:13" ht="12.75" x14ac:dyDescent="0.2">
      <c r="A423" s="416"/>
      <c r="B423" s="764" t="s">
        <v>812</v>
      </c>
      <c r="C423" s="765"/>
      <c r="D423" s="251"/>
      <c r="E423" s="251"/>
      <c r="F423" s="251"/>
      <c r="G423" s="251"/>
      <c r="H423" s="251"/>
      <c r="I423" s="251"/>
      <c r="J423" s="252"/>
      <c r="K423" s="252"/>
      <c r="L423" s="251">
        <f>L426</f>
        <v>96.800000000000011</v>
      </c>
      <c r="M423" s="416"/>
    </row>
    <row r="424" spans="1:13" ht="12.75" x14ac:dyDescent="0.2">
      <c r="A424" s="416"/>
      <c r="B424" s="253" t="s">
        <v>813</v>
      </c>
      <c r="C424" s="254"/>
      <c r="D424" s="255"/>
      <c r="E424" s="255"/>
      <c r="F424" s="255"/>
      <c r="G424" s="255"/>
      <c r="H424" s="255"/>
      <c r="I424" s="255"/>
      <c r="J424" s="256"/>
      <c r="K424" s="256"/>
      <c r="L424" s="251">
        <f>L423-L422</f>
        <v>-10.370000000000985</v>
      </c>
      <c r="M424" s="416"/>
    </row>
    <row r="425" spans="1:13" ht="12.75" x14ac:dyDescent="0.2">
      <c r="A425" s="416"/>
      <c r="B425" s="418"/>
      <c r="C425" s="418"/>
      <c r="D425" s="420"/>
      <c r="E425" s="420"/>
      <c r="F425" s="416"/>
      <c r="G425" s="416"/>
      <c r="H425" s="416"/>
      <c r="I425" s="416"/>
      <c r="J425" s="416"/>
      <c r="K425" s="417"/>
      <c r="L425" s="417"/>
      <c r="M425" s="416"/>
    </row>
    <row r="426" spans="1:13" ht="12.75" x14ac:dyDescent="0.2">
      <c r="A426" s="419"/>
      <c r="B426" s="777" t="s">
        <v>890</v>
      </c>
      <c r="C426" s="777"/>
      <c r="D426" s="420">
        <v>1</v>
      </c>
      <c r="E426" s="414">
        <v>35.200000000000003</v>
      </c>
      <c r="F426" s="414"/>
      <c r="G426" s="414">
        <v>2.75</v>
      </c>
      <c r="H426" s="419"/>
      <c r="I426" s="419"/>
      <c r="J426" s="419"/>
      <c r="K426" s="413">
        <v>96.800000000000011</v>
      </c>
      <c r="L426" s="413">
        <v>96.800000000000011</v>
      </c>
      <c r="M426" s="416"/>
    </row>
    <row r="427" spans="1:13" ht="12.75" x14ac:dyDescent="0.2">
      <c r="A427" s="419"/>
      <c r="B427" s="418"/>
      <c r="C427" s="418"/>
      <c r="D427" s="420"/>
      <c r="E427" s="420"/>
      <c r="F427" s="419"/>
      <c r="G427" s="419"/>
      <c r="H427" s="419"/>
      <c r="I427" s="419"/>
      <c r="J427" s="419"/>
      <c r="K427" s="417"/>
      <c r="L427" s="417"/>
      <c r="M427" s="416"/>
    </row>
    <row r="428" spans="1:13" ht="31.5" customHeight="1" x14ac:dyDescent="0.2">
      <c r="A428" s="412" t="s">
        <v>335</v>
      </c>
      <c r="B428" s="761" t="s">
        <v>334</v>
      </c>
      <c r="C428" s="761"/>
      <c r="D428" s="761"/>
      <c r="E428" s="761"/>
      <c r="F428" s="761"/>
      <c r="G428" s="761"/>
      <c r="H428" s="761"/>
      <c r="I428" s="761"/>
      <c r="J428" s="761"/>
      <c r="K428" s="761"/>
      <c r="L428" s="761"/>
      <c r="M428" s="761"/>
    </row>
    <row r="429" spans="1:13" ht="12.75" x14ac:dyDescent="0.2">
      <c r="A429" s="419"/>
      <c r="B429" s="762" t="s">
        <v>133</v>
      </c>
      <c r="C429" s="763"/>
      <c r="D429" s="249"/>
      <c r="E429" s="249"/>
      <c r="F429" s="249"/>
      <c r="G429" s="249"/>
      <c r="H429" s="249"/>
      <c r="I429" s="249"/>
      <c r="J429" s="250"/>
      <c r="K429" s="250"/>
      <c r="L429" s="250">
        <f>REPROGRAMAÇÃO!F90</f>
        <v>591.91</v>
      </c>
      <c r="M429" s="419"/>
    </row>
    <row r="430" spans="1:13" ht="12.75" x14ac:dyDescent="0.2">
      <c r="A430" s="416"/>
      <c r="B430" s="764" t="s">
        <v>812</v>
      </c>
      <c r="C430" s="765"/>
      <c r="D430" s="251"/>
      <c r="E430" s="251"/>
      <c r="F430" s="251"/>
      <c r="G430" s="251"/>
      <c r="H430" s="251"/>
      <c r="I430" s="251"/>
      <c r="J430" s="252"/>
      <c r="K430" s="252"/>
      <c r="L430" s="251">
        <f>SUM(L433:L450)</f>
        <v>572.85900000000004</v>
      </c>
      <c r="M430" s="416"/>
    </row>
    <row r="431" spans="1:13" ht="12.75" x14ac:dyDescent="0.2">
      <c r="A431" s="416"/>
      <c r="B431" s="253" t="s">
        <v>813</v>
      </c>
      <c r="C431" s="254"/>
      <c r="D431" s="255"/>
      <c r="E431" s="255"/>
      <c r="F431" s="255"/>
      <c r="G431" s="255"/>
      <c r="H431" s="255"/>
      <c r="I431" s="255"/>
      <c r="J431" s="256"/>
      <c r="K431" s="256"/>
      <c r="L431" s="251">
        <f>L430-L429</f>
        <v>-19.050999999999931</v>
      </c>
      <c r="M431" s="416"/>
    </row>
    <row r="432" spans="1:13" ht="12.75" x14ac:dyDescent="0.2">
      <c r="A432" s="416"/>
      <c r="B432" s="416"/>
      <c r="C432" s="416"/>
      <c r="D432" s="416"/>
      <c r="E432" s="416"/>
      <c r="F432" s="416"/>
      <c r="G432" s="416"/>
      <c r="H432" s="416"/>
      <c r="I432" s="416"/>
      <c r="J432" s="416"/>
      <c r="K432" s="418"/>
      <c r="L432" s="417"/>
      <c r="M432" s="416"/>
    </row>
    <row r="433" spans="1:13" ht="12.75" x14ac:dyDescent="0.2">
      <c r="A433" s="419"/>
      <c r="B433" s="855" t="s">
        <v>889</v>
      </c>
      <c r="C433" s="855"/>
      <c r="D433" s="419">
        <v>1</v>
      </c>
      <c r="E433" s="414">
        <v>26.5</v>
      </c>
      <c r="F433" s="419"/>
      <c r="G433" s="414">
        <v>1.75</v>
      </c>
      <c r="H433" s="419"/>
      <c r="I433" s="419"/>
      <c r="J433" s="419"/>
      <c r="K433" s="413">
        <f>G433*E433</f>
        <v>46.375</v>
      </c>
      <c r="L433" s="413">
        <f>K433*D433</f>
        <v>46.375</v>
      </c>
      <c r="M433" s="419"/>
    </row>
    <row r="434" spans="1:13" ht="12.75" x14ac:dyDescent="0.2">
      <c r="A434" s="419"/>
      <c r="B434" s="419"/>
      <c r="C434" s="419"/>
      <c r="D434" s="419">
        <v>1</v>
      </c>
      <c r="E434" s="414">
        <v>3.75</v>
      </c>
      <c r="F434" s="419"/>
      <c r="G434" s="414">
        <v>5.76</v>
      </c>
      <c r="H434" s="419"/>
      <c r="I434" s="419"/>
      <c r="J434" s="419"/>
      <c r="K434" s="413">
        <f t="shared" ref="K434:K448" si="55">G434*E434</f>
        <v>21.599999999999998</v>
      </c>
      <c r="L434" s="413">
        <f t="shared" ref="L434:L448" si="56">K434*D434</f>
        <v>21.599999999999998</v>
      </c>
      <c r="M434" s="419"/>
    </row>
    <row r="435" spans="1:13" ht="12.75" x14ac:dyDescent="0.2">
      <c r="A435" s="419"/>
      <c r="B435" s="419"/>
      <c r="C435" s="419"/>
      <c r="D435" s="419">
        <v>1</v>
      </c>
      <c r="E435" s="414">
        <v>3.82</v>
      </c>
      <c r="F435" s="419"/>
      <c r="G435" s="414">
        <v>5.76</v>
      </c>
      <c r="H435" s="419"/>
      <c r="I435" s="419"/>
      <c r="J435" s="419"/>
      <c r="K435" s="413">
        <f t="shared" si="55"/>
        <v>22.0032</v>
      </c>
      <c r="L435" s="413">
        <f t="shared" si="56"/>
        <v>22.0032</v>
      </c>
      <c r="M435" s="419"/>
    </row>
    <row r="436" spans="1:13" ht="12.75" x14ac:dyDescent="0.2">
      <c r="A436" s="419"/>
      <c r="B436" s="419"/>
      <c r="C436" s="419"/>
      <c r="D436" s="419">
        <v>1</v>
      </c>
      <c r="E436" s="414">
        <v>3.65</v>
      </c>
      <c r="F436" s="419"/>
      <c r="G436" s="414">
        <v>5.72</v>
      </c>
      <c r="H436" s="419"/>
      <c r="I436" s="419"/>
      <c r="J436" s="419"/>
      <c r="K436" s="413">
        <f t="shared" si="55"/>
        <v>20.878</v>
      </c>
      <c r="L436" s="413">
        <f t="shared" si="56"/>
        <v>20.878</v>
      </c>
      <c r="M436" s="419"/>
    </row>
    <row r="437" spans="1:13" ht="12.75" x14ac:dyDescent="0.2">
      <c r="A437" s="419"/>
      <c r="B437" s="419"/>
      <c r="C437" s="419"/>
      <c r="D437" s="419">
        <v>1</v>
      </c>
      <c r="E437" s="414">
        <v>3.79</v>
      </c>
      <c r="F437" s="419"/>
      <c r="G437" s="414">
        <v>5.72</v>
      </c>
      <c r="H437" s="419"/>
      <c r="I437" s="419"/>
      <c r="J437" s="419"/>
      <c r="K437" s="413">
        <f t="shared" si="55"/>
        <v>21.678799999999999</v>
      </c>
      <c r="L437" s="413">
        <f t="shared" si="56"/>
        <v>21.678799999999999</v>
      </c>
      <c r="M437" s="419"/>
    </row>
    <row r="438" spans="1:13" ht="12.75" x14ac:dyDescent="0.2">
      <c r="A438" s="419"/>
      <c r="B438" s="419"/>
      <c r="C438" s="419"/>
      <c r="D438" s="419">
        <v>1</v>
      </c>
      <c r="E438" s="414">
        <v>3.65</v>
      </c>
      <c r="F438" s="419"/>
      <c r="G438" s="414">
        <v>5.78</v>
      </c>
      <c r="H438" s="419"/>
      <c r="I438" s="419"/>
      <c r="J438" s="419"/>
      <c r="K438" s="413">
        <f t="shared" si="55"/>
        <v>21.097000000000001</v>
      </c>
      <c r="L438" s="413">
        <f t="shared" si="56"/>
        <v>21.097000000000001</v>
      </c>
      <c r="M438" s="419"/>
    </row>
    <row r="439" spans="1:13" ht="12.75" x14ac:dyDescent="0.2">
      <c r="A439" s="419"/>
      <c r="B439" s="419"/>
      <c r="C439" s="419"/>
      <c r="D439" s="419">
        <v>1</v>
      </c>
      <c r="E439" s="414">
        <v>3.8</v>
      </c>
      <c r="F439" s="419"/>
      <c r="G439" s="414">
        <v>5.78</v>
      </c>
      <c r="H439" s="419"/>
      <c r="I439" s="419"/>
      <c r="J439" s="419"/>
      <c r="K439" s="413">
        <f t="shared" si="55"/>
        <v>21.963999999999999</v>
      </c>
      <c r="L439" s="413">
        <f t="shared" si="56"/>
        <v>21.963999999999999</v>
      </c>
      <c r="M439" s="419"/>
    </row>
    <row r="440" spans="1:13" ht="12.75" x14ac:dyDescent="0.2">
      <c r="A440" s="419"/>
      <c r="B440" s="419"/>
      <c r="C440" s="419"/>
      <c r="D440" s="419">
        <v>1</v>
      </c>
      <c r="E440" s="414">
        <v>3.7</v>
      </c>
      <c r="F440" s="419"/>
      <c r="G440" s="414">
        <v>5.8</v>
      </c>
      <c r="H440" s="419"/>
      <c r="I440" s="419"/>
      <c r="J440" s="419"/>
      <c r="K440" s="413">
        <f t="shared" si="55"/>
        <v>21.46</v>
      </c>
      <c r="L440" s="413">
        <f t="shared" si="56"/>
        <v>21.46</v>
      </c>
      <c r="M440" s="419"/>
    </row>
    <row r="441" spans="1:13" ht="12.75" x14ac:dyDescent="0.2">
      <c r="A441" s="419"/>
      <c r="B441" s="419"/>
      <c r="C441" s="419"/>
      <c r="D441" s="419">
        <v>1</v>
      </c>
      <c r="E441" s="414">
        <v>3.7</v>
      </c>
      <c r="F441" s="419"/>
      <c r="G441" s="414">
        <v>5.8</v>
      </c>
      <c r="H441" s="419"/>
      <c r="I441" s="419"/>
      <c r="J441" s="419"/>
      <c r="K441" s="413">
        <f t="shared" si="55"/>
        <v>21.46</v>
      </c>
      <c r="L441" s="413">
        <f t="shared" si="56"/>
        <v>21.46</v>
      </c>
      <c r="M441" s="419"/>
    </row>
    <row r="442" spans="1:13" ht="12.75" x14ac:dyDescent="0.2">
      <c r="A442" s="419"/>
      <c r="B442" s="419"/>
      <c r="C442" s="419"/>
      <c r="D442" s="419">
        <v>1</v>
      </c>
      <c r="E442" s="414">
        <v>2.6</v>
      </c>
      <c r="F442" s="419"/>
      <c r="G442" s="414">
        <v>3.6</v>
      </c>
      <c r="H442" s="419"/>
      <c r="I442" s="419"/>
      <c r="J442" s="419"/>
      <c r="K442" s="413">
        <f t="shared" si="55"/>
        <v>9.3600000000000012</v>
      </c>
      <c r="L442" s="413">
        <f t="shared" si="56"/>
        <v>9.3600000000000012</v>
      </c>
      <c r="M442" s="419"/>
    </row>
    <row r="443" spans="1:13" ht="12.75" x14ac:dyDescent="0.2">
      <c r="A443" s="419"/>
      <c r="B443" s="419"/>
      <c r="C443" s="419"/>
      <c r="D443" s="419">
        <v>1</v>
      </c>
      <c r="E443" s="414">
        <v>2.6</v>
      </c>
      <c r="F443" s="419"/>
      <c r="G443" s="414">
        <v>3.8</v>
      </c>
      <c r="H443" s="419"/>
      <c r="I443" s="419"/>
      <c r="J443" s="419"/>
      <c r="K443" s="413">
        <f t="shared" si="55"/>
        <v>9.879999999999999</v>
      </c>
      <c r="L443" s="413">
        <f t="shared" si="56"/>
        <v>9.879999999999999</v>
      </c>
      <c r="M443" s="419"/>
    </row>
    <row r="444" spans="1:13" s="108" customFormat="1" ht="12.75" x14ac:dyDescent="0.2">
      <c r="A444" s="419"/>
      <c r="B444" s="419"/>
      <c r="C444" s="419"/>
      <c r="D444" s="419"/>
      <c r="E444" s="419"/>
      <c r="F444" s="419"/>
      <c r="G444" s="419"/>
      <c r="H444" s="419"/>
      <c r="I444" s="419"/>
      <c r="J444" s="419"/>
      <c r="K444" s="413"/>
      <c r="L444" s="413"/>
      <c r="M444" s="419"/>
    </row>
    <row r="445" spans="1:13" ht="12.75" x14ac:dyDescent="0.2">
      <c r="A445" s="419"/>
      <c r="B445" s="861" t="s">
        <v>883</v>
      </c>
      <c r="C445" s="861"/>
      <c r="D445" s="421">
        <v>1</v>
      </c>
      <c r="E445" s="414">
        <v>8.6999999999999993</v>
      </c>
      <c r="F445" s="415"/>
      <c r="G445" s="415">
        <v>1.53</v>
      </c>
      <c r="H445" s="419"/>
      <c r="I445" s="419"/>
      <c r="J445" s="419"/>
      <c r="K445" s="413">
        <f t="shared" si="55"/>
        <v>13.311</v>
      </c>
      <c r="L445" s="413">
        <f t="shared" si="56"/>
        <v>13.311</v>
      </c>
      <c r="M445" s="419"/>
    </row>
    <row r="446" spans="1:13" ht="12.75" customHeight="1" x14ac:dyDescent="0.2">
      <c r="A446" s="419"/>
      <c r="B446" s="419"/>
      <c r="C446" s="419"/>
      <c r="D446" s="421">
        <v>1</v>
      </c>
      <c r="E446" s="414">
        <v>5.87</v>
      </c>
      <c r="F446" s="415"/>
      <c r="G446" s="415">
        <v>1.2</v>
      </c>
      <c r="H446" s="419"/>
      <c r="I446" s="419"/>
      <c r="J446" s="419"/>
      <c r="K446" s="413">
        <f t="shared" si="55"/>
        <v>7.0439999999999996</v>
      </c>
      <c r="L446" s="413">
        <f t="shared" si="56"/>
        <v>7.0439999999999996</v>
      </c>
      <c r="M446" s="419"/>
    </row>
    <row r="447" spans="1:13" ht="12.75" x14ac:dyDescent="0.2">
      <c r="A447" s="419"/>
      <c r="B447" s="419"/>
      <c r="C447" s="419"/>
      <c r="D447" s="421">
        <v>1</v>
      </c>
      <c r="E447" s="414">
        <v>5.8</v>
      </c>
      <c r="F447" s="415"/>
      <c r="G447" s="415">
        <v>0.85</v>
      </c>
      <c r="H447" s="419"/>
      <c r="I447" s="419"/>
      <c r="J447" s="419"/>
      <c r="K447" s="413">
        <f t="shared" si="55"/>
        <v>4.93</v>
      </c>
      <c r="L447" s="413">
        <f t="shared" si="56"/>
        <v>4.93</v>
      </c>
      <c r="M447" s="419"/>
    </row>
    <row r="448" spans="1:13" ht="12.75" x14ac:dyDescent="0.2">
      <c r="A448" s="419"/>
      <c r="B448" s="419"/>
      <c r="C448" s="419"/>
      <c r="D448" s="421">
        <v>1</v>
      </c>
      <c r="E448" s="414">
        <v>5.8</v>
      </c>
      <c r="F448" s="415"/>
      <c r="G448" s="415">
        <v>0.5</v>
      </c>
      <c r="H448" s="419"/>
      <c r="I448" s="419"/>
      <c r="J448" s="419"/>
      <c r="K448" s="413">
        <f t="shared" si="55"/>
        <v>2.9</v>
      </c>
      <c r="L448" s="413">
        <f t="shared" si="56"/>
        <v>2.9</v>
      </c>
      <c r="M448" s="419"/>
    </row>
    <row r="449" spans="1:13" ht="12.75" customHeight="1" x14ac:dyDescent="0.2">
      <c r="A449" s="109"/>
      <c r="B449" s="859" t="s">
        <v>891</v>
      </c>
      <c r="C449" s="860"/>
      <c r="D449" s="424">
        <v>1</v>
      </c>
      <c r="E449" s="424">
        <v>4.9000000000000004</v>
      </c>
      <c r="F449" s="424"/>
      <c r="G449" s="424">
        <v>24.9</v>
      </c>
      <c r="H449" s="424"/>
      <c r="I449" s="424"/>
      <c r="J449" s="424"/>
      <c r="K449" s="396">
        <f>G449*E449</f>
        <v>122.01</v>
      </c>
      <c r="L449" s="424">
        <f>K449*D449</f>
        <v>122.01</v>
      </c>
      <c r="M449" s="112"/>
    </row>
    <row r="450" spans="1:13" ht="12.75" customHeight="1" x14ac:dyDescent="0.2">
      <c r="A450" s="109"/>
      <c r="B450" s="859" t="s">
        <v>891</v>
      </c>
      <c r="C450" s="860"/>
      <c r="D450" s="424">
        <v>1</v>
      </c>
      <c r="E450" s="424">
        <v>7.6</v>
      </c>
      <c r="F450" s="424"/>
      <c r="G450" s="424">
        <v>24.33</v>
      </c>
      <c r="H450" s="424"/>
      <c r="I450" s="424"/>
      <c r="J450" s="424"/>
      <c r="K450" s="396">
        <f>G450*E450</f>
        <v>184.90799999999999</v>
      </c>
      <c r="L450" s="424">
        <f>K450*D450</f>
        <v>184.90799999999999</v>
      </c>
      <c r="M450" s="112"/>
    </row>
    <row r="451" spans="1:13" ht="13.5" thickBot="1" x14ac:dyDescent="0.25">
      <c r="A451" s="109"/>
      <c r="B451" s="778"/>
      <c r="C451" s="779"/>
      <c r="D451" s="110"/>
      <c r="E451" s="110"/>
      <c r="F451" s="110"/>
      <c r="G451" s="110"/>
      <c r="H451" s="110"/>
      <c r="I451" s="110"/>
      <c r="J451" s="111"/>
      <c r="K451" s="111"/>
      <c r="L451" s="110"/>
      <c r="M451" s="112"/>
    </row>
    <row r="452" spans="1:13" ht="13.5" thickBot="1" x14ac:dyDescent="0.25">
      <c r="A452" s="266" t="s">
        <v>100</v>
      </c>
      <c r="B452" s="267" t="str">
        <f>REPROGRAMAÇÃO!B92</f>
        <v>ÁREA INTERNA</v>
      </c>
      <c r="C452" s="267"/>
      <c r="D452" s="267"/>
      <c r="E452" s="267"/>
      <c r="F452" s="267"/>
      <c r="G452" s="267"/>
      <c r="H452" s="267"/>
      <c r="I452" s="267"/>
      <c r="J452" s="267"/>
      <c r="K452" s="267"/>
      <c r="L452" s="267"/>
      <c r="M452" s="268"/>
    </row>
    <row r="453" spans="1:13" ht="27.75" customHeight="1" x14ac:dyDescent="0.2">
      <c r="A453" s="272" t="s">
        <v>506</v>
      </c>
      <c r="B453" s="782" t="str">
        <f>REPROGRAMAÇÃO!B93</f>
        <v>CAMADA SEPARADORA PARA EXECUÇÃO DE RADIER, PISO DE CONCRETO OU LAJE SOBRE SOLO, EM LONA PLÁSTICA. AF_09/2021</v>
      </c>
      <c r="C453" s="783"/>
      <c r="D453" s="783"/>
      <c r="E453" s="783"/>
      <c r="F453" s="783"/>
      <c r="G453" s="783"/>
      <c r="H453" s="783"/>
      <c r="I453" s="783"/>
      <c r="J453" s="783"/>
      <c r="K453" s="784"/>
      <c r="L453" s="273"/>
      <c r="M453" s="274" t="s">
        <v>400</v>
      </c>
    </row>
    <row r="454" spans="1:13" ht="12.75" x14ac:dyDescent="0.2">
      <c r="A454" s="239"/>
      <c r="B454" s="762" t="s">
        <v>133</v>
      </c>
      <c r="C454" s="763"/>
      <c r="D454" s="249"/>
      <c r="E454" s="249"/>
      <c r="F454" s="249"/>
      <c r="G454" s="249"/>
      <c r="H454" s="249"/>
      <c r="I454" s="249"/>
      <c r="J454" s="250"/>
      <c r="K454" s="250"/>
      <c r="L454" s="250">
        <f>REPROGRAMAÇÃO!F93</f>
        <v>447.41000000000099</v>
      </c>
      <c r="M454" s="250"/>
    </row>
    <row r="455" spans="1:13" ht="12.75" x14ac:dyDescent="0.2">
      <c r="A455" s="239"/>
      <c r="B455" s="764" t="s">
        <v>812</v>
      </c>
      <c r="C455" s="765"/>
      <c r="D455" s="251"/>
      <c r="E455" s="251"/>
      <c r="F455" s="251"/>
      <c r="G455" s="251"/>
      <c r="H455" s="251"/>
      <c r="I455" s="251"/>
      <c r="J455" s="252"/>
      <c r="K455" s="252"/>
      <c r="L455" s="251">
        <f>SUM(L458:L461)</f>
        <v>204.98750000000001</v>
      </c>
      <c r="M455" s="252"/>
    </row>
    <row r="456" spans="1:13" ht="12.75" x14ac:dyDescent="0.2">
      <c r="A456" s="239"/>
      <c r="B456" s="253" t="s">
        <v>813</v>
      </c>
      <c r="C456" s="254"/>
      <c r="D456" s="255"/>
      <c r="E456" s="255"/>
      <c r="F456" s="255"/>
      <c r="G456" s="255"/>
      <c r="H456" s="255"/>
      <c r="I456" s="255"/>
      <c r="J456" s="256"/>
      <c r="K456" s="256"/>
      <c r="L456" s="251">
        <f>L455-L454</f>
        <v>-242.42250000000098</v>
      </c>
      <c r="M456" s="252"/>
    </row>
    <row r="457" spans="1:13" ht="12.75" x14ac:dyDescent="0.2">
      <c r="A457" s="239"/>
      <c r="B457" s="311"/>
      <c r="C457" s="311"/>
      <c r="D457" s="237"/>
      <c r="E457" s="237"/>
      <c r="F457" s="237"/>
      <c r="G457" s="237"/>
      <c r="H457" s="237"/>
      <c r="I457" s="237"/>
      <c r="J457" s="248"/>
      <c r="K457" s="248"/>
      <c r="L457" s="237"/>
      <c r="M457" s="237"/>
    </row>
    <row r="458" spans="1:13" ht="12.75" x14ac:dyDescent="0.2">
      <c r="A458" s="239"/>
      <c r="B458" s="760" t="s">
        <v>369</v>
      </c>
      <c r="C458" s="760"/>
      <c r="D458" s="420">
        <v>1</v>
      </c>
      <c r="E458" s="414">
        <v>5.43</v>
      </c>
      <c r="F458" s="416"/>
      <c r="G458" s="414">
        <v>8.75</v>
      </c>
      <c r="H458" s="416"/>
      <c r="I458" s="416"/>
      <c r="J458" s="416"/>
      <c r="K458" s="423">
        <f>G458*E458</f>
        <v>47.512499999999996</v>
      </c>
      <c r="L458" s="423">
        <f>K458*D458</f>
        <v>47.512499999999996</v>
      </c>
      <c r="M458" s="416"/>
    </row>
    <row r="459" spans="1:13" ht="12.75" x14ac:dyDescent="0.2">
      <c r="A459" s="113"/>
      <c r="B459" s="780" t="s">
        <v>371</v>
      </c>
      <c r="C459" s="781"/>
      <c r="D459" s="420">
        <v>1</v>
      </c>
      <c r="E459" s="414">
        <v>13.5</v>
      </c>
      <c r="F459" s="416"/>
      <c r="G459" s="414">
        <v>7.7</v>
      </c>
      <c r="H459" s="416"/>
      <c r="I459" s="416"/>
      <c r="J459" s="416"/>
      <c r="K459" s="423">
        <f t="shared" ref="K459:K461" si="57">G459*E459</f>
        <v>103.95</v>
      </c>
      <c r="L459" s="423">
        <f t="shared" ref="L459:L461" si="58">K459*D459</f>
        <v>103.95</v>
      </c>
      <c r="M459" s="416"/>
    </row>
    <row r="460" spans="1:13" ht="12.75" x14ac:dyDescent="0.2">
      <c r="A460" s="113"/>
      <c r="B460" s="780" t="s">
        <v>892</v>
      </c>
      <c r="C460" s="781"/>
      <c r="D460" s="420">
        <v>1</v>
      </c>
      <c r="E460" s="414">
        <v>8.3000000000000007</v>
      </c>
      <c r="F460" s="416"/>
      <c r="G460" s="414">
        <v>5</v>
      </c>
      <c r="H460" s="416"/>
      <c r="I460" s="416"/>
      <c r="J460" s="416"/>
      <c r="K460" s="423">
        <f t="shared" si="57"/>
        <v>41.5</v>
      </c>
      <c r="L460" s="423">
        <f t="shared" si="58"/>
        <v>41.5</v>
      </c>
      <c r="M460" s="416"/>
    </row>
    <row r="461" spans="1:13" ht="12.75" x14ac:dyDescent="0.2">
      <c r="A461" s="113"/>
      <c r="B461" s="780" t="s">
        <v>894</v>
      </c>
      <c r="C461" s="781"/>
      <c r="D461" s="420">
        <v>1</v>
      </c>
      <c r="E461" s="414">
        <v>9.25</v>
      </c>
      <c r="F461" s="416"/>
      <c r="G461" s="414">
        <v>1.3</v>
      </c>
      <c r="H461" s="416"/>
      <c r="I461" s="416"/>
      <c r="J461" s="416"/>
      <c r="K461" s="423">
        <f t="shared" si="57"/>
        <v>12.025</v>
      </c>
      <c r="L461" s="423">
        <f t="shared" si="58"/>
        <v>12.025</v>
      </c>
      <c r="M461" s="416"/>
    </row>
    <row r="462" spans="1:13" ht="12.75" x14ac:dyDescent="0.2">
      <c r="A462" s="113"/>
      <c r="B462" s="780"/>
      <c r="C462" s="781"/>
      <c r="D462" s="420"/>
      <c r="E462" s="414"/>
      <c r="F462" s="416"/>
      <c r="G462" s="414"/>
      <c r="H462" s="416"/>
      <c r="I462" s="416"/>
      <c r="J462" s="416"/>
      <c r="K462" s="423"/>
      <c r="L462" s="423"/>
      <c r="M462" s="416"/>
    </row>
    <row r="463" spans="1:13" ht="12.75" x14ac:dyDescent="0.2">
      <c r="A463" s="113"/>
      <c r="B463" s="778"/>
      <c r="C463" s="779"/>
      <c r="D463" s="110"/>
      <c r="E463" s="110"/>
      <c r="F463" s="110"/>
      <c r="G463" s="110"/>
      <c r="H463" s="118"/>
      <c r="I463" s="118"/>
      <c r="J463" s="117"/>
      <c r="K463" s="117"/>
      <c r="L463" s="118"/>
      <c r="M463" s="114"/>
    </row>
    <row r="464" spans="1:13" ht="12.75" x14ac:dyDescent="0.2">
      <c r="A464" s="272" t="s">
        <v>507</v>
      </c>
      <c r="B464" s="782" t="str">
        <f>REPROGRAMAÇÃO!B94</f>
        <v>LASTRO DE CONCRETO MAGRO, APLICADO EM PISOS, LAJES SOBRE SOLO OU RADIERS, ESPESSURA DE 5 CM. AF_07/2016</v>
      </c>
      <c r="C464" s="783"/>
      <c r="D464" s="783"/>
      <c r="E464" s="783"/>
      <c r="F464" s="783"/>
      <c r="G464" s="783"/>
      <c r="H464" s="783"/>
      <c r="I464" s="783"/>
      <c r="J464" s="783"/>
      <c r="K464" s="784"/>
      <c r="L464" s="273"/>
      <c r="M464" s="274" t="s">
        <v>400</v>
      </c>
    </row>
    <row r="465" spans="1:13" ht="12.75" x14ac:dyDescent="0.2">
      <c r="A465" s="239"/>
      <c r="B465" s="762" t="s">
        <v>133</v>
      </c>
      <c r="C465" s="763"/>
      <c r="D465" s="249"/>
      <c r="E465" s="249"/>
      <c r="F465" s="249"/>
      <c r="G465" s="249"/>
      <c r="H465" s="249"/>
      <c r="I465" s="249"/>
      <c r="J465" s="250"/>
      <c r="K465" s="250"/>
      <c r="L465" s="250">
        <f>REPROGRAMAÇÃO!F94</f>
        <v>447.41000000000099</v>
      </c>
      <c r="M465" s="250"/>
    </row>
    <row r="466" spans="1:13" ht="12.75" x14ac:dyDescent="0.2">
      <c r="A466" s="239"/>
      <c r="B466" s="764" t="s">
        <v>812</v>
      </c>
      <c r="C466" s="765"/>
      <c r="D466" s="251"/>
      <c r="E466" s="251"/>
      <c r="F466" s="251"/>
      <c r="G466" s="251"/>
      <c r="H466" s="251"/>
      <c r="I466" s="251"/>
      <c r="J466" s="252"/>
      <c r="K466" s="252"/>
      <c r="L466" s="251">
        <f>SUM(L469:L483)</f>
        <v>425.16989999999993</v>
      </c>
      <c r="M466" s="252"/>
    </row>
    <row r="467" spans="1:13" ht="12.75" x14ac:dyDescent="0.2">
      <c r="A467" s="239"/>
      <c r="B467" s="253" t="s">
        <v>813</v>
      </c>
      <c r="C467" s="254"/>
      <c r="D467" s="255"/>
      <c r="E467" s="255"/>
      <c r="F467" s="255"/>
      <c r="G467" s="255"/>
      <c r="H467" s="255"/>
      <c r="I467" s="255"/>
      <c r="J467" s="256"/>
      <c r="K467" s="256"/>
      <c r="L467" s="251">
        <f>L466-L465</f>
        <v>-22.240100000001064</v>
      </c>
      <c r="M467" s="252"/>
    </row>
    <row r="468" spans="1:13" ht="12.75" x14ac:dyDescent="0.2">
      <c r="A468" s="239"/>
      <c r="B468" s="311"/>
      <c r="C468" s="311"/>
      <c r="D468" s="237"/>
      <c r="E468" s="237"/>
      <c r="F468" s="237"/>
      <c r="G468" s="237"/>
      <c r="H468" s="237"/>
      <c r="I468" s="237"/>
      <c r="J468" s="248"/>
      <c r="K468" s="248"/>
      <c r="L468" s="237"/>
      <c r="M468" s="237"/>
    </row>
    <row r="469" spans="1:13" ht="12.75" x14ac:dyDescent="0.2">
      <c r="A469" s="239"/>
      <c r="B469" s="785" t="s">
        <v>369</v>
      </c>
      <c r="C469" s="785"/>
      <c r="D469" s="465">
        <v>1</v>
      </c>
      <c r="E469" s="465">
        <v>5.43</v>
      </c>
      <c r="F469" s="465"/>
      <c r="G469" s="465">
        <v>8.75</v>
      </c>
      <c r="H469" s="465"/>
      <c r="I469" s="465"/>
      <c r="J469" s="466"/>
      <c r="K469" s="435">
        <v>47.512499999999996</v>
      </c>
      <c r="L469" s="444">
        <v>47.51</v>
      </c>
      <c r="M469" s="416"/>
    </row>
    <row r="470" spans="1:13" ht="12.75" x14ac:dyDescent="0.2">
      <c r="A470" s="113"/>
      <c r="B470" s="785" t="s">
        <v>370</v>
      </c>
      <c r="C470" s="785"/>
      <c r="D470" s="465">
        <v>1</v>
      </c>
      <c r="E470" s="465">
        <v>13.499999999999998</v>
      </c>
      <c r="F470" s="465"/>
      <c r="G470" s="465">
        <v>7.7</v>
      </c>
      <c r="H470" s="465"/>
      <c r="I470" s="465"/>
      <c r="J470" s="466"/>
      <c r="K470" s="435">
        <v>103.94999999999999</v>
      </c>
      <c r="L470" s="444">
        <v>103.95</v>
      </c>
      <c r="M470" s="416"/>
    </row>
    <row r="471" spans="1:13" ht="12.75" x14ac:dyDescent="0.2">
      <c r="A471" s="113"/>
      <c r="B471" s="785" t="s">
        <v>892</v>
      </c>
      <c r="C471" s="785"/>
      <c r="D471" s="465">
        <v>1</v>
      </c>
      <c r="E471" s="465">
        <v>8.3000000000000007</v>
      </c>
      <c r="F471" s="465"/>
      <c r="G471" s="465">
        <v>5</v>
      </c>
      <c r="H471" s="465"/>
      <c r="I471" s="465"/>
      <c r="J471" s="466"/>
      <c r="K471" s="435">
        <v>41.5</v>
      </c>
      <c r="L471" s="444">
        <v>41.5</v>
      </c>
      <c r="M471" s="416"/>
    </row>
    <row r="472" spans="1:13" ht="12.75" x14ac:dyDescent="0.2">
      <c r="A472" s="113"/>
      <c r="B472" s="785" t="s">
        <v>893</v>
      </c>
      <c r="C472" s="785"/>
      <c r="D472" s="465">
        <v>1</v>
      </c>
      <c r="E472" s="465">
        <v>9.25</v>
      </c>
      <c r="F472" s="465"/>
      <c r="G472" s="465">
        <v>1.3</v>
      </c>
      <c r="H472" s="465"/>
      <c r="I472" s="465"/>
      <c r="J472" s="466"/>
      <c r="K472" s="435">
        <v>12.025</v>
      </c>
      <c r="L472" s="444">
        <v>12.03</v>
      </c>
      <c r="M472" s="416"/>
    </row>
    <row r="473" spans="1:13" ht="12.75" x14ac:dyDescent="0.2">
      <c r="A473" s="113"/>
      <c r="B473" s="760" t="s">
        <v>897</v>
      </c>
      <c r="C473" s="760"/>
      <c r="D473" s="465">
        <v>1</v>
      </c>
      <c r="E473" s="465">
        <v>3.5</v>
      </c>
      <c r="F473" s="465"/>
      <c r="G473" s="465">
        <v>18.899999999999999</v>
      </c>
      <c r="H473" s="465"/>
      <c r="I473" s="418"/>
      <c r="J473" s="418"/>
      <c r="K473" s="433">
        <v>66.149999999999991</v>
      </c>
      <c r="L473" s="433">
        <v>66.149999999999991</v>
      </c>
    </row>
    <row r="474" spans="1:13" ht="12.75" x14ac:dyDescent="0.2">
      <c r="A474" s="113"/>
      <c r="B474" s="760" t="s">
        <v>898</v>
      </c>
      <c r="C474" s="760"/>
      <c r="D474" s="465">
        <v>1</v>
      </c>
      <c r="E474" s="465">
        <v>1.5</v>
      </c>
      <c r="F474" s="465"/>
      <c r="G474" s="465">
        <v>11</v>
      </c>
      <c r="H474" s="465"/>
      <c r="I474" s="465"/>
      <c r="J474" s="466"/>
      <c r="K474" s="435">
        <v>16.5</v>
      </c>
      <c r="L474" s="444">
        <v>16.5</v>
      </c>
    </row>
    <row r="475" spans="1:13" ht="12.75" x14ac:dyDescent="0.2">
      <c r="A475" s="113"/>
      <c r="B475" s="785" t="s">
        <v>899</v>
      </c>
      <c r="C475" s="785"/>
      <c r="D475" s="465">
        <v>2</v>
      </c>
      <c r="E475" s="465">
        <v>1.67</v>
      </c>
      <c r="F475" s="465"/>
      <c r="G475" s="465">
        <v>3.86</v>
      </c>
      <c r="H475" s="465"/>
      <c r="I475" s="465"/>
      <c r="J475" s="466"/>
      <c r="K475" s="435">
        <v>6.4461999999999993</v>
      </c>
      <c r="L475" s="444">
        <v>12.892399999999999</v>
      </c>
    </row>
    <row r="476" spans="1:13" ht="12.75" x14ac:dyDescent="0.2">
      <c r="A476" s="113"/>
      <c r="B476" s="863" t="s">
        <v>900</v>
      </c>
      <c r="C476" s="863"/>
      <c r="D476" s="416">
        <v>2</v>
      </c>
      <c r="E476" s="416">
        <v>0.44999999999999996</v>
      </c>
      <c r="F476" s="416"/>
      <c r="G476" s="416">
        <v>13.5</v>
      </c>
      <c r="H476" s="416"/>
      <c r="I476" s="416"/>
      <c r="J476" s="416"/>
      <c r="K476" s="435">
        <v>6.0749999999999993</v>
      </c>
      <c r="L476" s="444">
        <v>12.149999999999999</v>
      </c>
    </row>
    <row r="477" spans="1:13" ht="12.75" x14ac:dyDescent="0.2">
      <c r="A477" s="113"/>
      <c r="B477" s="864" t="s">
        <v>110</v>
      </c>
      <c r="C477" s="864"/>
      <c r="D477" s="465"/>
      <c r="E477" s="465"/>
      <c r="F477" s="465"/>
      <c r="G477" s="465"/>
      <c r="H477" s="465"/>
      <c r="I477" s="465"/>
      <c r="J477" s="466"/>
      <c r="K477" s="435"/>
      <c r="L477" s="444"/>
    </row>
    <row r="478" spans="1:13" ht="12.75" x14ac:dyDescent="0.2">
      <c r="A478" s="113"/>
      <c r="B478" s="785" t="s">
        <v>901</v>
      </c>
      <c r="C478" s="785"/>
      <c r="D478" s="465">
        <v>1</v>
      </c>
      <c r="E478" s="465">
        <v>1.5</v>
      </c>
      <c r="F478" s="465"/>
      <c r="G478" s="465">
        <v>26</v>
      </c>
      <c r="H478" s="465"/>
      <c r="I478" s="465"/>
      <c r="J478" s="466"/>
      <c r="K478" s="444">
        <v>39</v>
      </c>
      <c r="L478" s="444">
        <v>39</v>
      </c>
    </row>
    <row r="479" spans="1:13" ht="12.75" x14ac:dyDescent="0.2">
      <c r="A479" s="113"/>
      <c r="B479" s="862" t="s">
        <v>902</v>
      </c>
      <c r="C479" s="862"/>
      <c r="D479" s="465">
        <v>1</v>
      </c>
      <c r="E479" s="465">
        <v>4.3</v>
      </c>
      <c r="F479" s="465"/>
      <c r="G479" s="465">
        <v>2.65</v>
      </c>
      <c r="H479" s="465"/>
      <c r="I479" s="465"/>
      <c r="J479" s="465"/>
      <c r="K479" s="444">
        <v>11.395</v>
      </c>
      <c r="L479" s="444">
        <v>11.395</v>
      </c>
    </row>
    <row r="480" spans="1:13" ht="12.75" x14ac:dyDescent="0.2">
      <c r="A480" s="113"/>
      <c r="B480" s="862" t="s">
        <v>903</v>
      </c>
      <c r="C480" s="862"/>
      <c r="D480" s="465">
        <v>1</v>
      </c>
      <c r="E480" s="465">
        <v>7.1</v>
      </c>
      <c r="F480" s="465"/>
      <c r="G480" s="465">
        <v>2.35</v>
      </c>
      <c r="H480" s="465"/>
      <c r="I480" s="465"/>
      <c r="J480" s="465"/>
      <c r="K480" s="444">
        <v>16.684999999999999</v>
      </c>
      <c r="L480" s="444">
        <v>16.684999999999999</v>
      </c>
    </row>
    <row r="481" spans="1:13" ht="12.75" x14ac:dyDescent="0.2">
      <c r="A481" s="113"/>
      <c r="B481" s="862" t="s">
        <v>904</v>
      </c>
      <c r="C481" s="862"/>
      <c r="D481" s="465">
        <v>1</v>
      </c>
      <c r="E481" s="465">
        <v>6.85</v>
      </c>
      <c r="F481" s="465"/>
      <c r="G481" s="465">
        <v>1.35</v>
      </c>
      <c r="H481" s="465"/>
      <c r="I481" s="465"/>
      <c r="J481" s="465"/>
      <c r="K481" s="444">
        <v>9.2475000000000005</v>
      </c>
      <c r="L481" s="444">
        <v>9.2475000000000005</v>
      </c>
    </row>
    <row r="482" spans="1:13" ht="12.75" x14ac:dyDescent="0.2">
      <c r="A482" s="113"/>
      <c r="B482" s="862" t="s">
        <v>905</v>
      </c>
      <c r="C482" s="862"/>
      <c r="D482" s="465">
        <v>2</v>
      </c>
      <c r="E482" s="465">
        <v>1.7</v>
      </c>
      <c r="F482" s="465"/>
      <c r="G482" s="465">
        <v>1.9</v>
      </c>
      <c r="H482" s="465"/>
      <c r="I482" s="465"/>
      <c r="J482" s="465"/>
      <c r="K482" s="444">
        <v>3.23</v>
      </c>
      <c r="L482" s="444">
        <v>6.46</v>
      </c>
    </row>
    <row r="483" spans="1:13" ht="12.75" x14ac:dyDescent="0.2">
      <c r="A483" s="113"/>
      <c r="B483" s="760" t="s">
        <v>906</v>
      </c>
      <c r="C483" s="760"/>
      <c r="D483" s="465">
        <v>1</v>
      </c>
      <c r="E483" s="465">
        <v>18</v>
      </c>
      <c r="F483" s="418"/>
      <c r="G483" s="465">
        <v>1.65</v>
      </c>
      <c r="H483" s="418"/>
      <c r="I483" s="418"/>
      <c r="J483" s="418"/>
      <c r="K483" s="444">
        <v>29.7</v>
      </c>
      <c r="L483" s="444">
        <v>29.7</v>
      </c>
      <c r="M483" s="427"/>
    </row>
    <row r="484" spans="1:13" ht="12.75" x14ac:dyDescent="0.2">
      <c r="A484" s="113"/>
      <c r="B484" s="430"/>
      <c r="C484" s="430"/>
      <c r="D484" s="460"/>
      <c r="E484" s="434"/>
      <c r="F484" s="459"/>
      <c r="G484" s="434"/>
      <c r="H484" s="459"/>
      <c r="I484" s="460"/>
      <c r="J484" s="459"/>
      <c r="K484" s="237"/>
      <c r="L484" s="237"/>
      <c r="M484" s="427"/>
    </row>
    <row r="485" spans="1:13" ht="12.75" x14ac:dyDescent="0.2">
      <c r="A485" s="113"/>
      <c r="B485" s="431"/>
      <c r="C485" s="438"/>
      <c r="D485" s="437"/>
      <c r="E485" s="441"/>
      <c r="F485" s="440"/>
      <c r="G485" s="441"/>
      <c r="H485" s="440"/>
      <c r="I485" s="437"/>
      <c r="J485" s="440"/>
      <c r="K485" s="436"/>
      <c r="L485" s="439"/>
      <c r="M485" s="427"/>
    </row>
    <row r="486" spans="1:13" ht="27.75" customHeight="1" x14ac:dyDescent="0.2">
      <c r="A486" s="272" t="s">
        <v>508</v>
      </c>
      <c r="B486" s="856" t="str">
        <f>REPROGRAMAÇÃO!B95</f>
        <v>Fornecimento e instalação de tela aço soldada nervurada CA-60, Q-92, malha 15x15cm, ferro 4.2mm (1.48 kg/m2), painel 2,45x6,0m, Telcon ou similar</v>
      </c>
      <c r="C486" s="857"/>
      <c r="D486" s="857"/>
      <c r="E486" s="857"/>
      <c r="F486" s="857"/>
      <c r="G486" s="857"/>
      <c r="H486" s="857"/>
      <c r="I486" s="857"/>
      <c r="J486" s="857"/>
      <c r="K486" s="858"/>
      <c r="L486" s="425"/>
      <c r="M486" s="426" t="s">
        <v>400</v>
      </c>
    </row>
    <row r="487" spans="1:13" ht="12.75" x14ac:dyDescent="0.2">
      <c r="A487" s="239"/>
      <c r="B487" s="762" t="s">
        <v>133</v>
      </c>
      <c r="C487" s="763"/>
      <c r="D487" s="249"/>
      <c r="E487" s="249"/>
      <c r="F487" s="249"/>
      <c r="G487" s="249"/>
      <c r="H487" s="249"/>
      <c r="I487" s="249"/>
      <c r="J487" s="250"/>
      <c r="K487" s="250"/>
      <c r="L487" s="250">
        <f>REPROGRAMAÇÃO!F95</f>
        <v>447.41000000000099</v>
      </c>
      <c r="M487" s="250"/>
    </row>
    <row r="488" spans="1:13" ht="12.75" x14ac:dyDescent="0.2">
      <c r="A488" s="239"/>
      <c r="B488" s="764" t="s">
        <v>812</v>
      </c>
      <c r="C488" s="765"/>
      <c r="D488" s="251"/>
      <c r="E488" s="251"/>
      <c r="F488" s="251"/>
      <c r="G488" s="251"/>
      <c r="H488" s="251"/>
      <c r="I488" s="251"/>
      <c r="J488" s="252"/>
      <c r="K488" s="252"/>
      <c r="L488" s="251">
        <f>SUM(L491:L494)</f>
        <v>204.98750000000001</v>
      </c>
      <c r="M488" s="252"/>
    </row>
    <row r="489" spans="1:13" ht="12.75" x14ac:dyDescent="0.2">
      <c r="A489" s="239"/>
      <c r="B489" s="253" t="s">
        <v>813</v>
      </c>
      <c r="C489" s="254"/>
      <c r="D489" s="255"/>
      <c r="E489" s="255"/>
      <c r="F489" s="255"/>
      <c r="G489" s="255"/>
      <c r="H489" s="255"/>
      <c r="I489" s="255"/>
      <c r="J489" s="256"/>
      <c r="K489" s="256"/>
      <c r="L489" s="251">
        <f>L488-L487</f>
        <v>-242.42250000000098</v>
      </c>
      <c r="M489" s="252"/>
    </row>
    <row r="490" spans="1:13" ht="12.75" x14ac:dyDescent="0.2">
      <c r="A490" s="239"/>
      <c r="B490" s="311"/>
      <c r="C490" s="311"/>
      <c r="D490" s="237"/>
      <c r="E490" s="237"/>
      <c r="F490" s="237"/>
      <c r="G490" s="237"/>
      <c r="H490" s="237"/>
      <c r="I490" s="237"/>
      <c r="J490" s="248"/>
      <c r="K490" s="248"/>
      <c r="L490" s="237"/>
      <c r="M490" s="237"/>
    </row>
    <row r="491" spans="1:13" ht="12.75" x14ac:dyDescent="0.2">
      <c r="A491" s="239"/>
      <c r="B491" s="760" t="s">
        <v>369</v>
      </c>
      <c r="C491" s="760"/>
      <c r="D491" s="420">
        <v>1</v>
      </c>
      <c r="E491" s="414">
        <v>5.43</v>
      </c>
      <c r="F491" s="416"/>
      <c r="G491" s="414">
        <v>8.75</v>
      </c>
      <c r="H491" s="416"/>
      <c r="I491" s="416"/>
      <c r="J491" s="416"/>
      <c r="K491" s="423">
        <f>G491*E491</f>
        <v>47.512499999999996</v>
      </c>
      <c r="L491" s="423">
        <f>K491*D491</f>
        <v>47.512499999999996</v>
      </c>
      <c r="M491" s="416"/>
    </row>
    <row r="492" spans="1:13" ht="12.75" x14ac:dyDescent="0.2">
      <c r="A492" s="113"/>
      <c r="B492" s="780" t="s">
        <v>371</v>
      </c>
      <c r="C492" s="781"/>
      <c r="D492" s="420">
        <v>1</v>
      </c>
      <c r="E492" s="414">
        <v>13.5</v>
      </c>
      <c r="F492" s="416"/>
      <c r="G492" s="414">
        <v>7.7</v>
      </c>
      <c r="H492" s="416"/>
      <c r="I492" s="416"/>
      <c r="J492" s="416"/>
      <c r="K492" s="423">
        <f t="shared" ref="K492:K494" si="59">G492*E492</f>
        <v>103.95</v>
      </c>
      <c r="L492" s="423">
        <f t="shared" ref="L492:L494" si="60">K492*D492</f>
        <v>103.95</v>
      </c>
      <c r="M492" s="416"/>
    </row>
    <row r="493" spans="1:13" ht="12.75" x14ac:dyDescent="0.2">
      <c r="A493" s="113"/>
      <c r="B493" s="780" t="s">
        <v>892</v>
      </c>
      <c r="C493" s="781"/>
      <c r="D493" s="420">
        <v>1</v>
      </c>
      <c r="E493" s="414">
        <v>8.3000000000000007</v>
      </c>
      <c r="F493" s="416"/>
      <c r="G493" s="414">
        <v>5</v>
      </c>
      <c r="H493" s="416"/>
      <c r="I493" s="416"/>
      <c r="J493" s="416"/>
      <c r="K493" s="423">
        <f t="shared" si="59"/>
        <v>41.5</v>
      </c>
      <c r="L493" s="423">
        <f t="shared" si="60"/>
        <v>41.5</v>
      </c>
      <c r="M493" s="416"/>
    </row>
    <row r="494" spans="1:13" ht="12.75" x14ac:dyDescent="0.2">
      <c r="A494" s="113"/>
      <c r="B494" s="780" t="s">
        <v>894</v>
      </c>
      <c r="C494" s="781"/>
      <c r="D494" s="420">
        <v>1</v>
      </c>
      <c r="E494" s="414">
        <v>9.25</v>
      </c>
      <c r="F494" s="416"/>
      <c r="G494" s="414">
        <v>1.3</v>
      </c>
      <c r="H494" s="416"/>
      <c r="I494" s="416"/>
      <c r="J494" s="416"/>
      <c r="K494" s="423">
        <f t="shared" si="59"/>
        <v>12.025</v>
      </c>
      <c r="L494" s="423">
        <f t="shared" si="60"/>
        <v>12.025</v>
      </c>
      <c r="M494" s="416"/>
    </row>
    <row r="495" spans="1:13" ht="12.75" x14ac:dyDescent="0.2">
      <c r="A495" s="113"/>
      <c r="B495" s="131"/>
      <c r="C495" s="132"/>
      <c r="D495" s="133"/>
      <c r="E495" s="133"/>
      <c r="F495" s="118"/>
      <c r="G495" s="118"/>
      <c r="H495" s="117"/>
      <c r="I495" s="117"/>
      <c r="J495" s="117"/>
      <c r="K495" s="117"/>
      <c r="L495" s="118"/>
      <c r="M495" s="114"/>
    </row>
    <row r="496" spans="1:13" ht="36.75" customHeight="1" x14ac:dyDescent="0.2">
      <c r="A496" s="272" t="s">
        <v>509</v>
      </c>
      <c r="B496" s="782" t="s">
        <v>510</v>
      </c>
      <c r="C496" s="783"/>
      <c r="D496" s="783"/>
      <c r="E496" s="783"/>
      <c r="F496" s="783"/>
      <c r="G496" s="783"/>
      <c r="H496" s="783"/>
      <c r="I496" s="783"/>
      <c r="J496" s="783"/>
      <c r="K496" s="784"/>
      <c r="L496" s="273"/>
      <c r="M496" s="274" t="s">
        <v>400</v>
      </c>
    </row>
    <row r="497" spans="1:13" ht="12.75" x14ac:dyDescent="0.2">
      <c r="A497" s="239"/>
      <c r="B497" s="762" t="s">
        <v>133</v>
      </c>
      <c r="C497" s="763"/>
      <c r="D497" s="249"/>
      <c r="E497" s="249"/>
      <c r="F497" s="249"/>
      <c r="G497" s="249"/>
      <c r="H497" s="249"/>
      <c r="I497" s="249"/>
      <c r="J497" s="250"/>
      <c r="K497" s="250"/>
      <c r="L497" s="250">
        <f>REPROGRAMAÇÃO!F95</f>
        <v>447.41000000000099</v>
      </c>
      <c r="M497" s="250"/>
    </row>
    <row r="498" spans="1:13" ht="12.75" x14ac:dyDescent="0.2">
      <c r="A498" s="239"/>
      <c r="B498" s="764" t="s">
        <v>812</v>
      </c>
      <c r="C498" s="765"/>
      <c r="D498" s="251"/>
      <c r="E498" s="251"/>
      <c r="F498" s="251"/>
      <c r="G498" s="251"/>
      <c r="H498" s="251"/>
      <c r="I498" s="251"/>
      <c r="J498" s="252"/>
      <c r="K498" s="252"/>
      <c r="L498" s="251">
        <f>SUM(L501:L518)</f>
        <v>463.3223999999999</v>
      </c>
      <c r="M498" s="252"/>
    </row>
    <row r="499" spans="1:13" ht="12.75" x14ac:dyDescent="0.2">
      <c r="A499" s="239"/>
      <c r="B499" s="253" t="s">
        <v>813</v>
      </c>
      <c r="C499" s="254"/>
      <c r="D499" s="255"/>
      <c r="E499" s="255"/>
      <c r="F499" s="255"/>
      <c r="G499" s="255"/>
      <c r="H499" s="255"/>
      <c r="I499" s="255"/>
      <c r="J499" s="256"/>
      <c r="K499" s="256"/>
      <c r="L499" s="251">
        <f>L498-L497</f>
        <v>15.912399999998911</v>
      </c>
      <c r="M499" s="252"/>
    </row>
    <row r="500" spans="1:13" ht="12.75" x14ac:dyDescent="0.2">
      <c r="A500" s="239"/>
      <c r="B500" s="311"/>
      <c r="C500" s="311"/>
      <c r="D500" s="237"/>
      <c r="E500" s="237"/>
      <c r="F500" s="237"/>
      <c r="G500" s="237"/>
      <c r="H500" s="237"/>
      <c r="I500" s="237"/>
      <c r="J500" s="248"/>
      <c r="K500" s="248"/>
      <c r="L500" s="237"/>
      <c r="M500" s="237"/>
    </row>
    <row r="501" spans="1:13" ht="12.75" x14ac:dyDescent="0.2">
      <c r="A501" s="239"/>
      <c r="B501" s="785" t="s">
        <v>369</v>
      </c>
      <c r="C501" s="785"/>
      <c r="D501" s="474">
        <v>1</v>
      </c>
      <c r="E501" s="474">
        <v>5.43</v>
      </c>
      <c r="F501" s="474"/>
      <c r="G501" s="474">
        <v>8.75</v>
      </c>
      <c r="H501" s="474"/>
      <c r="I501" s="474"/>
      <c r="J501" s="466"/>
      <c r="K501" s="435">
        <f>G501*E501</f>
        <v>47.512499999999996</v>
      </c>
      <c r="L501" s="444">
        <f>K501*D501</f>
        <v>47.512499999999996</v>
      </c>
      <c r="M501" s="476"/>
    </row>
    <row r="502" spans="1:13" ht="12.75" x14ac:dyDescent="0.2">
      <c r="A502" s="113"/>
      <c r="B502" s="785" t="s">
        <v>370</v>
      </c>
      <c r="C502" s="785"/>
      <c r="D502" s="474">
        <v>1</v>
      </c>
      <c r="E502" s="474">
        <v>13.499999999999998</v>
      </c>
      <c r="F502" s="474"/>
      <c r="G502" s="474">
        <v>7.7</v>
      </c>
      <c r="H502" s="474"/>
      <c r="I502" s="474"/>
      <c r="J502" s="466"/>
      <c r="K502" s="435">
        <f t="shared" ref="K502:K518" si="61">G502*E502</f>
        <v>103.94999999999999</v>
      </c>
      <c r="L502" s="444">
        <f t="shared" ref="L502:L518" si="62">K502*D502</f>
        <v>103.94999999999999</v>
      </c>
      <c r="M502" s="476"/>
    </row>
    <row r="503" spans="1:13" ht="12.75" x14ac:dyDescent="0.2">
      <c r="A503" s="113"/>
      <c r="B503" s="785" t="s">
        <v>892</v>
      </c>
      <c r="C503" s="785"/>
      <c r="D503" s="474">
        <v>1</v>
      </c>
      <c r="E503" s="474">
        <v>8.3000000000000007</v>
      </c>
      <c r="F503" s="474"/>
      <c r="G503" s="474">
        <v>5</v>
      </c>
      <c r="H503" s="474"/>
      <c r="I503" s="474"/>
      <c r="J503" s="466"/>
      <c r="K503" s="435">
        <f t="shared" si="61"/>
        <v>41.5</v>
      </c>
      <c r="L503" s="444">
        <f t="shared" si="62"/>
        <v>41.5</v>
      </c>
      <c r="M503" s="476"/>
    </row>
    <row r="504" spans="1:13" ht="12.75" x14ac:dyDescent="0.2">
      <c r="A504" s="113"/>
      <c r="B504" s="785" t="s">
        <v>893</v>
      </c>
      <c r="C504" s="785"/>
      <c r="D504" s="474">
        <v>1</v>
      </c>
      <c r="E504" s="474">
        <v>9.25</v>
      </c>
      <c r="F504" s="474"/>
      <c r="G504" s="474">
        <v>1.3</v>
      </c>
      <c r="H504" s="474"/>
      <c r="I504" s="474"/>
      <c r="J504" s="466"/>
      <c r="K504" s="435">
        <f t="shared" si="61"/>
        <v>12.025</v>
      </c>
      <c r="L504" s="444">
        <f t="shared" si="62"/>
        <v>12.025</v>
      </c>
      <c r="M504" s="476"/>
    </row>
    <row r="505" spans="1:13" ht="12.75" x14ac:dyDescent="0.2">
      <c r="A505" s="113"/>
      <c r="B505" s="760" t="s">
        <v>897</v>
      </c>
      <c r="C505" s="760"/>
      <c r="D505" s="474">
        <v>1</v>
      </c>
      <c r="E505" s="474">
        <v>3.5</v>
      </c>
      <c r="F505" s="474"/>
      <c r="G505" s="474">
        <v>18.899999999999999</v>
      </c>
      <c r="H505" s="474"/>
      <c r="I505" s="477"/>
      <c r="J505" s="477"/>
      <c r="K505" s="435">
        <f t="shared" si="61"/>
        <v>66.149999999999991</v>
      </c>
      <c r="L505" s="444">
        <f t="shared" si="62"/>
        <v>66.149999999999991</v>
      </c>
      <c r="M505" s="473"/>
    </row>
    <row r="506" spans="1:13" ht="12.75" x14ac:dyDescent="0.2">
      <c r="A506" s="113"/>
      <c r="B506" s="760" t="s">
        <v>898</v>
      </c>
      <c r="C506" s="760"/>
      <c r="D506" s="474">
        <v>1</v>
      </c>
      <c r="E506" s="474">
        <v>1.5</v>
      </c>
      <c r="F506" s="474"/>
      <c r="G506" s="474">
        <v>11</v>
      </c>
      <c r="H506" s="474"/>
      <c r="I506" s="474"/>
      <c r="J506" s="466"/>
      <c r="K506" s="435">
        <f t="shared" si="61"/>
        <v>16.5</v>
      </c>
      <c r="L506" s="444">
        <f t="shared" si="62"/>
        <v>16.5</v>
      </c>
      <c r="M506" s="473"/>
    </row>
    <row r="507" spans="1:13" ht="12.75" x14ac:dyDescent="0.2">
      <c r="A507" s="113"/>
      <c r="B507" s="785" t="s">
        <v>899</v>
      </c>
      <c r="C507" s="785"/>
      <c r="D507" s="474">
        <v>2</v>
      </c>
      <c r="E507" s="474">
        <v>1.67</v>
      </c>
      <c r="F507" s="474"/>
      <c r="G507" s="474">
        <v>3.86</v>
      </c>
      <c r="H507" s="474"/>
      <c r="I507" s="474"/>
      <c r="J507" s="466"/>
      <c r="K507" s="435">
        <f t="shared" si="61"/>
        <v>6.4461999999999993</v>
      </c>
      <c r="L507" s="444">
        <f t="shared" si="62"/>
        <v>12.892399999999999</v>
      </c>
      <c r="M507" s="473"/>
    </row>
    <row r="508" spans="1:13" ht="12.75" x14ac:dyDescent="0.2">
      <c r="A508" s="113"/>
      <c r="B508" s="863" t="s">
        <v>900</v>
      </c>
      <c r="C508" s="863"/>
      <c r="D508" s="476">
        <v>2</v>
      </c>
      <c r="E508" s="476">
        <v>0.44999999999999996</v>
      </c>
      <c r="F508" s="476"/>
      <c r="G508" s="476">
        <v>13.5</v>
      </c>
      <c r="H508" s="476"/>
      <c r="I508" s="476"/>
      <c r="J508" s="476"/>
      <c r="K508" s="435">
        <f t="shared" si="61"/>
        <v>6.0749999999999993</v>
      </c>
      <c r="L508" s="444">
        <f t="shared" si="62"/>
        <v>12.149999999999999</v>
      </c>
      <c r="M508" s="473"/>
    </row>
    <row r="509" spans="1:13" ht="12.75" customHeight="1" x14ac:dyDescent="0.2">
      <c r="A509" s="113"/>
      <c r="B509" s="864" t="s">
        <v>110</v>
      </c>
      <c r="C509" s="864"/>
      <c r="D509" s="474"/>
      <c r="E509" s="474"/>
      <c r="F509" s="474"/>
      <c r="G509" s="474"/>
      <c r="H509" s="474"/>
      <c r="I509" s="474"/>
      <c r="J509" s="466"/>
      <c r="K509" s="435">
        <f t="shared" si="61"/>
        <v>0</v>
      </c>
      <c r="L509" s="444">
        <f t="shared" si="62"/>
        <v>0</v>
      </c>
      <c r="M509" s="473"/>
    </row>
    <row r="510" spans="1:13" ht="12.75" x14ac:dyDescent="0.2">
      <c r="A510" s="113"/>
      <c r="B510" s="785" t="s">
        <v>901</v>
      </c>
      <c r="C510" s="785"/>
      <c r="D510" s="474">
        <v>1</v>
      </c>
      <c r="E510" s="474">
        <v>1.5</v>
      </c>
      <c r="F510" s="474"/>
      <c r="G510" s="474">
        <v>26</v>
      </c>
      <c r="H510" s="474"/>
      <c r="I510" s="474"/>
      <c r="J510" s="466"/>
      <c r="K510" s="435">
        <f t="shared" si="61"/>
        <v>39</v>
      </c>
      <c r="L510" s="444">
        <f t="shared" si="62"/>
        <v>39</v>
      </c>
      <c r="M510" s="473"/>
    </row>
    <row r="511" spans="1:13" ht="12.75" x14ac:dyDescent="0.2">
      <c r="A511" s="113"/>
      <c r="B511" s="862" t="s">
        <v>902</v>
      </c>
      <c r="C511" s="862"/>
      <c r="D511" s="474">
        <v>1</v>
      </c>
      <c r="E511" s="474">
        <v>4.3</v>
      </c>
      <c r="F511" s="474"/>
      <c r="G511" s="474">
        <v>2.65</v>
      </c>
      <c r="H511" s="474"/>
      <c r="I511" s="474"/>
      <c r="J511" s="474"/>
      <c r="K511" s="435">
        <f t="shared" si="61"/>
        <v>11.395</v>
      </c>
      <c r="L511" s="444">
        <f t="shared" si="62"/>
        <v>11.395</v>
      </c>
      <c r="M511" s="473"/>
    </row>
    <row r="512" spans="1:13" ht="12.75" x14ac:dyDescent="0.2">
      <c r="A512" s="113"/>
      <c r="B512" s="862" t="s">
        <v>903</v>
      </c>
      <c r="C512" s="862"/>
      <c r="D512" s="474">
        <v>1</v>
      </c>
      <c r="E512" s="474">
        <v>7.1</v>
      </c>
      <c r="F512" s="474"/>
      <c r="G512" s="474">
        <v>2.35</v>
      </c>
      <c r="H512" s="474"/>
      <c r="I512" s="474"/>
      <c r="J512" s="474"/>
      <c r="K512" s="435">
        <f t="shared" si="61"/>
        <v>16.684999999999999</v>
      </c>
      <c r="L512" s="444">
        <f t="shared" si="62"/>
        <v>16.684999999999999</v>
      </c>
      <c r="M512" s="473"/>
    </row>
    <row r="513" spans="1:13" ht="12.75" x14ac:dyDescent="0.2">
      <c r="A513" s="113"/>
      <c r="B513" s="862" t="s">
        <v>904</v>
      </c>
      <c r="C513" s="862"/>
      <c r="D513" s="474">
        <v>1</v>
      </c>
      <c r="E513" s="474">
        <v>6.85</v>
      </c>
      <c r="F513" s="474"/>
      <c r="G513" s="474">
        <v>1.35</v>
      </c>
      <c r="H513" s="474"/>
      <c r="I513" s="474"/>
      <c r="J513" s="474"/>
      <c r="K513" s="435">
        <f t="shared" si="61"/>
        <v>9.2475000000000005</v>
      </c>
      <c r="L513" s="444">
        <f t="shared" si="62"/>
        <v>9.2475000000000005</v>
      </c>
      <c r="M513" s="473"/>
    </row>
    <row r="514" spans="1:13" ht="12.75" x14ac:dyDescent="0.2">
      <c r="A514" s="113"/>
      <c r="B514" s="862" t="s">
        <v>905</v>
      </c>
      <c r="C514" s="862"/>
      <c r="D514" s="474">
        <v>2</v>
      </c>
      <c r="E514" s="474">
        <v>1.7</v>
      </c>
      <c r="F514" s="474"/>
      <c r="G514" s="474">
        <v>1.9</v>
      </c>
      <c r="H514" s="474"/>
      <c r="I514" s="474"/>
      <c r="J514" s="474"/>
      <c r="K514" s="435">
        <f t="shared" si="61"/>
        <v>3.23</v>
      </c>
      <c r="L514" s="444">
        <f t="shared" si="62"/>
        <v>6.46</v>
      </c>
      <c r="M514" s="473"/>
    </row>
    <row r="515" spans="1:13" ht="12.75" x14ac:dyDescent="0.2">
      <c r="A515" s="113"/>
      <c r="B515" s="760" t="s">
        <v>906</v>
      </c>
      <c r="C515" s="760"/>
      <c r="D515" s="474">
        <v>1</v>
      </c>
      <c r="E515" s="474">
        <v>18</v>
      </c>
      <c r="F515" s="477"/>
      <c r="G515" s="474">
        <v>1.65</v>
      </c>
      <c r="H515" s="477"/>
      <c r="I515" s="477"/>
      <c r="J515" s="477"/>
      <c r="K515" s="435">
        <f t="shared" si="61"/>
        <v>29.7</v>
      </c>
      <c r="L515" s="444">
        <f t="shared" si="62"/>
        <v>29.7</v>
      </c>
      <c r="M515" s="476"/>
    </row>
    <row r="516" spans="1:13" ht="12.75" x14ac:dyDescent="0.2">
      <c r="A516" s="113"/>
      <c r="B516" s="865" t="s">
        <v>895</v>
      </c>
      <c r="C516" s="865"/>
      <c r="D516" s="364">
        <v>1</v>
      </c>
      <c r="E516" s="344">
        <v>1.53</v>
      </c>
      <c r="F516" s="364"/>
      <c r="G516" s="344">
        <v>5.5</v>
      </c>
      <c r="H516" s="364"/>
      <c r="I516" s="364"/>
      <c r="J516" s="369"/>
      <c r="K516" s="435">
        <f t="shared" si="61"/>
        <v>8.4150000000000009</v>
      </c>
      <c r="L516" s="444">
        <f t="shared" si="62"/>
        <v>8.4150000000000009</v>
      </c>
      <c r="M516" s="476"/>
    </row>
    <row r="517" spans="1:13" ht="12.75" customHeight="1" x14ac:dyDescent="0.2">
      <c r="A517" s="113"/>
      <c r="B517" s="865" t="s">
        <v>895</v>
      </c>
      <c r="C517" s="865"/>
      <c r="D517" s="364">
        <v>1</v>
      </c>
      <c r="E517" s="344">
        <v>2</v>
      </c>
      <c r="F517" s="432"/>
      <c r="G517" s="344">
        <v>2.4500000000000002</v>
      </c>
      <c r="H517" s="432"/>
      <c r="I517" s="364"/>
      <c r="J517" s="432"/>
      <c r="K517" s="435">
        <f t="shared" si="61"/>
        <v>4.9000000000000004</v>
      </c>
      <c r="L517" s="444">
        <f t="shared" si="62"/>
        <v>4.9000000000000004</v>
      </c>
      <c r="M517" s="476"/>
    </row>
    <row r="518" spans="1:13" ht="12.75" customHeight="1" x14ac:dyDescent="0.2">
      <c r="A518" s="113"/>
      <c r="B518" s="865" t="s">
        <v>895</v>
      </c>
      <c r="C518" s="865"/>
      <c r="D518" s="364">
        <v>1</v>
      </c>
      <c r="E518" s="344">
        <v>3.45</v>
      </c>
      <c r="F518" s="432"/>
      <c r="G518" s="344">
        <v>7.2</v>
      </c>
      <c r="H518" s="432"/>
      <c r="I518" s="364"/>
      <c r="J518" s="432"/>
      <c r="K518" s="435">
        <f t="shared" si="61"/>
        <v>24.840000000000003</v>
      </c>
      <c r="L518" s="444">
        <f t="shared" si="62"/>
        <v>24.840000000000003</v>
      </c>
      <c r="M518" s="476"/>
    </row>
    <row r="519" spans="1:13" ht="12.75" x14ac:dyDescent="0.2">
      <c r="A519" s="113"/>
      <c r="B519" s="481"/>
      <c r="C519" s="481"/>
      <c r="D519" s="237"/>
      <c r="E519" s="237"/>
      <c r="F519" s="482"/>
      <c r="G519" s="237"/>
      <c r="H519" s="482"/>
      <c r="I519" s="482"/>
      <c r="J519" s="482"/>
      <c r="K519" s="236"/>
      <c r="L519" s="236"/>
      <c r="M519" s="480"/>
    </row>
    <row r="520" spans="1:13" ht="12.75" x14ac:dyDescent="0.2">
      <c r="A520" s="113"/>
      <c r="B520" s="481"/>
      <c r="C520" s="481"/>
      <c r="D520" s="237"/>
      <c r="E520" s="237"/>
      <c r="F520" s="482"/>
      <c r="G520" s="237"/>
      <c r="H520" s="482"/>
      <c r="I520" s="482"/>
      <c r="J520" s="482"/>
      <c r="K520" s="236"/>
      <c r="L520" s="236"/>
      <c r="M520" s="480"/>
    </row>
    <row r="521" spans="1:13" ht="12.75" x14ac:dyDescent="0.2">
      <c r="A521" s="113"/>
      <c r="B521" s="481"/>
      <c r="C521" s="481"/>
      <c r="D521" s="237"/>
      <c r="E521" s="237"/>
      <c r="F521" s="482"/>
      <c r="G521" s="237"/>
      <c r="H521" s="482"/>
      <c r="I521" s="482"/>
      <c r="J521" s="482"/>
      <c r="K521" s="236"/>
      <c r="L521" s="236"/>
      <c r="M521" s="480"/>
    </row>
    <row r="522" spans="1:13" ht="12.75" x14ac:dyDescent="0.2">
      <c r="A522" s="113"/>
      <c r="B522" s="131"/>
      <c r="C522" s="132"/>
      <c r="D522" s="133"/>
      <c r="E522" s="133"/>
      <c r="F522" s="133"/>
      <c r="G522" s="133"/>
      <c r="H522" s="118"/>
      <c r="I522" s="118"/>
      <c r="J522" s="117"/>
      <c r="K522" s="117"/>
      <c r="L522" s="118"/>
      <c r="M522" s="114"/>
    </row>
    <row r="523" spans="1:13" ht="36" customHeight="1" x14ac:dyDescent="0.2">
      <c r="A523" s="464" t="s">
        <v>511</v>
      </c>
      <c r="B523" s="782" t="s">
        <v>512</v>
      </c>
      <c r="C523" s="783"/>
      <c r="D523" s="783"/>
      <c r="E523" s="783"/>
      <c r="F523" s="783"/>
      <c r="G523" s="783"/>
      <c r="H523" s="783"/>
      <c r="I523" s="783"/>
      <c r="J523" s="783"/>
      <c r="K523" s="784"/>
      <c r="L523" s="273"/>
      <c r="M523" s="274" t="s">
        <v>400</v>
      </c>
    </row>
    <row r="524" spans="1:13" ht="12.75" x14ac:dyDescent="0.2">
      <c r="A524" s="239"/>
      <c r="B524" s="762" t="s">
        <v>133</v>
      </c>
      <c r="C524" s="763"/>
      <c r="D524" s="249"/>
      <c r="E524" s="249"/>
      <c r="F524" s="249"/>
      <c r="G524" s="249"/>
      <c r="H524" s="249"/>
      <c r="I524" s="249"/>
      <c r="J524" s="250"/>
      <c r="K524" s="250"/>
      <c r="L524" s="250">
        <f>REPROGRAMAÇÃO!F97</f>
        <v>295.41000000000099</v>
      </c>
      <c r="M524" s="250"/>
    </row>
    <row r="525" spans="1:13" ht="12.75" x14ac:dyDescent="0.2">
      <c r="A525" s="239"/>
      <c r="B525" s="764" t="s">
        <v>812</v>
      </c>
      <c r="C525" s="765"/>
      <c r="D525" s="251"/>
      <c r="E525" s="251"/>
      <c r="F525" s="251"/>
      <c r="G525" s="251"/>
      <c r="H525" s="251"/>
      <c r="I525" s="251"/>
      <c r="J525" s="252"/>
      <c r="K525" s="252"/>
      <c r="L525" s="251">
        <f>SUM(L528:L535)</f>
        <v>84.764999999999986</v>
      </c>
      <c r="M525" s="252"/>
    </row>
    <row r="526" spans="1:13" ht="12.75" x14ac:dyDescent="0.2">
      <c r="A526" s="239"/>
      <c r="B526" s="253" t="s">
        <v>813</v>
      </c>
      <c r="C526" s="254"/>
      <c r="D526" s="255"/>
      <c r="E526" s="255"/>
      <c r="F526" s="255"/>
      <c r="G526" s="255"/>
      <c r="H526" s="255"/>
      <c r="I526" s="255"/>
      <c r="J526" s="256"/>
      <c r="K526" s="256"/>
      <c r="L526" s="251">
        <f>L525-L524</f>
        <v>-210.645000000001</v>
      </c>
      <c r="M526" s="252"/>
    </row>
    <row r="527" spans="1:13" s="108" customFormat="1" ht="12.75" customHeight="1" x14ac:dyDescent="0.2">
      <c r="A527" s="239"/>
      <c r="B527" s="311"/>
      <c r="C527" s="311"/>
      <c r="D527" s="237"/>
      <c r="E527" s="237"/>
      <c r="F527" s="237"/>
      <c r="G527" s="237"/>
      <c r="H527" s="237"/>
      <c r="I527" s="237"/>
      <c r="J527" s="248"/>
      <c r="K527" s="248"/>
      <c r="L527" s="237"/>
      <c r="M527" s="237"/>
    </row>
    <row r="528" spans="1:13" ht="12.75" customHeight="1" x14ac:dyDescent="0.2">
      <c r="A528" s="239"/>
      <c r="B528" s="760" t="s">
        <v>910</v>
      </c>
      <c r="C528" s="760"/>
      <c r="D528" s="479">
        <v>2</v>
      </c>
      <c r="E528" s="475">
        <v>1.35</v>
      </c>
      <c r="F528" s="478"/>
      <c r="G528" s="475">
        <v>1.7</v>
      </c>
      <c r="H528" s="478"/>
      <c r="I528" s="476">
        <v>2.75</v>
      </c>
      <c r="J528" s="476"/>
      <c r="K528" s="474">
        <v>8.3874999999999993</v>
      </c>
      <c r="L528" s="474">
        <v>16.774999999999999</v>
      </c>
      <c r="M528" s="476"/>
    </row>
    <row r="529" spans="1:13" ht="12.75" x14ac:dyDescent="0.2">
      <c r="A529" s="113"/>
      <c r="B529" s="760" t="s">
        <v>911</v>
      </c>
      <c r="C529" s="760"/>
      <c r="D529" s="479">
        <v>2</v>
      </c>
      <c r="E529" s="475">
        <v>1.45</v>
      </c>
      <c r="F529" s="478"/>
      <c r="G529" s="475">
        <v>1.7</v>
      </c>
      <c r="H529" s="478"/>
      <c r="I529" s="476">
        <v>2.75</v>
      </c>
      <c r="J529" s="476"/>
      <c r="K529" s="474">
        <v>8.6624999999999996</v>
      </c>
      <c r="L529" s="474">
        <v>17.324999999999999</v>
      </c>
      <c r="M529" s="476"/>
    </row>
    <row r="530" spans="1:13" ht="12.75" customHeight="1" x14ac:dyDescent="0.2">
      <c r="A530" s="113"/>
      <c r="B530" s="760" t="s">
        <v>912</v>
      </c>
      <c r="C530" s="760"/>
      <c r="D530" s="479">
        <v>2</v>
      </c>
      <c r="E530" s="475">
        <v>1.75</v>
      </c>
      <c r="F530" s="478"/>
      <c r="G530" s="475">
        <v>2.2999999999999998</v>
      </c>
      <c r="H530" s="478"/>
      <c r="I530" s="476">
        <v>2.4</v>
      </c>
      <c r="J530" s="476"/>
      <c r="K530" s="474">
        <v>9.7199999999999989</v>
      </c>
      <c r="L530" s="474">
        <v>19.439999999999998</v>
      </c>
      <c r="M530" s="476"/>
    </row>
    <row r="531" spans="1:13" ht="12.75" customHeight="1" x14ac:dyDescent="0.2">
      <c r="A531" s="113"/>
      <c r="B531" s="760" t="s">
        <v>913</v>
      </c>
      <c r="C531" s="760"/>
      <c r="D531" s="479">
        <v>-3</v>
      </c>
      <c r="E531" s="475">
        <v>0.9</v>
      </c>
      <c r="F531" s="478"/>
      <c r="G531" s="475">
        <v>2.4</v>
      </c>
      <c r="H531" s="478"/>
      <c r="I531" s="476"/>
      <c r="J531" s="476"/>
      <c r="K531" s="474">
        <v>2.16</v>
      </c>
      <c r="L531" s="474">
        <v>-6.48</v>
      </c>
      <c r="M531" s="476"/>
    </row>
    <row r="532" spans="1:13" ht="12.75" x14ac:dyDescent="0.2">
      <c r="A532" s="113"/>
      <c r="B532" s="760" t="s">
        <v>914</v>
      </c>
      <c r="C532" s="760"/>
      <c r="D532" s="479">
        <v>-1</v>
      </c>
      <c r="E532" s="475">
        <v>0.5</v>
      </c>
      <c r="F532" s="478"/>
      <c r="G532" s="475">
        <v>0.9</v>
      </c>
      <c r="H532" s="478"/>
      <c r="I532" s="476"/>
      <c r="J532" s="476"/>
      <c r="K532" s="474">
        <v>0.45</v>
      </c>
      <c r="L532" s="474">
        <v>-0.45</v>
      </c>
      <c r="M532" s="473"/>
    </row>
    <row r="533" spans="1:13" ht="12.75" x14ac:dyDescent="0.2">
      <c r="A533" s="113"/>
      <c r="B533" s="865" t="s">
        <v>895</v>
      </c>
      <c r="C533" s="865"/>
      <c r="D533" s="364">
        <v>1</v>
      </c>
      <c r="E533" s="344">
        <v>1.53</v>
      </c>
      <c r="F533" s="364"/>
      <c r="G533" s="344">
        <v>5.5</v>
      </c>
      <c r="H533" s="364"/>
      <c r="I533" s="364"/>
      <c r="J533" s="369"/>
      <c r="K533" s="435">
        <f t="shared" ref="K533:K535" si="63">G533*E533</f>
        <v>8.4150000000000009</v>
      </c>
      <c r="L533" s="444">
        <f t="shared" ref="L533:L535" si="64">K533*D533</f>
        <v>8.4150000000000009</v>
      </c>
      <c r="M533" s="473"/>
    </row>
    <row r="534" spans="1:13" ht="12.75" x14ac:dyDescent="0.2">
      <c r="A534" s="113"/>
      <c r="B534" s="865" t="s">
        <v>895</v>
      </c>
      <c r="C534" s="865"/>
      <c r="D534" s="364">
        <v>1</v>
      </c>
      <c r="E534" s="344">
        <v>2</v>
      </c>
      <c r="F534" s="432"/>
      <c r="G534" s="344">
        <v>2.4500000000000002</v>
      </c>
      <c r="H534" s="432"/>
      <c r="I534" s="364"/>
      <c r="J534" s="432"/>
      <c r="K534" s="435">
        <f t="shared" si="63"/>
        <v>4.9000000000000004</v>
      </c>
      <c r="L534" s="444">
        <f t="shared" si="64"/>
        <v>4.9000000000000004</v>
      </c>
      <c r="M534" s="473"/>
    </row>
    <row r="535" spans="1:13" ht="12.75" x14ac:dyDescent="0.2">
      <c r="A535" s="113"/>
      <c r="B535" s="865" t="s">
        <v>895</v>
      </c>
      <c r="C535" s="865"/>
      <c r="D535" s="364">
        <v>1</v>
      </c>
      <c r="E535" s="344">
        <v>3.45</v>
      </c>
      <c r="F535" s="432"/>
      <c r="G535" s="344">
        <v>7.2</v>
      </c>
      <c r="H535" s="432"/>
      <c r="I535" s="364"/>
      <c r="J535" s="432"/>
      <c r="K535" s="435">
        <f t="shared" si="63"/>
        <v>24.840000000000003</v>
      </c>
      <c r="L535" s="444">
        <f t="shared" si="64"/>
        <v>24.840000000000003</v>
      </c>
      <c r="M535" s="473"/>
    </row>
    <row r="536" spans="1:13" ht="12.75" x14ac:dyDescent="0.2">
      <c r="A536" s="113"/>
      <c r="B536" s="121"/>
      <c r="C536" s="121"/>
      <c r="D536" s="110"/>
      <c r="E536" s="110"/>
      <c r="F536" s="110"/>
      <c r="G536" s="110"/>
      <c r="H536" s="110"/>
      <c r="I536" s="393"/>
      <c r="J536" s="394"/>
      <c r="K536" s="394"/>
      <c r="L536" s="393"/>
      <c r="M536" s="114"/>
    </row>
    <row r="537" spans="1:13" ht="12.75" x14ac:dyDescent="0.2">
      <c r="A537" s="113"/>
      <c r="B537" s="121"/>
      <c r="C537" s="121"/>
      <c r="D537" s="110"/>
      <c r="E537" s="110"/>
      <c r="F537" s="110"/>
      <c r="G537" s="110"/>
      <c r="H537" s="110"/>
      <c r="I537" s="110"/>
      <c r="J537" s="111"/>
      <c r="K537" s="111"/>
      <c r="L537" s="110"/>
      <c r="M537" s="114"/>
    </row>
    <row r="538" spans="1:13" ht="12.75" x14ac:dyDescent="0.2">
      <c r="A538" s="464" t="s">
        <v>515</v>
      </c>
      <c r="B538" s="782" t="s">
        <v>516</v>
      </c>
      <c r="C538" s="783"/>
      <c r="D538" s="783"/>
      <c r="E538" s="783"/>
      <c r="F538" s="783"/>
      <c r="G538" s="783"/>
      <c r="H538" s="783"/>
      <c r="I538" s="783"/>
      <c r="J538" s="783"/>
      <c r="K538" s="784"/>
      <c r="L538" s="273"/>
      <c r="M538" s="274" t="s">
        <v>400</v>
      </c>
    </row>
    <row r="539" spans="1:13" ht="12.75" x14ac:dyDescent="0.2">
      <c r="A539" s="239"/>
      <c r="B539" s="762" t="s">
        <v>133</v>
      </c>
      <c r="C539" s="763"/>
      <c r="D539" s="249"/>
      <c r="E539" s="249"/>
      <c r="F539" s="249"/>
      <c r="G539" s="249"/>
      <c r="H539" s="249"/>
      <c r="I539" s="249"/>
      <c r="J539" s="250"/>
      <c r="K539" s="250"/>
      <c r="L539" s="250">
        <f>REPROGRAMAÇÃO!F99</f>
        <v>22.800000000000999</v>
      </c>
      <c r="M539" s="250"/>
    </row>
    <row r="540" spans="1:13" ht="12.75" x14ac:dyDescent="0.2">
      <c r="A540" s="239"/>
      <c r="B540" s="764" t="s">
        <v>812</v>
      </c>
      <c r="C540" s="765"/>
      <c r="D540" s="251"/>
      <c r="E540" s="251"/>
      <c r="F540" s="251"/>
      <c r="G540" s="251"/>
      <c r="H540" s="251"/>
      <c r="I540" s="251"/>
      <c r="J540" s="252"/>
      <c r="K540" s="252"/>
      <c r="L540" s="251">
        <f>SUM(L543:L549)</f>
        <v>77.7</v>
      </c>
      <c r="M540" s="252"/>
    </row>
    <row r="541" spans="1:13" ht="12.75" x14ac:dyDescent="0.2">
      <c r="A541" s="239"/>
      <c r="B541" s="253" t="s">
        <v>813</v>
      </c>
      <c r="C541" s="254"/>
      <c r="D541" s="255"/>
      <c r="E541" s="255"/>
      <c r="F541" s="255"/>
      <c r="G541" s="255"/>
      <c r="H541" s="255"/>
      <c r="I541" s="255"/>
      <c r="J541" s="256"/>
      <c r="K541" s="256"/>
      <c r="L541" s="251">
        <f>L540-L539</f>
        <v>54.899999999999004</v>
      </c>
      <c r="M541" s="252"/>
    </row>
    <row r="542" spans="1:13" ht="12.75" x14ac:dyDescent="0.2">
      <c r="A542" s="239"/>
      <c r="B542" s="311"/>
      <c r="C542" s="311"/>
      <c r="D542" s="237"/>
      <c r="E542" s="237"/>
      <c r="F542" s="237"/>
      <c r="G542" s="237"/>
      <c r="H542" s="237"/>
      <c r="I542" s="237"/>
      <c r="J542" s="248"/>
      <c r="K542" s="248"/>
      <c r="L542" s="237"/>
      <c r="M542" s="237"/>
    </row>
    <row r="543" spans="1:13" ht="12.75" customHeight="1" x14ac:dyDescent="0.2">
      <c r="A543" s="239"/>
      <c r="B543" s="760" t="s">
        <v>907</v>
      </c>
      <c r="C543" s="760"/>
      <c r="D543" s="472">
        <v>1</v>
      </c>
      <c r="E543" s="469">
        <v>9.9</v>
      </c>
      <c r="F543" s="471"/>
      <c r="G543" s="469"/>
      <c r="H543" s="471"/>
      <c r="I543" s="471"/>
      <c r="J543" s="471"/>
      <c r="K543" s="468">
        <f>E543</f>
        <v>9.9</v>
      </c>
      <c r="L543" s="468">
        <f>K543*D543</f>
        <v>9.9</v>
      </c>
      <c r="M543" s="416"/>
    </row>
    <row r="544" spans="1:13" ht="12.75" x14ac:dyDescent="0.2">
      <c r="A544" s="113"/>
      <c r="B544" s="760" t="s">
        <v>907</v>
      </c>
      <c r="C544" s="760"/>
      <c r="D544" s="472">
        <v>1</v>
      </c>
      <c r="E544" s="469">
        <v>10.6</v>
      </c>
      <c r="F544" s="471"/>
      <c r="G544" s="469"/>
      <c r="H544" s="471"/>
      <c r="I544" s="471"/>
      <c r="J544" s="471"/>
      <c r="K544" s="468">
        <f t="shared" ref="K544:K549" si="65">E544</f>
        <v>10.6</v>
      </c>
      <c r="L544" s="468">
        <f t="shared" ref="L544:L549" si="66">K544*D544</f>
        <v>10.6</v>
      </c>
      <c r="M544" s="416"/>
    </row>
    <row r="545" spans="1:13" s="108" customFormat="1" ht="12.75" customHeight="1" x14ac:dyDescent="0.2">
      <c r="A545" s="113"/>
      <c r="B545" s="760" t="s">
        <v>907</v>
      </c>
      <c r="C545" s="760"/>
      <c r="D545" s="472">
        <v>1</v>
      </c>
      <c r="E545" s="469">
        <v>11.2</v>
      </c>
      <c r="F545" s="471"/>
      <c r="G545" s="469"/>
      <c r="H545" s="471"/>
      <c r="I545" s="471"/>
      <c r="J545" s="471"/>
      <c r="K545" s="468">
        <f t="shared" si="65"/>
        <v>11.2</v>
      </c>
      <c r="L545" s="468">
        <f t="shared" si="66"/>
        <v>11.2</v>
      </c>
      <c r="M545" s="416"/>
    </row>
    <row r="546" spans="1:13" ht="12.75" customHeight="1" x14ac:dyDescent="0.2">
      <c r="A546" s="113"/>
      <c r="B546" s="760" t="s">
        <v>908</v>
      </c>
      <c r="C546" s="760"/>
      <c r="D546" s="472">
        <v>1</v>
      </c>
      <c r="E546" s="469">
        <v>13.5</v>
      </c>
      <c r="F546" s="471"/>
      <c r="G546" s="469"/>
      <c r="H546" s="471"/>
      <c r="I546" s="471"/>
      <c r="J546" s="471"/>
      <c r="K546" s="468">
        <f t="shared" si="65"/>
        <v>13.5</v>
      </c>
      <c r="L546" s="468">
        <f t="shared" si="66"/>
        <v>13.5</v>
      </c>
      <c r="M546" s="416"/>
    </row>
    <row r="547" spans="1:13" s="108" customFormat="1" ht="12.75" customHeight="1" x14ac:dyDescent="0.2">
      <c r="A547" s="113"/>
      <c r="B547" s="760" t="s">
        <v>908</v>
      </c>
      <c r="C547" s="760"/>
      <c r="D547" s="468">
        <v>1</v>
      </c>
      <c r="E547" s="470">
        <v>14</v>
      </c>
      <c r="F547" s="468"/>
      <c r="G547" s="470"/>
      <c r="H547" s="468"/>
      <c r="I547" s="468"/>
      <c r="J547" s="468"/>
      <c r="K547" s="468">
        <f t="shared" si="65"/>
        <v>14</v>
      </c>
      <c r="L547" s="468">
        <f t="shared" si="66"/>
        <v>14</v>
      </c>
      <c r="M547" s="1"/>
    </row>
    <row r="548" spans="1:13" ht="12.75" x14ac:dyDescent="0.2">
      <c r="A548" s="113"/>
      <c r="B548" s="760" t="s">
        <v>908</v>
      </c>
      <c r="C548" s="760"/>
      <c r="D548" s="468">
        <v>1</v>
      </c>
      <c r="E548" s="470">
        <v>14.5</v>
      </c>
      <c r="F548" s="468"/>
      <c r="G548" s="470"/>
      <c r="H548" s="468"/>
      <c r="I548" s="468"/>
      <c r="J548" s="468"/>
      <c r="K548" s="468">
        <f t="shared" si="65"/>
        <v>14.5</v>
      </c>
      <c r="L548" s="468">
        <f t="shared" si="66"/>
        <v>14.5</v>
      </c>
    </row>
    <row r="549" spans="1:13" ht="12.75" customHeight="1" x14ac:dyDescent="0.2">
      <c r="A549" s="113"/>
      <c r="B549" s="785" t="s">
        <v>909</v>
      </c>
      <c r="C549" s="785"/>
      <c r="D549" s="465">
        <v>4</v>
      </c>
      <c r="E549" s="465">
        <v>1</v>
      </c>
      <c r="F549" s="465"/>
      <c r="G549" s="465"/>
      <c r="H549" s="465"/>
      <c r="I549" s="465"/>
      <c r="J549" s="466"/>
      <c r="K549" s="468">
        <f t="shared" si="65"/>
        <v>1</v>
      </c>
      <c r="L549" s="468">
        <f t="shared" si="66"/>
        <v>4</v>
      </c>
    </row>
    <row r="550" spans="1:13" ht="12.75" customHeight="1" thickBot="1" x14ac:dyDescent="0.25">
      <c r="A550" s="109"/>
      <c r="B550" s="778"/>
      <c r="C550" s="779"/>
      <c r="D550" s="110"/>
      <c r="E550" s="110"/>
      <c r="F550" s="110"/>
      <c r="G550" s="110"/>
      <c r="H550" s="110"/>
      <c r="I550" s="110"/>
      <c r="J550" s="111"/>
      <c r="K550" s="111"/>
      <c r="L550" s="110"/>
      <c r="M550" s="112"/>
    </row>
    <row r="551" spans="1:13" ht="12.75" customHeight="1" thickBot="1" x14ac:dyDescent="0.25">
      <c r="A551" s="266" t="s">
        <v>915</v>
      </c>
      <c r="B551" s="267" t="str">
        <f>REPROGRAMAÇÃO!B103</f>
        <v>REVESTIMENTOS</v>
      </c>
      <c r="C551" s="267"/>
      <c r="D551" s="267"/>
      <c r="E551" s="267"/>
      <c r="F551" s="267"/>
      <c r="G551" s="267"/>
      <c r="H551" s="267"/>
      <c r="I551" s="267"/>
      <c r="J551" s="267"/>
      <c r="K551" s="267"/>
      <c r="L551" s="267"/>
      <c r="M551" s="268"/>
    </row>
    <row r="552" spans="1:13" s="108" customFormat="1" ht="12.75" customHeight="1" x14ac:dyDescent="0.2">
      <c r="A552" s="464" t="s">
        <v>527</v>
      </c>
      <c r="B552" s="782" t="str">
        <f>REPROGRAMAÇÃO!B106</f>
        <v>EMBOÇO OU MASSA ÚNICA EM ARGAMASSA TRAÇO 1:2:8, PREPARO MECÂNICO COM BETONEIRA 400 L, APLICADA MANUALMENTE EM PANOS CEGOS DE FACHADA (SEM PRESENÇA DE VÃOS), ESPESSURA MAIOR OU IGUAL A 50 MM. AF_06/2014</v>
      </c>
      <c r="C552" s="783"/>
      <c r="D552" s="783"/>
      <c r="E552" s="783"/>
      <c r="F552" s="783"/>
      <c r="G552" s="783"/>
      <c r="H552" s="783"/>
      <c r="I552" s="783"/>
      <c r="J552" s="783"/>
      <c r="K552" s="784"/>
      <c r="L552" s="273"/>
      <c r="M552" s="274" t="s">
        <v>400</v>
      </c>
    </row>
    <row r="553" spans="1:13" ht="12.75" x14ac:dyDescent="0.2">
      <c r="A553" s="239"/>
      <c r="B553" s="762" t="s">
        <v>133</v>
      </c>
      <c r="C553" s="763"/>
      <c r="D553" s="249"/>
      <c r="E553" s="249"/>
      <c r="F553" s="249"/>
      <c r="G553" s="249"/>
      <c r="H553" s="249"/>
      <c r="I553" s="249"/>
      <c r="J553" s="250"/>
      <c r="K553" s="250"/>
      <c r="L553" s="250">
        <f>REPROGRAMAÇÃO!F107</f>
        <v>50.320000000001002</v>
      </c>
      <c r="M553" s="250"/>
    </row>
    <row r="554" spans="1:13" ht="12.75" x14ac:dyDescent="0.2">
      <c r="A554" s="239"/>
      <c r="B554" s="764" t="s">
        <v>812</v>
      </c>
      <c r="C554" s="765"/>
      <c r="D554" s="251"/>
      <c r="E554" s="251"/>
      <c r="F554" s="251"/>
      <c r="G554" s="251"/>
      <c r="H554" s="251"/>
      <c r="I554" s="251"/>
      <c r="J554" s="252"/>
      <c r="K554" s="252"/>
      <c r="L554" s="251">
        <f>SUM(L556:L562)</f>
        <v>42.54</v>
      </c>
      <c r="M554" s="252"/>
    </row>
    <row r="555" spans="1:13" s="108" customFormat="1" ht="12.75" customHeight="1" x14ac:dyDescent="0.2">
      <c r="A555" s="239"/>
      <c r="B555" s="253" t="s">
        <v>813</v>
      </c>
      <c r="C555" s="254"/>
      <c r="D555" s="255"/>
      <c r="E555" s="255"/>
      <c r="F555" s="255"/>
      <c r="G555" s="255"/>
      <c r="H555" s="255"/>
      <c r="I555" s="255"/>
      <c r="J555" s="256"/>
      <c r="K555" s="256"/>
      <c r="L555" s="251">
        <f>L554-L553</f>
        <v>-7.780000000001003</v>
      </c>
      <c r="M555" s="252"/>
    </row>
    <row r="556" spans="1:13" ht="12.75" x14ac:dyDescent="0.2">
      <c r="A556" s="239"/>
      <c r="B556" s="793" t="s">
        <v>818</v>
      </c>
      <c r="C556" s="794"/>
      <c r="D556" s="494">
        <v>2</v>
      </c>
      <c r="E556" s="494">
        <v>3.7</v>
      </c>
      <c r="F556" s="494"/>
      <c r="G556" s="494">
        <v>2.5</v>
      </c>
      <c r="H556" s="494"/>
      <c r="I556" s="494"/>
      <c r="J556" s="495"/>
      <c r="K556" s="495">
        <v>9.25</v>
      </c>
      <c r="L556" s="494">
        <v>18.5</v>
      </c>
      <c r="M556" s="237"/>
    </row>
    <row r="557" spans="1:13" ht="12.75" x14ac:dyDescent="0.2">
      <c r="A557" s="239"/>
      <c r="B557" s="499"/>
      <c r="C557" s="500"/>
      <c r="D557" s="494">
        <v>2</v>
      </c>
      <c r="E557" s="494">
        <v>1.7</v>
      </c>
      <c r="F557" s="494"/>
      <c r="G557" s="494">
        <v>2.5</v>
      </c>
      <c r="H557" s="494"/>
      <c r="I557" s="494"/>
      <c r="J557" s="495"/>
      <c r="K557" s="495">
        <v>4.25</v>
      </c>
      <c r="L557" s="494">
        <v>8.5</v>
      </c>
      <c r="M557" s="486"/>
    </row>
    <row r="558" spans="1:13" ht="12.75" x14ac:dyDescent="0.2">
      <c r="A558" s="113"/>
      <c r="B558" s="793" t="s">
        <v>819</v>
      </c>
      <c r="C558" s="794"/>
      <c r="D558" s="494">
        <v>2</v>
      </c>
      <c r="E558" s="494">
        <v>2.4</v>
      </c>
      <c r="F558" s="494"/>
      <c r="G558" s="494">
        <v>2.5</v>
      </c>
      <c r="H558" s="494"/>
      <c r="I558" s="494"/>
      <c r="J558" s="495"/>
      <c r="K558" s="495">
        <v>6</v>
      </c>
      <c r="L558" s="494">
        <v>12</v>
      </c>
      <c r="M558" s="486"/>
    </row>
    <row r="559" spans="1:13" ht="12.75" x14ac:dyDescent="0.2">
      <c r="A559" s="113"/>
      <c r="B559" s="793"/>
      <c r="C559" s="794"/>
      <c r="D559" s="494">
        <v>2</v>
      </c>
      <c r="E559" s="494">
        <v>1.8</v>
      </c>
      <c r="F559" s="494"/>
      <c r="G559" s="494">
        <v>2.5</v>
      </c>
      <c r="H559" s="494"/>
      <c r="I559" s="494"/>
      <c r="J559" s="495"/>
      <c r="K559" s="495">
        <v>4.5</v>
      </c>
      <c r="L559" s="494">
        <v>9</v>
      </c>
      <c r="M559" s="486"/>
    </row>
    <row r="560" spans="1:13" ht="12.75" x14ac:dyDescent="0.2">
      <c r="A560" s="113"/>
      <c r="B560" s="793" t="s">
        <v>822</v>
      </c>
      <c r="C560" s="794"/>
      <c r="D560" s="494"/>
      <c r="E560" s="494"/>
      <c r="F560" s="494"/>
      <c r="G560" s="494"/>
      <c r="H560" s="494"/>
      <c r="I560" s="494"/>
      <c r="J560" s="495"/>
      <c r="K560" s="495"/>
      <c r="L560" s="494"/>
      <c r="M560" s="486"/>
    </row>
    <row r="561" spans="1:13" ht="12.75" customHeight="1" x14ac:dyDescent="0.2">
      <c r="A561" s="113"/>
      <c r="B561" s="499" t="s">
        <v>823</v>
      </c>
      <c r="C561" s="500"/>
      <c r="D561" s="494">
        <v>2</v>
      </c>
      <c r="E561" s="494">
        <v>0.9</v>
      </c>
      <c r="F561" s="494"/>
      <c r="G561" s="494">
        <v>2.1</v>
      </c>
      <c r="H561" s="494"/>
      <c r="I561" s="494"/>
      <c r="J561" s="495"/>
      <c r="K561" s="495">
        <v>-1.8900000000000001</v>
      </c>
      <c r="L561" s="494">
        <v>-3.78</v>
      </c>
      <c r="M561" s="486"/>
    </row>
    <row r="562" spans="1:13" ht="12.75" x14ac:dyDescent="0.2">
      <c r="A562" s="113"/>
      <c r="B562" s="489"/>
      <c r="C562" s="489"/>
      <c r="D562" s="494">
        <v>1</v>
      </c>
      <c r="E562" s="494">
        <v>0.8</v>
      </c>
      <c r="F562" s="494"/>
      <c r="G562" s="494">
        <v>2.1</v>
      </c>
      <c r="H562" s="494"/>
      <c r="I562" s="494"/>
      <c r="J562" s="495"/>
      <c r="K562" s="495">
        <v>-1.6800000000000002</v>
      </c>
      <c r="L562" s="494">
        <v>-1.68</v>
      </c>
      <c r="M562" s="114"/>
    </row>
    <row r="563" spans="1:13" ht="12.75" x14ac:dyDescent="0.2">
      <c r="A563" s="113"/>
      <c r="B563" s="489"/>
      <c r="C563" s="489"/>
      <c r="D563" s="487"/>
      <c r="E563" s="487"/>
      <c r="F563" s="487"/>
      <c r="G563" s="487"/>
      <c r="H563" s="487"/>
      <c r="I563" s="487"/>
      <c r="J563" s="488"/>
      <c r="K563" s="488"/>
      <c r="L563" s="494"/>
      <c r="M563" s="114"/>
    </row>
    <row r="564" spans="1:13" s="108" customFormat="1" ht="36" customHeight="1" x14ac:dyDescent="0.2">
      <c r="A564" s="464" t="s">
        <v>529</v>
      </c>
      <c r="B564" s="782" t="str">
        <f>REPROGRAMAÇÃO!B108</f>
        <v>REVESTIMENTO CERÂMICO PARA PAREDES INTERNAS COM PLACAS TIPO ESMALTADA EXTRA DE DIMENSÕES 33X45 CM APLICADAS EM AMBIENTES DE ÁREA MAIOR QUE 5 M² NA ALTURA INTEIRA DAS PAREDES. AF_06/2014</v>
      </c>
      <c r="C564" s="783"/>
      <c r="D564" s="783"/>
      <c r="E564" s="783"/>
      <c r="F564" s="783"/>
      <c r="G564" s="783"/>
      <c r="H564" s="783"/>
      <c r="I564" s="783"/>
      <c r="J564" s="783"/>
      <c r="K564" s="784"/>
      <c r="L564" s="273"/>
      <c r="M564" s="274" t="s">
        <v>400</v>
      </c>
    </row>
    <row r="565" spans="1:13" ht="12.75" x14ac:dyDescent="0.2">
      <c r="A565" s="239"/>
      <c r="B565" s="762" t="s">
        <v>133</v>
      </c>
      <c r="C565" s="763"/>
      <c r="D565" s="249"/>
      <c r="E565" s="249"/>
      <c r="F565" s="249"/>
      <c r="G565" s="249"/>
      <c r="H565" s="249"/>
      <c r="I565" s="249"/>
      <c r="J565" s="250"/>
      <c r="K565" s="250"/>
      <c r="L565" s="250">
        <f>REPROGRAMAÇÃO!F108</f>
        <v>50.320000000001002</v>
      </c>
      <c r="M565" s="250"/>
    </row>
    <row r="566" spans="1:13" ht="12.75" customHeight="1" x14ac:dyDescent="0.2">
      <c r="A566" s="239"/>
      <c r="B566" s="764" t="s">
        <v>812</v>
      </c>
      <c r="C566" s="765"/>
      <c r="D566" s="251"/>
      <c r="E566" s="251"/>
      <c r="F566" s="251"/>
      <c r="G566" s="251"/>
      <c r="H566" s="251"/>
      <c r="I566" s="251"/>
      <c r="J566" s="252"/>
      <c r="K566" s="252"/>
      <c r="L566" s="251">
        <f>SUM(L569:L573)</f>
        <v>46.609999999999985</v>
      </c>
      <c r="M566" s="252"/>
    </row>
    <row r="567" spans="1:13" ht="12.75" x14ac:dyDescent="0.2">
      <c r="A567" s="239"/>
      <c r="B567" s="253" t="s">
        <v>813</v>
      </c>
      <c r="C567" s="254"/>
      <c r="D567" s="255"/>
      <c r="E567" s="255"/>
      <c r="F567" s="255"/>
      <c r="G567" s="255"/>
      <c r="H567" s="255"/>
      <c r="I567" s="255"/>
      <c r="J567" s="256"/>
      <c r="K567" s="256"/>
      <c r="L567" s="251">
        <f>L566-L565</f>
        <v>-3.7100000000010169</v>
      </c>
      <c r="M567" s="252"/>
    </row>
    <row r="568" spans="1:13" ht="12.75" x14ac:dyDescent="0.2">
      <c r="A568" s="239"/>
      <c r="B568" s="311"/>
      <c r="C568" s="311"/>
      <c r="D568" s="237"/>
      <c r="E568" s="237"/>
      <c r="F568" s="237"/>
      <c r="G568" s="237"/>
      <c r="H568" s="237"/>
      <c r="I568" s="237"/>
      <c r="J568" s="248"/>
      <c r="K568" s="248"/>
      <c r="L568" s="237"/>
      <c r="M568" s="237"/>
    </row>
    <row r="569" spans="1:13" ht="12.75" customHeight="1" x14ac:dyDescent="0.2">
      <c r="A569" s="239"/>
      <c r="B569" s="760" t="s">
        <v>910</v>
      </c>
      <c r="C569" s="760"/>
      <c r="D569" s="507">
        <v>2</v>
      </c>
      <c r="E569" s="503">
        <v>1.35</v>
      </c>
      <c r="F569" s="506"/>
      <c r="G569" s="503">
        <v>1.7</v>
      </c>
      <c r="H569" s="506"/>
      <c r="I569" s="506">
        <v>2.75</v>
      </c>
      <c r="J569" s="506"/>
      <c r="K569" s="502">
        <v>8.3874999999999993</v>
      </c>
      <c r="L569" s="502">
        <v>16.774999999999999</v>
      </c>
      <c r="M569" s="486"/>
    </row>
    <row r="570" spans="1:13" ht="12.6" customHeight="1" x14ac:dyDescent="0.2">
      <c r="A570" s="113"/>
      <c r="B570" s="760" t="s">
        <v>911</v>
      </c>
      <c r="C570" s="760"/>
      <c r="D570" s="507">
        <v>2</v>
      </c>
      <c r="E570" s="503">
        <v>1.45</v>
      </c>
      <c r="F570" s="506"/>
      <c r="G570" s="503">
        <v>1.7</v>
      </c>
      <c r="H570" s="506"/>
      <c r="I570" s="506">
        <v>2.75</v>
      </c>
      <c r="J570" s="506"/>
      <c r="K570" s="502">
        <v>8.6624999999999996</v>
      </c>
      <c r="L570" s="502">
        <v>17.324999999999999</v>
      </c>
      <c r="M570" s="486"/>
    </row>
    <row r="571" spans="1:13" ht="12.6" customHeight="1" x14ac:dyDescent="0.2">
      <c r="A571" s="113"/>
      <c r="B571" s="760" t="s">
        <v>912</v>
      </c>
      <c r="C571" s="760"/>
      <c r="D571" s="507">
        <v>2</v>
      </c>
      <c r="E571" s="503">
        <v>1.75</v>
      </c>
      <c r="F571" s="506"/>
      <c r="G571" s="503">
        <v>2.2999999999999998</v>
      </c>
      <c r="H571" s="506"/>
      <c r="I571" s="506">
        <v>2.4</v>
      </c>
      <c r="J571" s="506"/>
      <c r="K571" s="502">
        <v>9.7199999999999989</v>
      </c>
      <c r="L571" s="502">
        <v>19.439999999999998</v>
      </c>
      <c r="M571" s="486"/>
    </row>
    <row r="572" spans="1:13" ht="12.6" customHeight="1" x14ac:dyDescent="0.2">
      <c r="A572" s="113"/>
      <c r="B572" s="760" t="s">
        <v>913</v>
      </c>
      <c r="C572" s="760"/>
      <c r="D572" s="507">
        <v>-3</v>
      </c>
      <c r="E572" s="503">
        <v>0.9</v>
      </c>
      <c r="F572" s="506"/>
      <c r="G572" s="503">
        <v>2.4</v>
      </c>
      <c r="H572" s="506"/>
      <c r="I572" s="506"/>
      <c r="J572" s="506"/>
      <c r="K572" s="502">
        <v>2.16</v>
      </c>
      <c r="L572" s="502">
        <v>-6.48</v>
      </c>
      <c r="M572" s="486"/>
    </row>
    <row r="573" spans="1:13" ht="12.6" customHeight="1" x14ac:dyDescent="0.2">
      <c r="A573" s="113"/>
      <c r="B573" s="760" t="s">
        <v>914</v>
      </c>
      <c r="C573" s="760"/>
      <c r="D573" s="507">
        <v>-1</v>
      </c>
      <c r="E573" s="503">
        <v>0.5</v>
      </c>
      <c r="F573" s="506"/>
      <c r="G573" s="503">
        <v>0.9</v>
      </c>
      <c r="H573" s="506"/>
      <c r="I573" s="506"/>
      <c r="J573" s="506"/>
      <c r="K573" s="502">
        <v>0.45</v>
      </c>
      <c r="L573" s="502">
        <v>-0.45</v>
      </c>
    </row>
    <row r="575" spans="1:13" ht="41.25" customHeight="1" x14ac:dyDescent="0.2">
      <c r="A575" s="490" t="s">
        <v>531</v>
      </c>
      <c r="B575" s="782" t="str">
        <f>REPROGRAMAÇÃO!B109</f>
        <v>Revestimento cerâmico para piso ou parede, 61 x 61 cm, c/ piso porcelanato merano branco, INCEPA ou similar, PEI 5, aplicado com argamassa industrializada ac-iii, rejuntado, exclusive regularização de base ou emboço</v>
      </c>
      <c r="C575" s="783"/>
      <c r="D575" s="783"/>
      <c r="E575" s="783"/>
      <c r="F575" s="783"/>
      <c r="G575" s="783"/>
      <c r="H575" s="783"/>
      <c r="I575" s="783"/>
      <c r="J575" s="783"/>
      <c r="K575" s="784"/>
      <c r="L575" s="491"/>
      <c r="M575" s="492" t="s">
        <v>400</v>
      </c>
    </row>
    <row r="576" spans="1:13" ht="12.6" customHeight="1" x14ac:dyDescent="0.2">
      <c r="A576" s="493"/>
      <c r="B576" s="762" t="s">
        <v>133</v>
      </c>
      <c r="C576" s="763"/>
      <c r="D576" s="249"/>
      <c r="E576" s="249"/>
      <c r="F576" s="249"/>
      <c r="G576" s="249"/>
      <c r="H576" s="249"/>
      <c r="I576" s="249"/>
      <c r="J576" s="250"/>
      <c r="K576" s="250"/>
      <c r="L576" s="250">
        <f>REPROGRAMAÇÃO!F109</f>
        <v>266.86000000000098</v>
      </c>
      <c r="M576" s="250"/>
    </row>
    <row r="577" spans="1:13" ht="12.6" customHeight="1" x14ac:dyDescent="0.2">
      <c r="A577" s="493"/>
      <c r="B577" s="764" t="s">
        <v>812</v>
      </c>
      <c r="C577" s="765"/>
      <c r="D577" s="251"/>
      <c r="E577" s="251"/>
      <c r="F577" s="251"/>
      <c r="G577" s="251"/>
      <c r="H577" s="251"/>
      <c r="I577" s="251"/>
      <c r="J577" s="252"/>
      <c r="K577" s="252"/>
      <c r="L577" s="251">
        <f>SUM(L580:L586)</f>
        <v>202.67500000000001</v>
      </c>
      <c r="M577" s="252"/>
    </row>
    <row r="578" spans="1:13" ht="12.6" customHeight="1" x14ac:dyDescent="0.2">
      <c r="A578" s="493"/>
      <c r="B578" s="253" t="s">
        <v>813</v>
      </c>
      <c r="C578" s="254"/>
      <c r="D578" s="255"/>
      <c r="E578" s="255"/>
      <c r="F578" s="255"/>
      <c r="G578" s="255"/>
      <c r="H578" s="255"/>
      <c r="I578" s="255"/>
      <c r="J578" s="256"/>
      <c r="K578" s="256"/>
      <c r="L578" s="251">
        <f>L577-L576</f>
        <v>-64.185000000000969</v>
      </c>
      <c r="M578" s="252"/>
    </row>
    <row r="579" spans="1:13" ht="12.6" customHeight="1" x14ac:dyDescent="0.2">
      <c r="A579" s="493"/>
      <c r="B579" s="498"/>
      <c r="C579" s="498"/>
      <c r="D579" s="497"/>
      <c r="E579" s="497"/>
      <c r="F579" s="497"/>
      <c r="G579" s="497"/>
      <c r="H579" s="497"/>
      <c r="I579" s="497"/>
      <c r="J579" s="496"/>
      <c r="K579" s="496"/>
      <c r="L579" s="497"/>
      <c r="M579" s="497"/>
    </row>
    <row r="580" spans="1:13" ht="12.6" customHeight="1" x14ac:dyDescent="0.2">
      <c r="A580" s="493"/>
      <c r="B580" s="785" t="s">
        <v>892</v>
      </c>
      <c r="C580" s="785"/>
      <c r="D580" s="502">
        <v>1</v>
      </c>
      <c r="E580" s="502">
        <v>8.3000000000000007</v>
      </c>
      <c r="F580" s="502"/>
      <c r="G580" s="502">
        <v>5</v>
      </c>
      <c r="H580" s="502"/>
      <c r="I580" s="502"/>
      <c r="J580" s="466"/>
      <c r="K580" s="435">
        <f t="shared" ref="K580:K586" si="67">G580*E580</f>
        <v>41.5</v>
      </c>
      <c r="L580" s="444">
        <f>K580*D580</f>
        <v>41.5</v>
      </c>
      <c r="M580" s="504"/>
    </row>
    <row r="581" spans="1:13" ht="12.6" customHeight="1" x14ac:dyDescent="0.2">
      <c r="A581" s="113"/>
      <c r="B581" s="785" t="s">
        <v>917</v>
      </c>
      <c r="C581" s="785"/>
      <c r="D581" s="502">
        <v>1</v>
      </c>
      <c r="E581" s="502">
        <v>9.25</v>
      </c>
      <c r="F581" s="502"/>
      <c r="G581" s="502">
        <v>1.3</v>
      </c>
      <c r="H581" s="502"/>
      <c r="I581" s="502"/>
      <c r="J581" s="466"/>
      <c r="K581" s="435">
        <f t="shared" si="67"/>
        <v>12.025</v>
      </c>
      <c r="L581" s="444">
        <f t="shared" ref="L581:L586" si="68">K581*D581</f>
        <v>12.025</v>
      </c>
      <c r="M581" s="504"/>
    </row>
    <row r="582" spans="1:13" ht="12.6" customHeight="1" x14ac:dyDescent="0.2">
      <c r="A582" s="113"/>
      <c r="B582" s="760" t="s">
        <v>918</v>
      </c>
      <c r="C582" s="760"/>
      <c r="D582" s="502">
        <v>1</v>
      </c>
      <c r="E582" s="502">
        <v>3</v>
      </c>
      <c r="F582" s="502"/>
      <c r="G582" s="502">
        <v>13</v>
      </c>
      <c r="H582" s="502"/>
      <c r="I582" s="505"/>
      <c r="J582" s="505"/>
      <c r="K582" s="435">
        <f t="shared" si="67"/>
        <v>39</v>
      </c>
      <c r="L582" s="444">
        <f t="shared" si="68"/>
        <v>39</v>
      </c>
      <c r="M582" s="504"/>
    </row>
    <row r="583" spans="1:13" ht="12.6" customHeight="1" x14ac:dyDescent="0.2">
      <c r="A583" s="113"/>
      <c r="B583" s="760" t="s">
        <v>916</v>
      </c>
      <c r="C583" s="760"/>
      <c r="D583" s="502">
        <v>1</v>
      </c>
      <c r="E583" s="502">
        <v>3.5</v>
      </c>
      <c r="F583" s="502"/>
      <c r="G583" s="502">
        <v>18.899999999999999</v>
      </c>
      <c r="H583" s="502"/>
      <c r="I583" s="505"/>
      <c r="J583" s="505"/>
      <c r="K583" s="435">
        <f t="shared" si="67"/>
        <v>66.149999999999991</v>
      </c>
      <c r="L583" s="444">
        <f t="shared" si="68"/>
        <v>66.149999999999991</v>
      </c>
      <c r="M583" s="504"/>
    </row>
    <row r="584" spans="1:13" ht="12.6" customHeight="1" x14ac:dyDescent="0.2">
      <c r="A584" s="113"/>
      <c r="B584" s="508" t="s">
        <v>919</v>
      </c>
      <c r="C584" s="508"/>
      <c r="D584" s="502">
        <v>1</v>
      </c>
      <c r="E584" s="502">
        <v>2</v>
      </c>
      <c r="F584" s="502"/>
      <c r="G584" s="502">
        <v>15</v>
      </c>
      <c r="H584" s="502"/>
      <c r="I584" s="502"/>
      <c r="J584" s="466"/>
      <c r="K584" s="435">
        <f t="shared" si="67"/>
        <v>30</v>
      </c>
      <c r="L584" s="444">
        <f t="shared" si="68"/>
        <v>30</v>
      </c>
      <c r="M584" s="504"/>
    </row>
    <row r="585" spans="1:13" ht="12.6" customHeight="1" x14ac:dyDescent="0.2">
      <c r="B585" s="760" t="s">
        <v>920</v>
      </c>
      <c r="C585" s="760"/>
      <c r="D585" s="507">
        <v>1</v>
      </c>
      <c r="E585" s="503">
        <v>3.5</v>
      </c>
      <c r="F585" s="504"/>
      <c r="G585" s="503">
        <v>2</v>
      </c>
      <c r="H585" s="504"/>
      <c r="I585" s="504"/>
      <c r="J585" s="504"/>
      <c r="K585" s="435">
        <f t="shared" si="67"/>
        <v>7</v>
      </c>
      <c r="L585" s="444">
        <f t="shared" si="68"/>
        <v>7</v>
      </c>
    </row>
    <row r="586" spans="1:13" ht="12.6" customHeight="1" x14ac:dyDescent="0.2">
      <c r="B586" s="760" t="s">
        <v>920</v>
      </c>
      <c r="C586" s="760"/>
      <c r="D586" s="507">
        <v>1</v>
      </c>
      <c r="E586" s="503">
        <v>3.5</v>
      </c>
      <c r="F586" s="504"/>
      <c r="G586" s="503">
        <v>2</v>
      </c>
      <c r="H586" s="504"/>
      <c r="I586" s="504"/>
      <c r="J586" s="504"/>
      <c r="K586" s="435">
        <f t="shared" si="67"/>
        <v>7</v>
      </c>
      <c r="L586" s="444">
        <f t="shared" si="68"/>
        <v>7</v>
      </c>
    </row>
    <row r="588" spans="1:13" ht="12.6" customHeight="1" x14ac:dyDescent="0.2">
      <c r="A588" s="511" t="s">
        <v>863</v>
      </c>
      <c r="B588" s="866" t="s">
        <v>864</v>
      </c>
      <c r="C588" s="867"/>
      <c r="D588" s="867"/>
      <c r="E588" s="867"/>
      <c r="F588" s="867"/>
      <c r="G588" s="867"/>
      <c r="H588" s="867"/>
      <c r="I588" s="867"/>
      <c r="J588" s="867"/>
      <c r="K588" s="868"/>
      <c r="L588" s="512">
        <f>SUM(L590:L596)</f>
        <v>182.17999999999998</v>
      </c>
      <c r="M588" s="513" t="s">
        <v>400</v>
      </c>
    </row>
    <row r="590" spans="1:13" ht="12.75" customHeight="1" x14ac:dyDescent="0.25">
      <c r="A590" s="510"/>
      <c r="B590" s="501" t="s">
        <v>921</v>
      </c>
      <c r="C590" s="501"/>
      <c r="D590" s="509">
        <v>1</v>
      </c>
      <c r="E590" s="467">
        <v>17</v>
      </c>
      <c r="F590" s="501"/>
      <c r="G590" s="467">
        <v>3.98</v>
      </c>
      <c r="H590" s="501"/>
      <c r="I590" s="501"/>
      <c r="J590" s="501"/>
      <c r="K590" s="369">
        <f>G590*E590</f>
        <v>67.66</v>
      </c>
      <c r="L590" s="364">
        <f>K590*D590</f>
        <v>67.66</v>
      </c>
      <c r="M590" s="510"/>
    </row>
    <row r="591" spans="1:13" ht="12.75" customHeight="1" x14ac:dyDescent="0.25">
      <c r="A591" s="510"/>
      <c r="B591" s="501" t="s">
        <v>922</v>
      </c>
      <c r="C591" s="501"/>
      <c r="D591" s="509">
        <v>1</v>
      </c>
      <c r="E591" s="467">
        <v>17</v>
      </c>
      <c r="F591" s="501"/>
      <c r="G591" s="467">
        <v>3.98</v>
      </c>
      <c r="H591" s="501"/>
      <c r="I591" s="501"/>
      <c r="J591" s="501"/>
      <c r="K591" s="369">
        <f t="shared" ref="K591:K596" si="69">G591*E591</f>
        <v>67.66</v>
      </c>
      <c r="L591" s="364">
        <f t="shared" ref="L591:L596" si="70">K591*D591</f>
        <v>67.66</v>
      </c>
      <c r="M591" s="510"/>
    </row>
    <row r="592" spans="1:13" ht="13.5" customHeight="1" x14ac:dyDescent="0.25">
      <c r="A592" s="510"/>
      <c r="B592" s="501" t="s">
        <v>923</v>
      </c>
      <c r="C592" s="501"/>
      <c r="D592" s="509">
        <v>1</v>
      </c>
      <c r="E592" s="467">
        <v>2.0699999999999998</v>
      </c>
      <c r="F592" s="501"/>
      <c r="G592" s="467">
        <v>4</v>
      </c>
      <c r="H592" s="501"/>
      <c r="I592" s="501"/>
      <c r="J592" s="501"/>
      <c r="K592" s="369">
        <f t="shared" si="69"/>
        <v>8.2799999999999994</v>
      </c>
      <c r="L592" s="364">
        <f t="shared" si="70"/>
        <v>8.2799999999999994</v>
      </c>
      <c r="M592" s="510"/>
    </row>
    <row r="593" spans="1:13" ht="14.25" customHeight="1" x14ac:dyDescent="0.25">
      <c r="A593" s="510"/>
      <c r="B593" s="501" t="s">
        <v>877</v>
      </c>
      <c r="C593" s="501"/>
      <c r="D593" s="509">
        <v>1</v>
      </c>
      <c r="E593" s="467">
        <v>3.9</v>
      </c>
      <c r="F593" s="501"/>
      <c r="G593" s="467">
        <v>2.8</v>
      </c>
      <c r="H593" s="501"/>
      <c r="I593" s="501"/>
      <c r="J593" s="501"/>
      <c r="K593" s="369">
        <f t="shared" si="69"/>
        <v>10.92</v>
      </c>
      <c r="L593" s="364">
        <f t="shared" si="70"/>
        <v>10.92</v>
      </c>
      <c r="M593" s="510"/>
    </row>
    <row r="594" spans="1:13" ht="12.6" customHeight="1" x14ac:dyDescent="0.2">
      <c r="B594" s="501" t="s">
        <v>924</v>
      </c>
      <c r="C594" s="501"/>
      <c r="D594" s="509">
        <v>1</v>
      </c>
      <c r="E594" s="467">
        <v>3.1</v>
      </c>
      <c r="F594" s="501"/>
      <c r="G594" s="467">
        <v>3.85</v>
      </c>
      <c r="H594" s="501"/>
      <c r="I594" s="501"/>
      <c r="J594" s="501"/>
      <c r="K594" s="369">
        <f t="shared" si="69"/>
        <v>11.935</v>
      </c>
      <c r="L594" s="364">
        <f t="shared" si="70"/>
        <v>11.935</v>
      </c>
    </row>
    <row r="595" spans="1:13" ht="12.6" customHeight="1" x14ac:dyDescent="0.2">
      <c r="B595" s="501" t="s">
        <v>924</v>
      </c>
      <c r="C595" s="501"/>
      <c r="D595" s="509">
        <v>1</v>
      </c>
      <c r="E595" s="467">
        <v>2.75</v>
      </c>
      <c r="F595" s="501"/>
      <c r="G595" s="467">
        <v>3.3</v>
      </c>
      <c r="H595" s="501"/>
      <c r="I595" s="501"/>
      <c r="J595" s="501"/>
      <c r="K595" s="369">
        <f t="shared" si="69"/>
        <v>9.0749999999999993</v>
      </c>
      <c r="L595" s="364">
        <f t="shared" si="70"/>
        <v>9.0749999999999993</v>
      </c>
    </row>
    <row r="596" spans="1:13" ht="12.6" customHeight="1" x14ac:dyDescent="0.2">
      <c r="B596" s="501" t="s">
        <v>925</v>
      </c>
      <c r="C596" s="501"/>
      <c r="D596" s="509">
        <v>1</v>
      </c>
      <c r="E596" s="467">
        <v>0.7</v>
      </c>
      <c r="F596" s="501"/>
      <c r="G596" s="467">
        <v>9.5</v>
      </c>
      <c r="H596" s="501"/>
      <c r="I596" s="501"/>
      <c r="J596" s="501"/>
      <c r="K596" s="369">
        <f t="shared" si="69"/>
        <v>6.6499999999999995</v>
      </c>
      <c r="L596" s="364">
        <f t="shared" si="70"/>
        <v>6.6499999999999995</v>
      </c>
    </row>
    <row r="598" spans="1:13" ht="12.6" customHeight="1" x14ac:dyDescent="0.2">
      <c r="A598" s="515">
        <v>8</v>
      </c>
      <c r="B598" s="772" t="str">
        <f>REPROGRAMAÇÃO!B113</f>
        <v>PINTURA</v>
      </c>
      <c r="C598" s="772"/>
      <c r="D598" s="772"/>
      <c r="E598" s="772"/>
      <c r="F598" s="772"/>
      <c r="G598" s="772"/>
      <c r="H598" s="772"/>
      <c r="I598" s="772"/>
      <c r="J598" s="772"/>
      <c r="K598" s="772"/>
      <c r="L598" s="772"/>
      <c r="M598" s="772"/>
    </row>
    <row r="599" spans="1:13" ht="12.6" customHeight="1" x14ac:dyDescent="0.2">
      <c r="A599" s="301"/>
      <c r="B599" s="505"/>
      <c r="C599" s="505"/>
      <c r="D599" s="507"/>
      <c r="E599" s="507"/>
      <c r="F599" s="301"/>
      <c r="G599" s="301"/>
      <c r="H599" s="301"/>
      <c r="I599" s="301"/>
      <c r="J599" s="301"/>
      <c r="K599" s="516"/>
      <c r="L599" s="517"/>
      <c r="M599" s="506"/>
    </row>
    <row r="600" spans="1:13" ht="12.6" customHeight="1" x14ac:dyDescent="0.2">
      <c r="A600" s="412" t="s">
        <v>535</v>
      </c>
      <c r="B600" s="761" t="str">
        <f>REPROGRAMAÇÃO!B114</f>
        <v>APLICAÇÃO DE FUNDO SELADOR ACRÍLICO EM PAREDES, UMA DEMÃO. AF_06/2014</v>
      </c>
      <c r="C600" s="761"/>
      <c r="D600" s="761"/>
      <c r="E600" s="761"/>
      <c r="F600" s="761"/>
      <c r="G600" s="761"/>
      <c r="H600" s="761"/>
      <c r="I600" s="761"/>
      <c r="J600" s="761"/>
      <c r="K600" s="761"/>
      <c r="L600" s="761"/>
      <c r="M600" s="761"/>
    </row>
    <row r="601" spans="1:13" ht="12.6" customHeight="1" x14ac:dyDescent="0.2">
      <c r="A601" s="502"/>
      <c r="B601" s="762" t="s">
        <v>133</v>
      </c>
      <c r="C601" s="763"/>
      <c r="D601" s="249"/>
      <c r="E601" s="249"/>
      <c r="F601" s="249"/>
      <c r="G601" s="249"/>
      <c r="H601" s="249"/>
      <c r="I601" s="249"/>
      <c r="J601" s="250"/>
      <c r="K601" s="250"/>
      <c r="L601" s="250">
        <f>REPROGRAMAÇÃO!F114</f>
        <v>797.16</v>
      </c>
      <c r="M601" s="250"/>
    </row>
    <row r="602" spans="1:13" ht="12.6" customHeight="1" x14ac:dyDescent="0.2">
      <c r="A602" s="502"/>
      <c r="B602" s="764" t="s">
        <v>812</v>
      </c>
      <c r="C602" s="765"/>
      <c r="D602" s="251"/>
      <c r="E602" s="251"/>
      <c r="F602" s="251"/>
      <c r="G602" s="251"/>
      <c r="H602" s="251"/>
      <c r="I602" s="251"/>
      <c r="J602" s="252"/>
      <c r="K602" s="252"/>
      <c r="L602" s="251">
        <f>SUM(L605:L633)</f>
        <v>1446.81</v>
      </c>
      <c r="M602" s="252"/>
    </row>
    <row r="603" spans="1:13" ht="12.6" customHeight="1" x14ac:dyDescent="0.2">
      <c r="A603" s="502"/>
      <c r="B603" s="253" t="s">
        <v>813</v>
      </c>
      <c r="C603" s="254"/>
      <c r="D603" s="255"/>
      <c r="E603" s="255"/>
      <c r="F603" s="255"/>
      <c r="G603" s="255"/>
      <c r="H603" s="255"/>
      <c r="I603" s="255"/>
      <c r="J603" s="256"/>
      <c r="K603" s="256"/>
      <c r="L603" s="251">
        <f>L602-L601</f>
        <v>649.65</v>
      </c>
      <c r="M603" s="252"/>
    </row>
    <row r="604" spans="1:13" ht="12.6" customHeight="1" x14ac:dyDescent="0.2">
      <c r="A604" s="502"/>
      <c r="B604" s="424"/>
      <c r="C604" s="424"/>
      <c r="D604" s="424"/>
      <c r="E604" s="424"/>
      <c r="F604" s="424"/>
      <c r="G604" s="424"/>
      <c r="H604" s="424"/>
      <c r="I604" s="424"/>
      <c r="J604" s="424"/>
      <c r="K604" s="516"/>
      <c r="L604" s="517"/>
      <c r="M604" s="506"/>
    </row>
    <row r="605" spans="1:13" ht="12.6" customHeight="1" x14ac:dyDescent="0.2">
      <c r="A605" s="301"/>
      <c r="B605" s="760" t="s">
        <v>926</v>
      </c>
      <c r="C605" s="760"/>
      <c r="D605" s="507">
        <v>10</v>
      </c>
      <c r="E605" s="503">
        <v>1.6</v>
      </c>
      <c r="F605" s="301"/>
      <c r="G605" s="518">
        <v>4.3</v>
      </c>
      <c r="H605" s="301"/>
      <c r="I605" s="301"/>
      <c r="J605" s="301"/>
      <c r="K605" s="502">
        <f>E605*G605</f>
        <v>6.88</v>
      </c>
      <c r="L605" s="502">
        <f>K605*D605</f>
        <v>68.8</v>
      </c>
      <c r="M605" s="506"/>
    </row>
    <row r="606" spans="1:13" ht="12.6" customHeight="1" x14ac:dyDescent="0.2">
      <c r="A606" s="301"/>
      <c r="B606" s="760" t="s">
        <v>926</v>
      </c>
      <c r="C606" s="760"/>
      <c r="D606" s="507">
        <v>1</v>
      </c>
      <c r="E606" s="503">
        <f>6.7+3.3</f>
        <v>10</v>
      </c>
      <c r="F606" s="470"/>
      <c r="G606" s="519">
        <v>5.0999999999999996</v>
      </c>
      <c r="H606" s="301"/>
      <c r="I606" s="301"/>
      <c r="J606" s="301"/>
      <c r="K606" s="502">
        <f t="shared" ref="K606:K622" si="71">E606*G606</f>
        <v>51</v>
      </c>
      <c r="L606" s="502">
        <f t="shared" ref="L606:L617" si="72">K606*D606</f>
        <v>51</v>
      </c>
      <c r="M606" s="506"/>
    </row>
    <row r="607" spans="1:13" ht="12.6" customHeight="1" x14ac:dyDescent="0.2">
      <c r="A607" s="301"/>
      <c r="B607" s="760" t="s">
        <v>927</v>
      </c>
      <c r="C607" s="760"/>
      <c r="D607" s="507">
        <v>1</v>
      </c>
      <c r="E607" s="503">
        <v>16.7</v>
      </c>
      <c r="F607" s="470"/>
      <c r="G607" s="519">
        <v>1</v>
      </c>
      <c r="H607" s="301"/>
      <c r="I607" s="301"/>
      <c r="J607" s="301"/>
      <c r="K607" s="502">
        <f t="shared" si="71"/>
        <v>16.7</v>
      </c>
      <c r="L607" s="502">
        <f t="shared" si="72"/>
        <v>16.7</v>
      </c>
      <c r="M607" s="506"/>
    </row>
    <row r="608" spans="1:13" ht="12.6" customHeight="1" x14ac:dyDescent="0.2">
      <c r="A608" s="301"/>
      <c r="B608" s="760" t="s">
        <v>926</v>
      </c>
      <c r="C608" s="760"/>
      <c r="D608" s="507">
        <v>1</v>
      </c>
      <c r="E608" s="503">
        <v>5.0999999999999996</v>
      </c>
      <c r="F608" s="301"/>
      <c r="G608" s="520">
        <v>5.0999999999999996</v>
      </c>
      <c r="H608" s="301"/>
      <c r="I608" s="301"/>
      <c r="J608" s="301"/>
      <c r="K608" s="502">
        <f t="shared" si="71"/>
        <v>26.009999999999998</v>
      </c>
      <c r="L608" s="502">
        <f t="shared" si="72"/>
        <v>26.009999999999998</v>
      </c>
      <c r="M608" s="506"/>
    </row>
    <row r="609" spans="1:13" ht="12.6" customHeight="1" x14ac:dyDescent="0.2">
      <c r="A609" s="301"/>
      <c r="B609" s="760" t="s">
        <v>928</v>
      </c>
      <c r="C609" s="760"/>
      <c r="D609" s="507">
        <v>1</v>
      </c>
      <c r="E609" s="503">
        <f>10+6.7</f>
        <v>16.7</v>
      </c>
      <c r="F609" s="301"/>
      <c r="G609" s="301">
        <v>0.8</v>
      </c>
      <c r="H609" s="301"/>
      <c r="I609" s="301"/>
      <c r="J609" s="301"/>
      <c r="K609" s="502">
        <f t="shared" si="71"/>
        <v>13.36</v>
      </c>
      <c r="L609" s="502">
        <f t="shared" si="72"/>
        <v>13.36</v>
      </c>
      <c r="M609" s="506"/>
    </row>
    <row r="610" spans="1:13" ht="12.6" customHeight="1" x14ac:dyDescent="0.2">
      <c r="A610" s="301"/>
      <c r="B610" s="760" t="s">
        <v>928</v>
      </c>
      <c r="C610" s="760"/>
      <c r="D610" s="507">
        <v>1</v>
      </c>
      <c r="E610" s="503">
        <v>4.3</v>
      </c>
      <c r="F610" s="301"/>
      <c r="G610" s="301">
        <v>0.8</v>
      </c>
      <c r="H610" s="301"/>
      <c r="I610" s="301"/>
      <c r="J610" s="301"/>
      <c r="K610" s="502">
        <f t="shared" si="71"/>
        <v>3.44</v>
      </c>
      <c r="L610" s="502">
        <f t="shared" si="72"/>
        <v>3.44</v>
      </c>
      <c r="M610" s="506"/>
    </row>
    <row r="611" spans="1:13" ht="12.6" customHeight="1" x14ac:dyDescent="0.2">
      <c r="A611" s="301"/>
      <c r="B611" s="760" t="s">
        <v>928</v>
      </c>
      <c r="C611" s="760"/>
      <c r="D611" s="507">
        <v>1</v>
      </c>
      <c r="E611" s="503">
        <v>2.35</v>
      </c>
      <c r="F611" s="301"/>
      <c r="G611" s="301">
        <v>3.7</v>
      </c>
      <c r="H611" s="301"/>
      <c r="I611" s="301"/>
      <c r="J611" s="301"/>
      <c r="K611" s="502">
        <f t="shared" si="71"/>
        <v>8.6950000000000003</v>
      </c>
      <c r="L611" s="502">
        <f t="shared" si="72"/>
        <v>8.6950000000000003</v>
      </c>
      <c r="M611" s="506"/>
    </row>
    <row r="612" spans="1:13" ht="12.6" customHeight="1" x14ac:dyDescent="0.2">
      <c r="A612" s="301"/>
      <c r="B612" s="760" t="s">
        <v>928</v>
      </c>
      <c r="C612" s="760"/>
      <c r="D612" s="507">
        <v>1</v>
      </c>
      <c r="E612" s="503">
        <v>4.6500000000000004</v>
      </c>
      <c r="F612" s="301"/>
      <c r="G612" s="301">
        <v>5.0999999999999996</v>
      </c>
      <c r="H612" s="301"/>
      <c r="I612" s="301"/>
      <c r="J612" s="301"/>
      <c r="K612" s="502">
        <f t="shared" si="71"/>
        <v>23.715</v>
      </c>
      <c r="L612" s="502">
        <f t="shared" si="72"/>
        <v>23.715</v>
      </c>
      <c r="M612" s="506"/>
    </row>
    <row r="613" spans="1:13" ht="12.6" customHeight="1" x14ac:dyDescent="0.2">
      <c r="A613" s="301"/>
      <c r="B613" s="760" t="s">
        <v>929</v>
      </c>
      <c r="C613" s="760"/>
      <c r="D613" s="507">
        <v>1</v>
      </c>
      <c r="E613" s="503">
        <v>9</v>
      </c>
      <c r="F613" s="301"/>
      <c r="G613" s="301">
        <v>5.0999999999999996</v>
      </c>
      <c r="H613" s="301"/>
      <c r="I613" s="301"/>
      <c r="J613" s="301"/>
      <c r="K613" s="502">
        <f t="shared" si="71"/>
        <v>45.9</v>
      </c>
      <c r="L613" s="502">
        <f t="shared" si="72"/>
        <v>45.9</v>
      </c>
      <c r="M613" s="506"/>
    </row>
    <row r="614" spans="1:13" ht="12.6" customHeight="1" x14ac:dyDescent="0.2">
      <c r="A614" s="301"/>
      <c r="B614" s="760" t="s">
        <v>930</v>
      </c>
      <c r="C614" s="760"/>
      <c r="D614" s="507">
        <v>1</v>
      </c>
      <c r="E614" s="503">
        <f>1.9+1.3</f>
        <v>3.2</v>
      </c>
      <c r="F614" s="301"/>
      <c r="G614" s="301">
        <v>4.9000000000000004</v>
      </c>
      <c r="H614" s="301"/>
      <c r="I614" s="301"/>
      <c r="J614" s="301"/>
      <c r="K614" s="502">
        <f t="shared" si="71"/>
        <v>15.680000000000001</v>
      </c>
      <c r="L614" s="502">
        <f t="shared" si="72"/>
        <v>15.680000000000001</v>
      </c>
      <c r="M614" s="506"/>
    </row>
    <row r="615" spans="1:13" ht="12.6" customHeight="1" x14ac:dyDescent="0.2">
      <c r="A615" s="301"/>
      <c r="B615" s="760" t="s">
        <v>931</v>
      </c>
      <c r="C615" s="760"/>
      <c r="D615" s="507">
        <v>1</v>
      </c>
      <c r="E615" s="503">
        <v>24.5</v>
      </c>
      <c r="F615" s="301"/>
      <c r="G615" s="301">
        <v>0.7</v>
      </c>
      <c r="H615" s="301"/>
      <c r="I615" s="301"/>
      <c r="J615" s="301"/>
      <c r="K615" s="502">
        <f t="shared" si="71"/>
        <v>17.149999999999999</v>
      </c>
      <c r="L615" s="502">
        <f t="shared" si="72"/>
        <v>17.149999999999999</v>
      </c>
      <c r="M615" s="506"/>
    </row>
    <row r="616" spans="1:13" ht="12.6" customHeight="1" x14ac:dyDescent="0.2">
      <c r="A616" s="301"/>
      <c r="B616" s="760" t="s">
        <v>930</v>
      </c>
      <c r="C616" s="760"/>
      <c r="D616" s="507">
        <v>1</v>
      </c>
      <c r="E616" s="503">
        <v>2.9</v>
      </c>
      <c r="F616" s="301"/>
      <c r="G616" s="301">
        <v>4.9000000000000004</v>
      </c>
      <c r="H616" s="301"/>
      <c r="I616" s="301"/>
      <c r="J616" s="301"/>
      <c r="K616" s="502">
        <f t="shared" si="71"/>
        <v>14.21</v>
      </c>
      <c r="L616" s="502">
        <f t="shared" si="72"/>
        <v>14.21</v>
      </c>
      <c r="M616" s="506"/>
    </row>
    <row r="617" spans="1:13" ht="12.6" customHeight="1" x14ac:dyDescent="0.2">
      <c r="A617" s="301"/>
      <c r="B617" s="760" t="s">
        <v>932</v>
      </c>
      <c r="C617" s="760"/>
      <c r="D617" s="507">
        <v>1</v>
      </c>
      <c r="E617" s="503">
        <v>12.5</v>
      </c>
      <c r="F617" s="301"/>
      <c r="G617" s="301">
        <v>4</v>
      </c>
      <c r="H617" s="301"/>
      <c r="I617" s="301"/>
      <c r="J617" s="301"/>
      <c r="K617" s="502">
        <f t="shared" si="71"/>
        <v>50</v>
      </c>
      <c r="L617" s="502">
        <f t="shared" si="72"/>
        <v>50</v>
      </c>
      <c r="M617" s="506"/>
    </row>
    <row r="618" spans="1:13" ht="12.6" customHeight="1" x14ac:dyDescent="0.2">
      <c r="B618" s="501" t="s">
        <v>933</v>
      </c>
      <c r="C618" s="509"/>
      <c r="D618" s="509">
        <v>1</v>
      </c>
      <c r="E618" s="467">
        <v>13.5</v>
      </c>
      <c r="F618" s="467"/>
      <c r="G618" s="467">
        <v>3.4</v>
      </c>
      <c r="H618" s="509"/>
      <c r="I618" s="509"/>
      <c r="J618" s="509"/>
      <c r="K618" s="502">
        <f t="shared" si="71"/>
        <v>45.9</v>
      </c>
      <c r="L618" s="364">
        <f t="shared" ref="L618:L630" si="73">ROUND(D618*K618,2)</f>
        <v>45.9</v>
      </c>
      <c r="M618" s="473"/>
    </row>
    <row r="619" spans="1:13" ht="12.6" customHeight="1" x14ac:dyDescent="0.2">
      <c r="B619" s="501" t="s">
        <v>934</v>
      </c>
      <c r="C619" s="509"/>
      <c r="D619" s="509">
        <v>1</v>
      </c>
      <c r="E619" s="467">
        <v>22.6</v>
      </c>
      <c r="F619" s="467"/>
      <c r="G619" s="467">
        <v>3.6</v>
      </c>
      <c r="H619" s="509"/>
      <c r="I619" s="509"/>
      <c r="J619" s="509"/>
      <c r="K619" s="502">
        <f t="shared" si="71"/>
        <v>81.360000000000014</v>
      </c>
      <c r="L619" s="364">
        <f t="shared" si="73"/>
        <v>81.36</v>
      </c>
      <c r="M619" s="473"/>
    </row>
    <row r="620" spans="1:13" ht="12.6" customHeight="1" x14ac:dyDescent="0.2">
      <c r="B620" s="501" t="s">
        <v>935</v>
      </c>
      <c r="C620" s="509"/>
      <c r="D620" s="509">
        <v>1</v>
      </c>
      <c r="E620" s="467">
        <v>22</v>
      </c>
      <c r="F620" s="467"/>
      <c r="G620" s="467">
        <v>3.3</v>
      </c>
      <c r="H620" s="509"/>
      <c r="I620" s="509"/>
      <c r="J620" s="509"/>
      <c r="K620" s="502">
        <f t="shared" si="71"/>
        <v>72.599999999999994</v>
      </c>
      <c r="L620" s="364">
        <f t="shared" si="73"/>
        <v>72.599999999999994</v>
      </c>
      <c r="M620" s="473"/>
    </row>
    <row r="621" spans="1:13" ht="12.6" customHeight="1" x14ac:dyDescent="0.2">
      <c r="B621" s="501" t="s">
        <v>936</v>
      </c>
      <c r="C621" s="509"/>
      <c r="D621" s="509">
        <v>1</v>
      </c>
      <c r="E621" s="467">
        <v>26.9</v>
      </c>
      <c r="F621" s="467"/>
      <c r="G621" s="467">
        <v>2.4</v>
      </c>
      <c r="H621" s="509"/>
      <c r="I621" s="509"/>
      <c r="J621" s="509"/>
      <c r="K621" s="502">
        <f t="shared" si="71"/>
        <v>64.559999999999988</v>
      </c>
      <c r="L621" s="364">
        <f t="shared" si="73"/>
        <v>64.56</v>
      </c>
      <c r="M621" s="473"/>
    </row>
    <row r="622" spans="1:13" ht="12.6" customHeight="1" x14ac:dyDescent="0.2">
      <c r="B622" s="501" t="s">
        <v>937</v>
      </c>
      <c r="C622" s="509"/>
      <c r="D622" s="509">
        <v>1</v>
      </c>
      <c r="E622" s="467">
        <v>50.5</v>
      </c>
      <c r="F622" s="467"/>
      <c r="G622" s="467">
        <v>2.4</v>
      </c>
      <c r="H622" s="509"/>
      <c r="I622" s="509"/>
      <c r="J622" s="509"/>
      <c r="K622" s="502">
        <f t="shared" si="71"/>
        <v>121.19999999999999</v>
      </c>
      <c r="L622" s="364">
        <f t="shared" si="73"/>
        <v>121.2</v>
      </c>
      <c r="M622" s="473"/>
    </row>
    <row r="623" spans="1:13" ht="12.6" customHeight="1" x14ac:dyDescent="0.2">
      <c r="B623" s="501" t="s">
        <v>938</v>
      </c>
      <c r="C623" s="509"/>
      <c r="D623" s="509">
        <v>1</v>
      </c>
      <c r="E623" s="467">
        <v>45</v>
      </c>
      <c r="F623" s="467"/>
      <c r="G623" s="467">
        <v>2.4</v>
      </c>
      <c r="H623" s="509"/>
      <c r="I623" s="509">
        <v>-30.06</v>
      </c>
      <c r="J623" s="509"/>
      <c r="K623" s="502">
        <f>(E623*G623)+I623</f>
        <v>77.94</v>
      </c>
      <c r="L623" s="364">
        <f t="shared" si="73"/>
        <v>77.94</v>
      </c>
      <c r="M623" s="473"/>
    </row>
    <row r="624" spans="1:13" ht="12.6" customHeight="1" x14ac:dyDescent="0.2">
      <c r="B624" s="521" t="s">
        <v>939</v>
      </c>
      <c r="C624" s="522"/>
      <c r="D624" s="522">
        <v>1</v>
      </c>
      <c r="E624" s="522">
        <v>27.2</v>
      </c>
      <c r="F624" s="522"/>
      <c r="G624" s="522">
        <v>0.9</v>
      </c>
      <c r="H624" s="509"/>
      <c r="I624" s="509"/>
      <c r="J624" s="509"/>
      <c r="K624" s="369">
        <f t="shared" ref="K624:K630" si="74">E624*G624+I624</f>
        <v>24.48</v>
      </c>
      <c r="L624" s="364">
        <f t="shared" si="73"/>
        <v>24.48</v>
      </c>
      <c r="M624" s="473"/>
    </row>
    <row r="625" spans="1:13" ht="12.6" customHeight="1" x14ac:dyDescent="0.2">
      <c r="B625" s="521" t="s">
        <v>939</v>
      </c>
      <c r="C625" s="522"/>
      <c r="D625" s="522">
        <v>1</v>
      </c>
      <c r="E625" s="522">
        <v>0.9</v>
      </c>
      <c r="F625" s="522"/>
      <c r="G625" s="522">
        <v>0.9</v>
      </c>
      <c r="H625" s="509"/>
      <c r="I625" s="509"/>
      <c r="J625" s="509"/>
      <c r="K625" s="369">
        <f t="shared" si="74"/>
        <v>0.81</v>
      </c>
      <c r="L625" s="364">
        <f t="shared" si="73"/>
        <v>0.81</v>
      </c>
      <c r="M625" s="473"/>
    </row>
    <row r="626" spans="1:13" ht="12.6" customHeight="1" x14ac:dyDescent="0.2">
      <c r="B626" s="521" t="s">
        <v>939</v>
      </c>
      <c r="C626" s="522"/>
      <c r="D626" s="522">
        <v>1</v>
      </c>
      <c r="E626" s="522">
        <v>0.9</v>
      </c>
      <c r="F626" s="522"/>
      <c r="G626" s="522">
        <v>0.9</v>
      </c>
      <c r="H626" s="509"/>
      <c r="I626" s="509"/>
      <c r="J626" s="509"/>
      <c r="K626" s="369">
        <f t="shared" si="74"/>
        <v>0.81</v>
      </c>
      <c r="L626" s="364">
        <f t="shared" si="73"/>
        <v>0.81</v>
      </c>
      <c r="M626" s="473"/>
    </row>
    <row r="627" spans="1:13" ht="12.6" customHeight="1" x14ac:dyDescent="0.2">
      <c r="B627" s="521" t="s">
        <v>940</v>
      </c>
      <c r="C627" s="522"/>
      <c r="D627" s="522">
        <v>1</v>
      </c>
      <c r="E627" s="522">
        <v>16</v>
      </c>
      <c r="F627" s="522"/>
      <c r="G627" s="522">
        <v>0.9</v>
      </c>
      <c r="H627" s="509"/>
      <c r="I627" s="509"/>
      <c r="J627" s="509"/>
      <c r="K627" s="369">
        <f t="shared" si="74"/>
        <v>14.4</v>
      </c>
      <c r="L627" s="364">
        <f t="shared" si="73"/>
        <v>14.4</v>
      </c>
      <c r="M627" s="473"/>
    </row>
    <row r="628" spans="1:13" ht="12.6" customHeight="1" x14ac:dyDescent="0.2">
      <c r="B628" s="521" t="s">
        <v>940</v>
      </c>
      <c r="C628" s="522"/>
      <c r="D628" s="522">
        <v>1</v>
      </c>
      <c r="E628" s="522">
        <v>16</v>
      </c>
      <c r="F628" s="522"/>
      <c r="G628" s="522">
        <v>0.9</v>
      </c>
      <c r="H628" s="509"/>
      <c r="I628" s="509"/>
      <c r="J628" s="509"/>
      <c r="K628" s="369">
        <f t="shared" si="74"/>
        <v>14.4</v>
      </c>
      <c r="L628" s="364">
        <f t="shared" si="73"/>
        <v>14.4</v>
      </c>
      <c r="M628" s="473"/>
    </row>
    <row r="629" spans="1:13" ht="12.6" customHeight="1" x14ac:dyDescent="0.2">
      <c r="B629" s="521" t="s">
        <v>941</v>
      </c>
      <c r="C629" s="522"/>
      <c r="D629" s="522">
        <v>1</v>
      </c>
      <c r="E629" s="522">
        <v>48</v>
      </c>
      <c r="F629" s="522"/>
      <c r="G629" s="522">
        <v>3.4</v>
      </c>
      <c r="H629" s="509"/>
      <c r="I629" s="509">
        <v>-25</v>
      </c>
      <c r="J629" s="509"/>
      <c r="K629" s="369">
        <f t="shared" si="74"/>
        <v>138.19999999999999</v>
      </c>
      <c r="L629" s="364">
        <f t="shared" si="73"/>
        <v>138.19999999999999</v>
      </c>
      <c r="M629" s="473"/>
    </row>
    <row r="630" spans="1:13" ht="12.6" customHeight="1" x14ac:dyDescent="0.2">
      <c r="B630" s="521" t="s">
        <v>942</v>
      </c>
      <c r="C630" s="522"/>
      <c r="D630" s="522">
        <v>1</v>
      </c>
      <c r="E630" s="522">
        <v>9</v>
      </c>
      <c r="F630" s="522"/>
      <c r="G630" s="522">
        <v>5</v>
      </c>
      <c r="H630" s="509"/>
      <c r="I630" s="509"/>
      <c r="J630" s="509"/>
      <c r="K630" s="369">
        <f t="shared" si="74"/>
        <v>45</v>
      </c>
      <c r="L630" s="364">
        <f t="shared" si="73"/>
        <v>45</v>
      </c>
      <c r="M630" s="473"/>
    </row>
    <row r="631" spans="1:13" ht="12.6" customHeight="1" x14ac:dyDescent="0.2">
      <c r="B631" s="521" t="s">
        <v>972</v>
      </c>
      <c r="C631" s="522"/>
      <c r="D631" s="522">
        <v>1</v>
      </c>
      <c r="E631" s="522">
        <v>54.3</v>
      </c>
      <c r="F631" s="522"/>
      <c r="G631" s="522">
        <v>4</v>
      </c>
      <c r="H631" s="509"/>
      <c r="I631" s="509"/>
      <c r="J631" s="509"/>
      <c r="K631" s="369">
        <f>E631*G631+I631</f>
        <v>217.2</v>
      </c>
      <c r="L631" s="364">
        <f t="shared" ref="L631:L633" si="75">ROUND(D631*K631,2)</f>
        <v>217.2</v>
      </c>
      <c r="M631" s="473"/>
    </row>
    <row r="632" spans="1:13" ht="12.6" customHeight="1" x14ac:dyDescent="0.2">
      <c r="B632" s="773" t="s">
        <v>973</v>
      </c>
      <c r="C632" s="774"/>
      <c r="D632" s="522">
        <v>1</v>
      </c>
      <c r="E632" s="522">
        <v>19</v>
      </c>
      <c r="F632" s="522"/>
      <c r="G632" s="522">
        <v>8.8000000000000007</v>
      </c>
      <c r="H632" s="509"/>
      <c r="I632" s="509"/>
      <c r="J632" s="509"/>
      <c r="K632" s="369">
        <f t="shared" ref="K632:K633" si="76">E632*G632+I632</f>
        <v>167.20000000000002</v>
      </c>
      <c r="L632" s="364">
        <f t="shared" si="75"/>
        <v>167.2</v>
      </c>
      <c r="M632" s="473"/>
    </row>
    <row r="633" spans="1:13" ht="12.6" customHeight="1" x14ac:dyDescent="0.2">
      <c r="B633" s="521" t="s">
        <v>973</v>
      </c>
      <c r="C633" s="522"/>
      <c r="D633" s="522">
        <v>1</v>
      </c>
      <c r="E633" s="522">
        <v>5.8</v>
      </c>
      <c r="F633" s="522"/>
      <c r="G633" s="522">
        <v>1.05</v>
      </c>
      <c r="H633" s="509"/>
      <c r="I633" s="509"/>
      <c r="J633" s="509"/>
      <c r="K633" s="369">
        <f t="shared" si="76"/>
        <v>6.09</v>
      </c>
      <c r="L633" s="364">
        <f t="shared" si="75"/>
        <v>6.09</v>
      </c>
      <c r="M633" s="473"/>
    </row>
    <row r="634" spans="1:13" ht="12.6" customHeight="1" x14ac:dyDescent="0.2">
      <c r="B634" s="524"/>
      <c r="C634" s="525"/>
      <c r="D634" s="525"/>
      <c r="E634" s="525"/>
      <c r="F634" s="525"/>
      <c r="G634" s="525"/>
      <c r="H634" s="526"/>
      <c r="I634" s="526"/>
      <c r="J634" s="526"/>
      <c r="K634" s="527"/>
      <c r="L634" s="460"/>
      <c r="M634" s="3"/>
    </row>
    <row r="636" spans="1:13" ht="12.6" customHeight="1" x14ac:dyDescent="0.2">
      <c r="A636" s="412" t="s">
        <v>537</v>
      </c>
      <c r="B636" s="761" t="str">
        <f>REPROGRAMAÇÃO!B115</f>
        <v>APLICAÇÃO DE FUNDO SELADOR ACRÍLICO EM TETO, UMA DEMÃO. AF_06/2014</v>
      </c>
      <c r="C636" s="761"/>
      <c r="D636" s="761"/>
      <c r="E636" s="761"/>
      <c r="F636" s="761"/>
      <c r="G636" s="761"/>
      <c r="H636" s="761"/>
      <c r="I636" s="761"/>
      <c r="J636" s="761"/>
      <c r="K636" s="761"/>
      <c r="L636" s="761"/>
      <c r="M636" s="761"/>
    </row>
    <row r="637" spans="1:13" ht="12.6" customHeight="1" x14ac:dyDescent="0.2">
      <c r="A637" s="502"/>
      <c r="B637" s="762" t="s">
        <v>133</v>
      </c>
      <c r="C637" s="763"/>
      <c r="D637" s="249"/>
      <c r="E637" s="249"/>
      <c r="F637" s="249"/>
      <c r="G637" s="249"/>
      <c r="H637" s="249"/>
      <c r="I637" s="249"/>
      <c r="J637" s="250"/>
      <c r="K637" s="250"/>
      <c r="L637" s="250">
        <f>REPROGRAMAÇÃO!F115</f>
        <v>338.69</v>
      </c>
      <c r="M637" s="250"/>
    </row>
    <row r="638" spans="1:13" ht="12.6" customHeight="1" x14ac:dyDescent="0.2">
      <c r="A638" s="502"/>
      <c r="B638" s="764" t="s">
        <v>812</v>
      </c>
      <c r="C638" s="765"/>
      <c r="D638" s="251"/>
      <c r="E638" s="251"/>
      <c r="F638" s="251"/>
      <c r="G638" s="251"/>
      <c r="H638" s="251"/>
      <c r="I638" s="251"/>
      <c r="J638" s="252"/>
      <c r="K638" s="252"/>
      <c r="L638" s="251">
        <f>SUM(L641:L642)</f>
        <v>402.12750000000005</v>
      </c>
      <c r="M638" s="252"/>
    </row>
    <row r="639" spans="1:13" ht="12.6" customHeight="1" x14ac:dyDescent="0.2">
      <c r="A639" s="502"/>
      <c r="B639" s="253" t="s">
        <v>813</v>
      </c>
      <c r="C639" s="254"/>
      <c r="D639" s="255"/>
      <c r="E639" s="255"/>
      <c r="F639" s="255"/>
      <c r="G639" s="255"/>
      <c r="H639" s="255"/>
      <c r="I639" s="255"/>
      <c r="J639" s="256"/>
      <c r="K639" s="256"/>
      <c r="L639" s="251">
        <f>L638-L637</f>
        <v>63.437500000000057</v>
      </c>
      <c r="M639" s="252"/>
    </row>
    <row r="640" spans="1:13" ht="12.6" customHeight="1" x14ac:dyDescent="0.2">
      <c r="A640" s="502"/>
      <c r="B640" s="424"/>
      <c r="C640" s="424"/>
      <c r="D640" s="424"/>
      <c r="E640" s="424"/>
      <c r="F640" s="424"/>
      <c r="G640" s="424"/>
      <c r="H640" s="424"/>
      <c r="I640" s="424"/>
      <c r="J640" s="424"/>
      <c r="K640" s="516"/>
      <c r="L640" s="517"/>
      <c r="M640" s="506"/>
    </row>
    <row r="641" spans="1:13" ht="12.6" customHeight="1" x14ac:dyDescent="0.2">
      <c r="A641" s="301"/>
      <c r="B641" s="760" t="s">
        <v>943</v>
      </c>
      <c r="C641" s="760"/>
      <c r="D641" s="507">
        <v>1</v>
      </c>
      <c r="E641" s="503">
        <f>REPROGRAMAÇÃO!I68</f>
        <v>184.7175</v>
      </c>
      <c r="F641" s="301"/>
      <c r="G641" s="518"/>
      <c r="H641" s="301"/>
      <c r="I641" s="301"/>
      <c r="J641" s="301"/>
      <c r="K641" s="502">
        <f>E641</f>
        <v>184.7175</v>
      </c>
      <c r="L641" s="502">
        <f>K641*D641</f>
        <v>184.7175</v>
      </c>
      <c r="M641" s="506"/>
    </row>
    <row r="642" spans="1:13" ht="12.6" customHeight="1" x14ac:dyDescent="0.2">
      <c r="A642" s="301"/>
      <c r="B642" s="760" t="s">
        <v>944</v>
      </c>
      <c r="C642" s="760"/>
      <c r="D642" s="507">
        <v>1</v>
      </c>
      <c r="E642" s="503">
        <f>REPROGRAMAÇÃO!I75</f>
        <v>217.41000000000003</v>
      </c>
      <c r="F642" s="470"/>
      <c r="G642" s="519"/>
      <c r="H642" s="301"/>
      <c r="I642" s="301"/>
      <c r="J642" s="301"/>
      <c r="K642" s="502">
        <f>E642</f>
        <v>217.41000000000003</v>
      </c>
      <c r="L642" s="502">
        <f t="shared" ref="L642" si="77">K642*D642</f>
        <v>217.41000000000003</v>
      </c>
      <c r="M642" s="506"/>
    </row>
    <row r="644" spans="1:13" ht="12.6" customHeight="1" x14ac:dyDescent="0.2">
      <c r="A644" s="412" t="s">
        <v>539</v>
      </c>
      <c r="B644" s="761" t="str">
        <f>REPROGRAMAÇÃO!B116</f>
        <v>Emassamento de superfície, com aplicação de 02 demãos de massa acrílica, lixamento e retoques - Rev 01</v>
      </c>
      <c r="C644" s="761"/>
      <c r="D644" s="761"/>
      <c r="E644" s="761"/>
      <c r="F644" s="761"/>
      <c r="G644" s="761"/>
      <c r="H644" s="761"/>
      <c r="I644" s="761"/>
      <c r="J644" s="761"/>
      <c r="K644" s="761"/>
      <c r="L644" s="761"/>
      <c r="M644" s="761"/>
    </row>
    <row r="645" spans="1:13" ht="12.6" customHeight="1" x14ac:dyDescent="0.2">
      <c r="A645" s="502"/>
      <c r="B645" s="762" t="s">
        <v>133</v>
      </c>
      <c r="C645" s="763"/>
      <c r="D645" s="249"/>
      <c r="E645" s="249"/>
      <c r="F645" s="249"/>
      <c r="G645" s="249"/>
      <c r="H645" s="249"/>
      <c r="I645" s="249"/>
      <c r="J645" s="250"/>
      <c r="K645" s="250"/>
      <c r="L645" s="250">
        <f>REPROGRAMAÇÃO!F116</f>
        <v>364.06000000000103</v>
      </c>
      <c r="M645" s="250"/>
    </row>
    <row r="646" spans="1:13" ht="12.6" customHeight="1" x14ac:dyDescent="0.2">
      <c r="A646" s="502"/>
      <c r="B646" s="764" t="s">
        <v>812</v>
      </c>
      <c r="C646" s="765"/>
      <c r="D646" s="251"/>
      <c r="E646" s="251"/>
      <c r="F646" s="251"/>
      <c r="G646" s="251"/>
      <c r="H646" s="251"/>
      <c r="I646" s="251"/>
      <c r="J646" s="252"/>
      <c r="K646" s="252"/>
      <c r="L646" s="251">
        <f>SUM(L649:L660)</f>
        <v>409.41999999999996</v>
      </c>
      <c r="M646" s="252"/>
    </row>
    <row r="647" spans="1:13" ht="12.6" customHeight="1" x14ac:dyDescent="0.2">
      <c r="A647" s="502"/>
      <c r="B647" s="253" t="s">
        <v>813</v>
      </c>
      <c r="C647" s="254"/>
      <c r="D647" s="255"/>
      <c r="E647" s="255"/>
      <c r="F647" s="255"/>
      <c r="G647" s="255"/>
      <c r="H647" s="255"/>
      <c r="I647" s="255"/>
      <c r="J647" s="256"/>
      <c r="K647" s="256"/>
      <c r="L647" s="251">
        <f>L646-L645</f>
        <v>45.359999999998934</v>
      </c>
      <c r="M647" s="252"/>
    </row>
    <row r="648" spans="1:13" ht="12.6" customHeight="1" x14ac:dyDescent="0.2">
      <c r="A648" s="502"/>
      <c r="B648" s="424"/>
      <c r="C648" s="424"/>
      <c r="D648" s="424"/>
      <c r="E648" s="424"/>
      <c r="F648" s="424"/>
      <c r="G648" s="424"/>
      <c r="H648" s="424"/>
      <c r="I648" s="424"/>
      <c r="J648" s="424"/>
      <c r="K648" s="516"/>
      <c r="L648" s="517"/>
      <c r="M648" s="506"/>
    </row>
    <row r="649" spans="1:13" ht="12.6" customHeight="1" x14ac:dyDescent="0.2">
      <c r="A649" s="301"/>
      <c r="B649" s="760" t="s">
        <v>926</v>
      </c>
      <c r="C649" s="760"/>
      <c r="D649" s="507">
        <v>10</v>
      </c>
      <c r="E649" s="503">
        <v>1.6</v>
      </c>
      <c r="F649" s="301"/>
      <c r="G649" s="518">
        <v>4.3</v>
      </c>
      <c r="H649" s="301"/>
      <c r="I649" s="301"/>
      <c r="J649" s="301"/>
      <c r="K649" s="502">
        <f>E649*G649</f>
        <v>6.88</v>
      </c>
      <c r="L649" s="502">
        <f>K649*D649</f>
        <v>68.8</v>
      </c>
      <c r="M649" s="506"/>
    </row>
    <row r="650" spans="1:13" ht="12.6" customHeight="1" x14ac:dyDescent="0.2">
      <c r="A650" s="301"/>
      <c r="B650" s="760" t="s">
        <v>926</v>
      </c>
      <c r="C650" s="760"/>
      <c r="D650" s="507">
        <v>1</v>
      </c>
      <c r="E650" s="503">
        <f>6.7+3.3</f>
        <v>10</v>
      </c>
      <c r="F650" s="470"/>
      <c r="G650" s="519">
        <v>5.0999999999999996</v>
      </c>
      <c r="H650" s="301"/>
      <c r="I650" s="301"/>
      <c r="J650" s="301"/>
      <c r="K650" s="502">
        <f t="shared" ref="K650:K659" si="78">E650*G650</f>
        <v>51</v>
      </c>
      <c r="L650" s="502">
        <f t="shared" ref="L650:L659" si="79">K650*D650</f>
        <v>51</v>
      </c>
      <c r="M650" s="506"/>
    </row>
    <row r="651" spans="1:13" ht="12.6" customHeight="1" x14ac:dyDescent="0.2">
      <c r="A651" s="473"/>
      <c r="B651" s="760" t="s">
        <v>927</v>
      </c>
      <c r="C651" s="760"/>
      <c r="D651" s="507">
        <v>1</v>
      </c>
      <c r="E651" s="503">
        <v>16.7</v>
      </c>
      <c r="F651" s="470"/>
      <c r="G651" s="519">
        <v>1</v>
      </c>
      <c r="H651" s="301"/>
      <c r="I651" s="301"/>
      <c r="J651" s="301"/>
      <c r="K651" s="502">
        <f t="shared" si="78"/>
        <v>16.7</v>
      </c>
      <c r="L651" s="502">
        <f t="shared" si="79"/>
        <v>16.7</v>
      </c>
    </row>
    <row r="652" spans="1:13" ht="12.6" customHeight="1" x14ac:dyDescent="0.2">
      <c r="A652" s="473"/>
      <c r="B652" s="760" t="s">
        <v>926</v>
      </c>
      <c r="C652" s="760"/>
      <c r="D652" s="507">
        <v>1</v>
      </c>
      <c r="E652" s="503">
        <v>5.0999999999999996</v>
      </c>
      <c r="F652" s="301"/>
      <c r="G652" s="520">
        <v>5.0999999999999996</v>
      </c>
      <c r="H652" s="301"/>
      <c r="I652" s="301"/>
      <c r="J652" s="301"/>
      <c r="K652" s="502">
        <f t="shared" si="78"/>
        <v>26.009999999999998</v>
      </c>
      <c r="L652" s="502">
        <f t="shared" si="79"/>
        <v>26.009999999999998</v>
      </c>
    </row>
    <row r="653" spans="1:13" ht="12.6" customHeight="1" x14ac:dyDescent="0.2">
      <c r="A653" s="473"/>
      <c r="B653" s="760" t="s">
        <v>928</v>
      </c>
      <c r="C653" s="760"/>
      <c r="D653" s="507">
        <v>1</v>
      </c>
      <c r="E653" s="503">
        <f>10+6.7</f>
        <v>16.7</v>
      </c>
      <c r="F653" s="301"/>
      <c r="G653" s="301">
        <v>0.8</v>
      </c>
      <c r="H653" s="301"/>
      <c r="I653" s="301"/>
      <c r="J653" s="301"/>
      <c r="K653" s="502">
        <f t="shared" si="78"/>
        <v>13.36</v>
      </c>
      <c r="L653" s="502">
        <f t="shared" si="79"/>
        <v>13.36</v>
      </c>
    </row>
    <row r="654" spans="1:13" ht="12.6" customHeight="1" x14ac:dyDescent="0.2">
      <c r="A654" s="473"/>
      <c r="B654" s="760" t="s">
        <v>928</v>
      </c>
      <c r="C654" s="760"/>
      <c r="D654" s="507">
        <v>1</v>
      </c>
      <c r="E654" s="503">
        <v>4.3</v>
      </c>
      <c r="F654" s="301"/>
      <c r="G654" s="301">
        <v>0.8</v>
      </c>
      <c r="H654" s="301"/>
      <c r="I654" s="301"/>
      <c r="J654" s="301"/>
      <c r="K654" s="502">
        <f t="shared" si="78"/>
        <v>3.44</v>
      </c>
      <c r="L654" s="502">
        <f t="shared" si="79"/>
        <v>3.44</v>
      </c>
    </row>
    <row r="655" spans="1:13" ht="12.6" customHeight="1" x14ac:dyDescent="0.2">
      <c r="A655" s="473"/>
      <c r="B655" s="760" t="s">
        <v>928</v>
      </c>
      <c r="C655" s="760"/>
      <c r="D655" s="507">
        <v>1</v>
      </c>
      <c r="E655" s="503">
        <v>2.35</v>
      </c>
      <c r="F655" s="301"/>
      <c r="G655" s="301">
        <v>3.7</v>
      </c>
      <c r="H655" s="301"/>
      <c r="I655" s="301"/>
      <c r="J655" s="301"/>
      <c r="K655" s="502">
        <f t="shared" si="78"/>
        <v>8.6950000000000003</v>
      </c>
      <c r="L655" s="502">
        <f t="shared" si="79"/>
        <v>8.6950000000000003</v>
      </c>
    </row>
    <row r="656" spans="1:13" ht="12.6" customHeight="1" x14ac:dyDescent="0.2">
      <c r="A656" s="473"/>
      <c r="B656" s="760" t="s">
        <v>928</v>
      </c>
      <c r="C656" s="760"/>
      <c r="D656" s="507">
        <v>1</v>
      </c>
      <c r="E656" s="503">
        <v>4.6500000000000004</v>
      </c>
      <c r="F656" s="301"/>
      <c r="G656" s="301">
        <v>5.0999999999999996</v>
      </c>
      <c r="H656" s="301"/>
      <c r="I656" s="301"/>
      <c r="J656" s="301"/>
      <c r="K656" s="502">
        <f t="shared" si="78"/>
        <v>23.715</v>
      </c>
      <c r="L656" s="502">
        <f t="shared" si="79"/>
        <v>23.715</v>
      </c>
    </row>
    <row r="657" spans="1:13" ht="12.6" customHeight="1" x14ac:dyDescent="0.2">
      <c r="A657" s="473"/>
      <c r="B657" s="760" t="s">
        <v>930</v>
      </c>
      <c r="C657" s="760"/>
      <c r="D657" s="507">
        <v>1</v>
      </c>
      <c r="E657" s="503">
        <f>1.9+1.3</f>
        <v>3.2</v>
      </c>
      <c r="F657" s="301"/>
      <c r="G657" s="301">
        <v>4.9000000000000004</v>
      </c>
      <c r="H657" s="301"/>
      <c r="I657" s="301"/>
      <c r="J657" s="301"/>
      <c r="K657" s="502">
        <f t="shared" si="78"/>
        <v>15.680000000000001</v>
      </c>
      <c r="L657" s="502">
        <f t="shared" si="79"/>
        <v>15.680000000000001</v>
      </c>
    </row>
    <row r="658" spans="1:13" ht="12.6" customHeight="1" x14ac:dyDescent="0.2">
      <c r="A658" s="473"/>
      <c r="B658" s="760" t="s">
        <v>931</v>
      </c>
      <c r="C658" s="760"/>
      <c r="D658" s="507">
        <v>1</v>
      </c>
      <c r="E658" s="503">
        <v>24.5</v>
      </c>
      <c r="F658" s="301"/>
      <c r="G658" s="301">
        <v>0.7</v>
      </c>
      <c r="H658" s="301"/>
      <c r="I658" s="301"/>
      <c r="J658" s="301"/>
      <c r="K658" s="502">
        <f t="shared" si="78"/>
        <v>17.149999999999999</v>
      </c>
      <c r="L658" s="502">
        <f t="shared" si="79"/>
        <v>17.149999999999999</v>
      </c>
    </row>
    <row r="659" spans="1:13" ht="12.6" customHeight="1" x14ac:dyDescent="0.2">
      <c r="A659" s="473"/>
      <c r="B659" s="760" t="s">
        <v>930</v>
      </c>
      <c r="C659" s="760"/>
      <c r="D659" s="507">
        <v>1</v>
      </c>
      <c r="E659" s="503">
        <v>2.9</v>
      </c>
      <c r="F659" s="301"/>
      <c r="G659" s="301">
        <v>4.9000000000000004</v>
      </c>
      <c r="H659" s="301"/>
      <c r="I659" s="301"/>
      <c r="J659" s="301"/>
      <c r="K659" s="502">
        <f t="shared" si="78"/>
        <v>14.21</v>
      </c>
      <c r="L659" s="502">
        <f t="shared" si="79"/>
        <v>14.21</v>
      </c>
    </row>
    <row r="660" spans="1:13" ht="12.6" customHeight="1" x14ac:dyDescent="0.2">
      <c r="A660" s="473"/>
      <c r="B660" s="521" t="s">
        <v>945</v>
      </c>
      <c r="C660" s="522"/>
      <c r="D660" s="522">
        <v>1</v>
      </c>
      <c r="E660" s="522">
        <v>27.9</v>
      </c>
      <c r="F660" s="522"/>
      <c r="G660" s="522">
        <v>5.4</v>
      </c>
      <c r="H660" s="509"/>
      <c r="I660" s="509"/>
      <c r="J660" s="509"/>
      <c r="K660" s="369">
        <f>E660*G660+I660</f>
        <v>150.66</v>
      </c>
      <c r="L660" s="364">
        <f t="shared" ref="L660" si="80">ROUND(D660*K660,2)</f>
        <v>150.66</v>
      </c>
    </row>
    <row r="662" spans="1:13" ht="12.6" customHeight="1" x14ac:dyDescent="0.2">
      <c r="A662" s="412" t="s">
        <v>543</v>
      </c>
      <c r="B662" s="761" t="str">
        <f>REPROGRAMAÇÃO!B118</f>
        <v>APLICAÇÃO E LIXAMENTO DE MASSA LÁTEX EM TETO, UMA DEMÃO. AF_06/2014</v>
      </c>
      <c r="C662" s="761"/>
      <c r="D662" s="761"/>
      <c r="E662" s="761"/>
      <c r="F662" s="761"/>
      <c r="G662" s="761"/>
      <c r="H662" s="761"/>
      <c r="I662" s="761"/>
      <c r="J662" s="761"/>
      <c r="K662" s="761"/>
      <c r="L662" s="761"/>
      <c r="M662" s="761"/>
    </row>
    <row r="663" spans="1:13" ht="12.6" customHeight="1" x14ac:dyDescent="0.2">
      <c r="A663" s="502"/>
      <c r="B663" s="762" t="s">
        <v>133</v>
      </c>
      <c r="C663" s="763"/>
      <c r="D663" s="249"/>
      <c r="E663" s="249"/>
      <c r="F663" s="249"/>
      <c r="G663" s="249"/>
      <c r="H663" s="249"/>
      <c r="I663" s="249"/>
      <c r="J663" s="250"/>
      <c r="K663" s="250"/>
      <c r="L663" s="250">
        <f>REPROGRAMAÇÃO!F118</f>
        <v>338.69</v>
      </c>
      <c r="M663" s="250"/>
    </row>
    <row r="664" spans="1:13" ht="12.6" customHeight="1" x14ac:dyDescent="0.2">
      <c r="A664" s="502"/>
      <c r="B664" s="764" t="s">
        <v>812</v>
      </c>
      <c r="C664" s="765"/>
      <c r="D664" s="251"/>
      <c r="E664" s="251"/>
      <c r="F664" s="251"/>
      <c r="G664" s="251"/>
      <c r="H664" s="251"/>
      <c r="I664" s="251"/>
      <c r="J664" s="252"/>
      <c r="K664" s="252"/>
      <c r="L664" s="251">
        <f>SUM(L667:L668)</f>
        <v>402.12750000000005</v>
      </c>
      <c r="M664" s="252"/>
    </row>
    <row r="665" spans="1:13" ht="12.6" customHeight="1" x14ac:dyDescent="0.2">
      <c r="A665" s="502"/>
      <c r="B665" s="253" t="s">
        <v>813</v>
      </c>
      <c r="C665" s="254"/>
      <c r="D665" s="255"/>
      <c r="E665" s="255"/>
      <c r="F665" s="255"/>
      <c r="G665" s="255"/>
      <c r="H665" s="255"/>
      <c r="I665" s="255"/>
      <c r="J665" s="256"/>
      <c r="K665" s="256"/>
      <c r="L665" s="251">
        <f>L664-L663</f>
        <v>63.437500000000057</v>
      </c>
      <c r="M665" s="252"/>
    </row>
    <row r="666" spans="1:13" ht="12.6" customHeight="1" x14ac:dyDescent="0.2">
      <c r="A666" s="502"/>
      <c r="B666" s="424"/>
      <c r="C666" s="424"/>
      <c r="D666" s="424"/>
      <c r="E666" s="424"/>
      <c r="F666" s="424"/>
      <c r="G666" s="424"/>
      <c r="H666" s="424"/>
      <c r="I666" s="424"/>
      <c r="J666" s="424"/>
      <c r="K666" s="516"/>
      <c r="L666" s="517"/>
      <c r="M666" s="506"/>
    </row>
    <row r="667" spans="1:13" ht="12.6" customHeight="1" x14ac:dyDescent="0.2">
      <c r="A667" s="301"/>
      <c r="B667" s="760" t="s">
        <v>943</v>
      </c>
      <c r="C667" s="760"/>
      <c r="D667" s="507">
        <v>1</v>
      </c>
      <c r="E667" s="503">
        <v>184.7175</v>
      </c>
      <c r="F667" s="301"/>
      <c r="G667" s="518"/>
      <c r="H667" s="301"/>
      <c r="I667" s="301"/>
      <c r="J667" s="301"/>
      <c r="K667" s="502">
        <f>E667</f>
        <v>184.7175</v>
      </c>
      <c r="L667" s="502">
        <f>K667*D667</f>
        <v>184.7175</v>
      </c>
      <c r="M667" s="506"/>
    </row>
    <row r="668" spans="1:13" ht="12.6" customHeight="1" x14ac:dyDescent="0.2">
      <c r="A668" s="301"/>
      <c r="B668" s="760" t="s">
        <v>944</v>
      </c>
      <c r="C668" s="760"/>
      <c r="D668" s="507">
        <v>1</v>
      </c>
      <c r="E668" s="503">
        <v>217.41000000000003</v>
      </c>
      <c r="F668" s="470"/>
      <c r="G668" s="519"/>
      <c r="H668" s="301"/>
      <c r="I668" s="301"/>
      <c r="J668" s="301"/>
      <c r="K668" s="502">
        <f>E668</f>
        <v>217.41000000000003</v>
      </c>
      <c r="L668" s="502">
        <f t="shared" ref="L668" si="81">K668*D668</f>
        <v>217.41000000000003</v>
      </c>
      <c r="M668" s="506"/>
    </row>
    <row r="670" spans="1:13" ht="12.6" customHeight="1" x14ac:dyDescent="0.2">
      <c r="A670" s="412" t="s">
        <v>545</v>
      </c>
      <c r="B670" s="761" t="str">
        <f>REPROGRAMAÇÃO!B119</f>
        <v>APLICAÇÃO MANUAL DE PINTURA COM TINTA LÁTEX ACRÍLICA EM TETO, DUAS DEMÃOS. AF_06/2014</v>
      </c>
      <c r="C670" s="761"/>
      <c r="D670" s="761"/>
      <c r="E670" s="761"/>
      <c r="F670" s="761"/>
      <c r="G670" s="761"/>
      <c r="H670" s="761"/>
      <c r="I670" s="761"/>
      <c r="J670" s="761"/>
      <c r="K670" s="761"/>
      <c r="L670" s="761"/>
      <c r="M670" s="761"/>
    </row>
    <row r="671" spans="1:13" ht="12.6" customHeight="1" x14ac:dyDescent="0.2">
      <c r="A671" s="502"/>
      <c r="B671" s="762" t="s">
        <v>133</v>
      </c>
      <c r="C671" s="763"/>
      <c r="D671" s="249"/>
      <c r="E671" s="249"/>
      <c r="F671" s="249"/>
      <c r="G671" s="249"/>
      <c r="H671" s="249"/>
      <c r="I671" s="249"/>
      <c r="J671" s="250"/>
      <c r="K671" s="250"/>
      <c r="L671" s="250">
        <f>REPROGRAMAÇÃO!F119</f>
        <v>338.69</v>
      </c>
      <c r="M671" s="250"/>
    </row>
    <row r="672" spans="1:13" ht="12.6" customHeight="1" x14ac:dyDescent="0.2">
      <c r="A672" s="502"/>
      <c r="B672" s="764" t="s">
        <v>812</v>
      </c>
      <c r="C672" s="765"/>
      <c r="D672" s="251"/>
      <c r="E672" s="251"/>
      <c r="F672" s="251"/>
      <c r="G672" s="251"/>
      <c r="H672" s="251"/>
      <c r="I672" s="251"/>
      <c r="J672" s="252"/>
      <c r="K672" s="252"/>
      <c r="L672" s="251">
        <f>SUM(L675:L676)</f>
        <v>402.12750000000005</v>
      </c>
      <c r="M672" s="252"/>
    </row>
    <row r="673" spans="1:13" ht="12.6" customHeight="1" x14ac:dyDescent="0.2">
      <c r="A673" s="502"/>
      <c r="B673" s="253" t="s">
        <v>813</v>
      </c>
      <c r="C673" s="254"/>
      <c r="D673" s="255"/>
      <c r="E673" s="255"/>
      <c r="F673" s="255"/>
      <c r="G673" s="255"/>
      <c r="H673" s="255"/>
      <c r="I673" s="255"/>
      <c r="J673" s="256"/>
      <c r="K673" s="256"/>
      <c r="L673" s="251">
        <f>L672-L671</f>
        <v>63.437500000000057</v>
      </c>
      <c r="M673" s="252"/>
    </row>
    <row r="674" spans="1:13" ht="12.6" customHeight="1" x14ac:dyDescent="0.2">
      <c r="A674" s="502"/>
      <c r="B674" s="424"/>
      <c r="C674" s="424"/>
      <c r="D674" s="424"/>
      <c r="E674" s="424"/>
      <c r="F674" s="424"/>
      <c r="G674" s="424"/>
      <c r="H674" s="424"/>
      <c r="I674" s="424"/>
      <c r="J674" s="424"/>
      <c r="K674" s="516"/>
      <c r="L674" s="517"/>
      <c r="M674" s="506"/>
    </row>
    <row r="675" spans="1:13" ht="12.6" customHeight="1" x14ac:dyDescent="0.2">
      <c r="A675" s="301"/>
      <c r="B675" s="760" t="s">
        <v>943</v>
      </c>
      <c r="C675" s="760"/>
      <c r="D675" s="507">
        <v>1</v>
      </c>
      <c r="E675" s="503">
        <v>184.7175</v>
      </c>
      <c r="F675" s="301"/>
      <c r="G675" s="518"/>
      <c r="H675" s="301"/>
      <c r="I675" s="301"/>
      <c r="J675" s="301"/>
      <c r="K675" s="502">
        <f>E675</f>
        <v>184.7175</v>
      </c>
      <c r="L675" s="502">
        <f>K675*D675</f>
        <v>184.7175</v>
      </c>
      <c r="M675" s="506"/>
    </row>
    <row r="676" spans="1:13" ht="12.6" customHeight="1" x14ac:dyDescent="0.2">
      <c r="A676" s="301"/>
      <c r="B676" s="760" t="s">
        <v>944</v>
      </c>
      <c r="C676" s="760"/>
      <c r="D676" s="507">
        <v>1</v>
      </c>
      <c r="E676" s="503">
        <v>217.41000000000003</v>
      </c>
      <c r="F676" s="470"/>
      <c r="G676" s="519"/>
      <c r="H676" s="301"/>
      <c r="I676" s="301"/>
      <c r="J676" s="301"/>
      <c r="K676" s="502">
        <f>E676</f>
        <v>217.41000000000003</v>
      </c>
      <c r="L676" s="502">
        <f t="shared" ref="L676" si="82">K676*D676</f>
        <v>217.41000000000003</v>
      </c>
      <c r="M676" s="506"/>
    </row>
    <row r="678" spans="1:13" ht="12.6" customHeight="1" x14ac:dyDescent="0.2">
      <c r="A678" s="412" t="s">
        <v>547</v>
      </c>
      <c r="B678" s="761" t="str">
        <f>REPROGRAMAÇÃO!B120</f>
        <v>APLICAÇÃO MANUAL DE PINTURA COM TINTA LÁTEX ACRÍLICA EM PAREDES, DUAS DEMÃOS. AF_06/2014</v>
      </c>
      <c r="C678" s="761"/>
      <c r="D678" s="761"/>
      <c r="E678" s="761"/>
      <c r="F678" s="761"/>
      <c r="G678" s="761"/>
      <c r="H678" s="761"/>
      <c r="I678" s="761"/>
      <c r="J678" s="761"/>
      <c r="K678" s="761"/>
      <c r="L678" s="761"/>
      <c r="M678" s="761"/>
    </row>
    <row r="679" spans="1:13" ht="12.6" customHeight="1" x14ac:dyDescent="0.2">
      <c r="A679" s="502"/>
      <c r="B679" s="762" t="s">
        <v>133</v>
      </c>
      <c r="C679" s="763"/>
      <c r="D679" s="249"/>
      <c r="E679" s="249"/>
      <c r="F679" s="249"/>
      <c r="G679" s="249"/>
      <c r="H679" s="249"/>
      <c r="I679" s="249"/>
      <c r="J679" s="250"/>
      <c r="K679" s="250"/>
      <c r="L679" s="250">
        <f>REPROGRAMAÇÃO!F120</f>
        <v>797.16</v>
      </c>
      <c r="M679" s="250"/>
    </row>
    <row r="680" spans="1:13" ht="12.6" customHeight="1" x14ac:dyDescent="0.2">
      <c r="A680" s="502"/>
      <c r="B680" s="764" t="s">
        <v>812</v>
      </c>
      <c r="C680" s="765"/>
      <c r="D680" s="251"/>
      <c r="E680" s="251"/>
      <c r="F680" s="251"/>
      <c r="G680" s="251"/>
      <c r="H680" s="251"/>
      <c r="I680" s="251"/>
      <c r="J680" s="252"/>
      <c r="K680" s="252"/>
      <c r="L680" s="251">
        <f>SUM(L683:L721)</f>
        <v>1680.19</v>
      </c>
      <c r="M680" s="252"/>
    </row>
    <row r="681" spans="1:13" ht="12.6" customHeight="1" x14ac:dyDescent="0.2">
      <c r="A681" s="502"/>
      <c r="B681" s="253" t="s">
        <v>813</v>
      </c>
      <c r="C681" s="254"/>
      <c r="D681" s="255"/>
      <c r="E681" s="255"/>
      <c r="F681" s="255"/>
      <c r="G681" s="255"/>
      <c r="H681" s="255"/>
      <c r="I681" s="255"/>
      <c r="J681" s="256"/>
      <c r="K681" s="256"/>
      <c r="L681" s="251">
        <f>L680-L679</f>
        <v>883.03000000000009</v>
      </c>
      <c r="M681" s="252"/>
    </row>
    <row r="682" spans="1:13" ht="12.6" customHeight="1" x14ac:dyDescent="0.2">
      <c r="A682" s="502"/>
      <c r="B682" s="424"/>
      <c r="C682" s="424"/>
      <c r="D682" s="424"/>
      <c r="E682" s="424"/>
      <c r="F682" s="424"/>
      <c r="G682" s="424"/>
      <c r="H682" s="424"/>
      <c r="I682" s="424"/>
      <c r="J682" s="424"/>
      <c r="K682" s="516"/>
      <c r="L682" s="517"/>
      <c r="M682" s="506"/>
    </row>
    <row r="683" spans="1:13" ht="12.6" customHeight="1" x14ac:dyDescent="0.2">
      <c r="A683" s="301"/>
      <c r="B683" s="501" t="s">
        <v>946</v>
      </c>
      <c r="C683" s="509"/>
      <c r="D683" s="509">
        <v>1</v>
      </c>
      <c r="E683" s="467">
        <v>21.6</v>
      </c>
      <c r="F683" s="467"/>
      <c r="G683" s="467">
        <v>5</v>
      </c>
      <c r="H683" s="509"/>
      <c r="I683" s="509"/>
      <c r="J683" s="509"/>
      <c r="K683" s="369">
        <f>E683*G683+I683</f>
        <v>108</v>
      </c>
      <c r="L683" s="364">
        <f>ROUND(D683*K683,2)</f>
        <v>108</v>
      </c>
      <c r="M683" s="506"/>
    </row>
    <row r="684" spans="1:13" ht="12.6" customHeight="1" x14ac:dyDescent="0.2">
      <c r="A684" s="301"/>
      <c r="B684" s="501" t="s">
        <v>933</v>
      </c>
      <c r="C684" s="509"/>
      <c r="D684" s="509">
        <v>1</v>
      </c>
      <c r="E684" s="467">
        <v>13.5</v>
      </c>
      <c r="F684" s="467"/>
      <c r="G684" s="467">
        <v>3.4</v>
      </c>
      <c r="H684" s="509"/>
      <c r="I684" s="509"/>
      <c r="J684" s="509"/>
      <c r="K684" s="369">
        <f t="shared" ref="K684:K721" si="83">E684*G684+I684</f>
        <v>45.9</v>
      </c>
      <c r="L684" s="364">
        <f t="shared" ref="L684:L721" si="84">ROUND(D684*K684,2)</f>
        <v>45.9</v>
      </c>
      <c r="M684" s="506"/>
    </row>
    <row r="685" spans="1:13" ht="12.6" customHeight="1" x14ac:dyDescent="0.2">
      <c r="A685" s="473"/>
      <c r="B685" s="501" t="s">
        <v>934</v>
      </c>
      <c r="C685" s="509"/>
      <c r="D685" s="509">
        <v>1</v>
      </c>
      <c r="E685" s="467">
        <v>22.6</v>
      </c>
      <c r="F685" s="467"/>
      <c r="G685" s="467">
        <v>3.6</v>
      </c>
      <c r="H685" s="509"/>
      <c r="I685" s="509"/>
      <c r="J685" s="509"/>
      <c r="K685" s="369">
        <f t="shared" si="83"/>
        <v>81.360000000000014</v>
      </c>
      <c r="L685" s="364">
        <f t="shared" si="84"/>
        <v>81.36</v>
      </c>
      <c r="M685" s="473"/>
    </row>
    <row r="686" spans="1:13" ht="12.6" customHeight="1" x14ac:dyDescent="0.2">
      <c r="A686" s="473"/>
      <c r="B686" s="501" t="s">
        <v>935</v>
      </c>
      <c r="C686" s="509"/>
      <c r="D686" s="509">
        <v>1</v>
      </c>
      <c r="E686" s="467">
        <v>22</v>
      </c>
      <c r="F686" s="467"/>
      <c r="G686" s="467">
        <v>3.3</v>
      </c>
      <c r="H686" s="509"/>
      <c r="I686" s="509"/>
      <c r="J686" s="509"/>
      <c r="K686" s="369">
        <f t="shared" si="83"/>
        <v>72.599999999999994</v>
      </c>
      <c r="L686" s="364">
        <f t="shared" si="84"/>
        <v>72.599999999999994</v>
      </c>
      <c r="M686" s="473"/>
    </row>
    <row r="687" spans="1:13" ht="12.6" customHeight="1" x14ac:dyDescent="0.2">
      <c r="A687" s="473"/>
      <c r="B687" s="501" t="s">
        <v>936</v>
      </c>
      <c r="C687" s="509"/>
      <c r="D687" s="509">
        <v>1</v>
      </c>
      <c r="E687" s="467">
        <v>26.9</v>
      </c>
      <c r="F687" s="467"/>
      <c r="G687" s="467">
        <v>2.4</v>
      </c>
      <c r="H687" s="509"/>
      <c r="I687" s="509"/>
      <c r="J687" s="509"/>
      <c r="K687" s="369">
        <f t="shared" si="83"/>
        <v>64.559999999999988</v>
      </c>
      <c r="L687" s="364">
        <f t="shared" si="84"/>
        <v>64.56</v>
      </c>
      <c r="M687" s="473"/>
    </row>
    <row r="688" spans="1:13" ht="12.6" customHeight="1" x14ac:dyDescent="0.2">
      <c r="A688" s="473"/>
      <c r="B688" s="501" t="s">
        <v>937</v>
      </c>
      <c r="C688" s="509"/>
      <c r="D688" s="509">
        <v>1</v>
      </c>
      <c r="E688" s="467">
        <v>50.5</v>
      </c>
      <c r="F688" s="467"/>
      <c r="G688" s="467">
        <v>2.4</v>
      </c>
      <c r="H688" s="509"/>
      <c r="I688" s="509"/>
      <c r="J688" s="509"/>
      <c r="K688" s="369">
        <f t="shared" si="83"/>
        <v>121.19999999999999</v>
      </c>
      <c r="L688" s="364">
        <f t="shared" si="84"/>
        <v>121.2</v>
      </c>
      <c r="M688" s="473"/>
    </row>
    <row r="689" spans="1:13" ht="12.6" customHeight="1" x14ac:dyDescent="0.2">
      <c r="A689" s="473"/>
      <c r="B689" s="501" t="s">
        <v>938</v>
      </c>
      <c r="C689" s="509"/>
      <c r="D689" s="509">
        <v>1</v>
      </c>
      <c r="E689" s="467">
        <v>45</v>
      </c>
      <c r="F689" s="467"/>
      <c r="G689" s="467">
        <v>2.4</v>
      </c>
      <c r="H689" s="509"/>
      <c r="I689" s="509">
        <v>-30.06</v>
      </c>
      <c r="J689" s="509"/>
      <c r="K689" s="369">
        <f t="shared" si="83"/>
        <v>77.94</v>
      </c>
      <c r="L689" s="364">
        <f t="shared" si="84"/>
        <v>77.94</v>
      </c>
      <c r="M689" s="473"/>
    </row>
    <row r="690" spans="1:13" ht="12.6" customHeight="1" x14ac:dyDescent="0.2">
      <c r="A690" s="473"/>
      <c r="B690" s="521" t="s">
        <v>945</v>
      </c>
      <c r="C690" s="522"/>
      <c r="D690" s="522">
        <v>1</v>
      </c>
      <c r="E690" s="522">
        <v>27.9</v>
      </c>
      <c r="F690" s="522"/>
      <c r="G690" s="522">
        <v>5.4</v>
      </c>
      <c r="H690" s="509"/>
      <c r="I690" s="509"/>
      <c r="J690" s="509"/>
      <c r="K690" s="369">
        <f t="shared" si="83"/>
        <v>150.66</v>
      </c>
      <c r="L690" s="364">
        <f t="shared" si="84"/>
        <v>150.66</v>
      </c>
      <c r="M690" s="473"/>
    </row>
    <row r="691" spans="1:13" ht="12.6" customHeight="1" x14ac:dyDescent="0.2">
      <c r="A691" s="473"/>
      <c r="B691" s="521" t="s">
        <v>947</v>
      </c>
      <c r="C691" s="522"/>
      <c r="D691" s="522">
        <v>1</v>
      </c>
      <c r="E691" s="522">
        <v>3.8</v>
      </c>
      <c r="F691" s="522"/>
      <c r="G691" s="522">
        <v>3.96</v>
      </c>
      <c r="H691" s="509"/>
      <c r="I691" s="509"/>
      <c r="J691" s="509"/>
      <c r="K691" s="369">
        <f t="shared" si="83"/>
        <v>15.048</v>
      </c>
      <c r="L691" s="364">
        <f t="shared" si="84"/>
        <v>15.05</v>
      </c>
      <c r="M691" s="473"/>
    </row>
    <row r="692" spans="1:13" ht="12.6" customHeight="1" x14ac:dyDescent="0.2">
      <c r="A692" s="473"/>
      <c r="B692" s="521" t="s">
        <v>947</v>
      </c>
      <c r="C692" s="522"/>
      <c r="D692" s="522">
        <v>1</v>
      </c>
      <c r="E692" s="522">
        <v>15.75</v>
      </c>
      <c r="F692" s="522"/>
      <c r="G692" s="522">
        <v>1</v>
      </c>
      <c r="H692" s="509"/>
      <c r="I692" s="509"/>
      <c r="J692" s="509"/>
      <c r="K692" s="369">
        <f t="shared" si="83"/>
        <v>15.75</v>
      </c>
      <c r="L692" s="364">
        <f t="shared" si="84"/>
        <v>15.75</v>
      </c>
      <c r="M692" s="473"/>
    </row>
    <row r="693" spans="1:13" ht="12.6" customHeight="1" x14ac:dyDescent="0.2">
      <c r="A693" s="473"/>
      <c r="B693" s="521" t="s">
        <v>947</v>
      </c>
      <c r="C693" s="522"/>
      <c r="D693" s="522">
        <v>1</v>
      </c>
      <c r="E693" s="522">
        <v>3.34</v>
      </c>
      <c r="F693" s="522"/>
      <c r="G693" s="522">
        <v>4.7</v>
      </c>
      <c r="H693" s="509"/>
      <c r="I693" s="509"/>
      <c r="J693" s="509"/>
      <c r="K693" s="369">
        <f t="shared" si="83"/>
        <v>15.698</v>
      </c>
      <c r="L693" s="364">
        <f t="shared" si="84"/>
        <v>15.7</v>
      </c>
      <c r="M693" s="473"/>
    </row>
    <row r="694" spans="1:13" ht="12.6" customHeight="1" x14ac:dyDescent="0.2">
      <c r="A694" s="473"/>
      <c r="B694" s="521" t="s">
        <v>947</v>
      </c>
      <c r="C694" s="522"/>
      <c r="D694" s="522">
        <v>1</v>
      </c>
      <c r="E694" s="522">
        <v>2.2000000000000002</v>
      </c>
      <c r="F694" s="522"/>
      <c r="G694" s="522">
        <v>4.0999999999999996</v>
      </c>
      <c r="H694" s="509"/>
      <c r="I694" s="509"/>
      <c r="J694" s="509"/>
      <c r="K694" s="369">
        <f t="shared" si="83"/>
        <v>9.02</v>
      </c>
      <c r="L694" s="364">
        <f t="shared" si="84"/>
        <v>9.02</v>
      </c>
      <c r="M694" s="473"/>
    </row>
    <row r="695" spans="1:13" ht="12.6" customHeight="1" x14ac:dyDescent="0.2">
      <c r="A695" s="473"/>
      <c r="B695" s="521" t="s">
        <v>947</v>
      </c>
      <c r="C695" s="522"/>
      <c r="D695" s="522">
        <v>1</v>
      </c>
      <c r="E695" s="522">
        <v>26</v>
      </c>
      <c r="F695" s="522"/>
      <c r="G695" s="522">
        <v>1</v>
      </c>
      <c r="H695" s="509"/>
      <c r="I695" s="509"/>
      <c r="J695" s="509"/>
      <c r="K695" s="369">
        <f t="shared" si="83"/>
        <v>26</v>
      </c>
      <c r="L695" s="364">
        <f t="shared" si="84"/>
        <v>26</v>
      </c>
      <c r="M695" s="473"/>
    </row>
    <row r="696" spans="1:13" ht="12.6" customHeight="1" x14ac:dyDescent="0.2">
      <c r="A696" s="473"/>
      <c r="B696" s="521" t="s">
        <v>947</v>
      </c>
      <c r="C696" s="522"/>
      <c r="D696" s="522">
        <v>1</v>
      </c>
      <c r="E696" s="522">
        <v>4.8</v>
      </c>
      <c r="F696" s="522"/>
      <c r="G696" s="522">
        <v>3.45</v>
      </c>
      <c r="H696" s="509"/>
      <c r="I696" s="509"/>
      <c r="J696" s="509"/>
      <c r="K696" s="369">
        <f t="shared" si="83"/>
        <v>16.559999999999999</v>
      </c>
      <c r="L696" s="364">
        <f t="shared" si="84"/>
        <v>16.559999999999999</v>
      </c>
      <c r="M696" s="473"/>
    </row>
    <row r="697" spans="1:13" ht="12.6" customHeight="1" x14ac:dyDescent="0.2">
      <c r="A697" s="473"/>
      <c r="B697" s="521" t="s">
        <v>948</v>
      </c>
      <c r="C697" s="522"/>
      <c r="D697" s="522">
        <v>1</v>
      </c>
      <c r="E697" s="522">
        <v>11.2</v>
      </c>
      <c r="F697" s="522"/>
      <c r="G697" s="522">
        <v>0.45</v>
      </c>
      <c r="H697" s="509"/>
      <c r="I697" s="509"/>
      <c r="J697" s="509"/>
      <c r="K697" s="369">
        <f t="shared" si="83"/>
        <v>5.04</v>
      </c>
      <c r="L697" s="364">
        <f t="shared" si="84"/>
        <v>5.04</v>
      </c>
      <c r="M697" s="473"/>
    </row>
    <row r="698" spans="1:13" ht="12.6" customHeight="1" x14ac:dyDescent="0.2">
      <c r="A698" s="473"/>
      <c r="B698" s="521" t="s">
        <v>949</v>
      </c>
      <c r="C698" s="522"/>
      <c r="D698" s="522">
        <v>1</v>
      </c>
      <c r="E698" s="522">
        <v>2.2000000000000002</v>
      </c>
      <c r="F698" s="522"/>
      <c r="G698" s="522">
        <v>1.2</v>
      </c>
      <c r="H698" s="509"/>
      <c r="I698" s="509"/>
      <c r="J698" s="509"/>
      <c r="K698" s="369">
        <f t="shared" si="83"/>
        <v>2.64</v>
      </c>
      <c r="L698" s="364">
        <f t="shared" si="84"/>
        <v>2.64</v>
      </c>
      <c r="M698" s="473"/>
    </row>
    <row r="699" spans="1:13" ht="12.6" customHeight="1" x14ac:dyDescent="0.2">
      <c r="A699" s="473"/>
      <c r="B699" s="521" t="s">
        <v>950</v>
      </c>
      <c r="C699" s="522"/>
      <c r="D699" s="522">
        <v>4</v>
      </c>
      <c r="E699" s="522">
        <v>0.83</v>
      </c>
      <c r="F699" s="522"/>
      <c r="G699" s="522">
        <v>2.2000000000000002</v>
      </c>
      <c r="H699" s="509"/>
      <c r="I699" s="509"/>
      <c r="J699" s="509"/>
      <c r="K699" s="369">
        <f t="shared" si="83"/>
        <v>1.8260000000000001</v>
      </c>
      <c r="L699" s="364">
        <f t="shared" si="84"/>
        <v>7.3</v>
      </c>
      <c r="M699" s="473"/>
    </row>
    <row r="700" spans="1:13" ht="12.6" customHeight="1" x14ac:dyDescent="0.2">
      <c r="A700" s="473"/>
      <c r="B700" s="521" t="s">
        <v>951</v>
      </c>
      <c r="C700" s="522"/>
      <c r="D700" s="522">
        <v>25</v>
      </c>
      <c r="E700" s="522">
        <v>3.48</v>
      </c>
      <c r="F700" s="522"/>
      <c r="G700" s="522">
        <v>1</v>
      </c>
      <c r="H700" s="509"/>
      <c r="I700" s="509"/>
      <c r="J700" s="509"/>
      <c r="K700" s="369">
        <f t="shared" si="83"/>
        <v>3.48</v>
      </c>
      <c r="L700" s="364">
        <f t="shared" si="84"/>
        <v>87</v>
      </c>
      <c r="M700" s="473"/>
    </row>
    <row r="701" spans="1:13" ht="12.6" customHeight="1" x14ac:dyDescent="0.2">
      <c r="A701" s="473"/>
      <c r="B701" s="521" t="s">
        <v>939</v>
      </c>
      <c r="C701" s="522"/>
      <c r="D701" s="522">
        <v>1</v>
      </c>
      <c r="E701" s="522">
        <v>27.2</v>
      </c>
      <c r="F701" s="522"/>
      <c r="G701" s="522">
        <v>0.9</v>
      </c>
      <c r="H701" s="509"/>
      <c r="I701" s="509"/>
      <c r="J701" s="509"/>
      <c r="K701" s="369">
        <f t="shared" si="83"/>
        <v>24.48</v>
      </c>
      <c r="L701" s="364">
        <f t="shared" si="84"/>
        <v>24.48</v>
      </c>
      <c r="M701" s="473"/>
    </row>
    <row r="702" spans="1:13" ht="12.6" customHeight="1" x14ac:dyDescent="0.2">
      <c r="A702" s="473"/>
      <c r="B702" s="521" t="s">
        <v>939</v>
      </c>
      <c r="C702" s="522"/>
      <c r="D702" s="522">
        <v>1</v>
      </c>
      <c r="E702" s="522">
        <v>0.9</v>
      </c>
      <c r="F702" s="522"/>
      <c r="G702" s="522">
        <v>0.9</v>
      </c>
      <c r="H702" s="509"/>
      <c r="I702" s="509"/>
      <c r="J702" s="509"/>
      <c r="K702" s="369">
        <f t="shared" si="83"/>
        <v>0.81</v>
      </c>
      <c r="L702" s="364">
        <f t="shared" si="84"/>
        <v>0.81</v>
      </c>
      <c r="M702" s="473"/>
    </row>
    <row r="703" spans="1:13" ht="12.6" customHeight="1" x14ac:dyDescent="0.2">
      <c r="A703" s="473"/>
      <c r="B703" s="521" t="s">
        <v>939</v>
      </c>
      <c r="C703" s="522"/>
      <c r="D703" s="522">
        <v>1</v>
      </c>
      <c r="E703" s="522">
        <v>0.9</v>
      </c>
      <c r="F703" s="522"/>
      <c r="G703" s="522">
        <v>0.9</v>
      </c>
      <c r="H703" s="509"/>
      <c r="I703" s="509"/>
      <c r="J703" s="509"/>
      <c r="K703" s="369">
        <f t="shared" si="83"/>
        <v>0.81</v>
      </c>
      <c r="L703" s="364">
        <f t="shared" si="84"/>
        <v>0.81</v>
      </c>
      <c r="M703" s="473"/>
    </row>
    <row r="704" spans="1:13" ht="12.6" customHeight="1" x14ac:dyDescent="0.2">
      <c r="A704" s="473"/>
      <c r="B704" s="521" t="s">
        <v>940</v>
      </c>
      <c r="C704" s="522"/>
      <c r="D704" s="522">
        <v>1</v>
      </c>
      <c r="E704" s="522">
        <v>16</v>
      </c>
      <c r="F704" s="522"/>
      <c r="G704" s="522">
        <v>0.9</v>
      </c>
      <c r="H704" s="509"/>
      <c r="I704" s="509"/>
      <c r="J704" s="509"/>
      <c r="K704" s="369">
        <f t="shared" si="83"/>
        <v>14.4</v>
      </c>
      <c r="L704" s="364">
        <f t="shared" si="84"/>
        <v>14.4</v>
      </c>
      <c r="M704" s="473"/>
    </row>
    <row r="705" spans="1:13" ht="12.6" customHeight="1" x14ac:dyDescent="0.2">
      <c r="A705" s="473"/>
      <c r="B705" s="521" t="s">
        <v>940</v>
      </c>
      <c r="C705" s="522"/>
      <c r="D705" s="522">
        <v>1</v>
      </c>
      <c r="E705" s="522">
        <v>16</v>
      </c>
      <c r="F705" s="522"/>
      <c r="G705" s="522">
        <v>0.9</v>
      </c>
      <c r="H705" s="509"/>
      <c r="I705" s="509"/>
      <c r="J705" s="509"/>
      <c r="K705" s="369">
        <f t="shared" si="83"/>
        <v>14.4</v>
      </c>
      <c r="L705" s="364">
        <f t="shared" si="84"/>
        <v>14.4</v>
      </c>
      <c r="M705" s="473"/>
    </row>
    <row r="706" spans="1:13" ht="12.6" customHeight="1" x14ac:dyDescent="0.2">
      <c r="A706" s="473"/>
      <c r="B706" s="521" t="s">
        <v>941</v>
      </c>
      <c r="C706" s="522"/>
      <c r="D706" s="522">
        <v>1</v>
      </c>
      <c r="E706" s="522">
        <v>48</v>
      </c>
      <c r="F706" s="522"/>
      <c r="G706" s="522">
        <v>3.4</v>
      </c>
      <c r="H706" s="509"/>
      <c r="I706" s="509">
        <v>-25</v>
      </c>
      <c r="J706" s="509"/>
      <c r="K706" s="369">
        <f t="shared" si="83"/>
        <v>138.19999999999999</v>
      </c>
      <c r="L706" s="364">
        <f t="shared" si="84"/>
        <v>138.19999999999999</v>
      </c>
      <c r="M706" s="473"/>
    </row>
    <row r="707" spans="1:13" ht="12.6" customHeight="1" x14ac:dyDescent="0.2">
      <c r="A707" s="473"/>
      <c r="B707" s="521" t="s">
        <v>942</v>
      </c>
      <c r="C707" s="522"/>
      <c r="D707" s="522">
        <v>1</v>
      </c>
      <c r="E707" s="522">
        <v>9</v>
      </c>
      <c r="F707" s="522"/>
      <c r="G707" s="522">
        <v>5</v>
      </c>
      <c r="H707" s="509"/>
      <c r="I707" s="509"/>
      <c r="J707" s="509"/>
      <c r="K707" s="369">
        <f t="shared" si="83"/>
        <v>45</v>
      </c>
      <c r="L707" s="364">
        <f t="shared" si="84"/>
        <v>45</v>
      </c>
      <c r="M707" s="473"/>
    </row>
    <row r="708" spans="1:13" ht="12.6" customHeight="1" x14ac:dyDescent="0.2">
      <c r="A708" s="473"/>
      <c r="B708" s="509" t="s">
        <v>952</v>
      </c>
      <c r="C708" s="509"/>
      <c r="D708" s="509">
        <v>9</v>
      </c>
      <c r="E708" s="467">
        <v>0.7</v>
      </c>
      <c r="F708" s="467"/>
      <c r="G708" s="467">
        <v>2.2999999999999998</v>
      </c>
      <c r="H708" s="509"/>
      <c r="I708" s="509"/>
      <c r="J708" s="509"/>
      <c r="K708" s="369">
        <f t="shared" si="83"/>
        <v>1.6099999999999999</v>
      </c>
      <c r="L708" s="364">
        <f t="shared" si="84"/>
        <v>14.49</v>
      </c>
      <c r="M708" s="473"/>
    </row>
    <row r="709" spans="1:13" ht="12.6" customHeight="1" x14ac:dyDescent="0.2">
      <c r="A709" s="473"/>
      <c r="B709" s="509"/>
      <c r="C709" s="509"/>
      <c r="D709" s="509">
        <v>1</v>
      </c>
      <c r="E709" s="467">
        <v>11.2</v>
      </c>
      <c r="F709" s="467"/>
      <c r="G709" s="467">
        <v>2.7</v>
      </c>
      <c r="H709" s="509"/>
      <c r="I709" s="509"/>
      <c r="J709" s="509"/>
      <c r="K709" s="369">
        <f t="shared" si="83"/>
        <v>30.24</v>
      </c>
      <c r="L709" s="364">
        <f t="shared" si="84"/>
        <v>30.24</v>
      </c>
      <c r="M709" s="473"/>
    </row>
    <row r="710" spans="1:13" ht="12.6" customHeight="1" x14ac:dyDescent="0.2">
      <c r="A710" s="473"/>
      <c r="B710" s="501" t="s">
        <v>953</v>
      </c>
      <c r="C710" s="509"/>
      <c r="D710" s="509">
        <v>1</v>
      </c>
      <c r="E710" s="467">
        <v>44.4</v>
      </c>
      <c r="F710" s="467"/>
      <c r="G710" s="467">
        <v>2.7</v>
      </c>
      <c r="H710" s="509"/>
      <c r="I710" s="509">
        <v>-13.44</v>
      </c>
      <c r="J710" s="509"/>
      <c r="K710" s="369">
        <f t="shared" si="83"/>
        <v>106.44000000000001</v>
      </c>
      <c r="L710" s="364">
        <f t="shared" si="84"/>
        <v>106.44</v>
      </c>
      <c r="M710" s="473"/>
    </row>
    <row r="711" spans="1:13" ht="12.6" customHeight="1" x14ac:dyDescent="0.2">
      <c r="A711" s="473"/>
      <c r="B711" s="501" t="s">
        <v>950</v>
      </c>
      <c r="C711" s="509"/>
      <c r="D711" s="509">
        <v>9</v>
      </c>
      <c r="E711" s="467">
        <v>0.7</v>
      </c>
      <c r="F711" s="467"/>
      <c r="G711" s="467">
        <v>2.2999999999999998</v>
      </c>
      <c r="H711" s="509"/>
      <c r="I711" s="509"/>
      <c r="J711" s="509"/>
      <c r="K711" s="369">
        <f t="shared" si="83"/>
        <v>1.6099999999999999</v>
      </c>
      <c r="L711" s="364">
        <f t="shared" si="84"/>
        <v>14.49</v>
      </c>
      <c r="M711" s="473"/>
    </row>
    <row r="712" spans="1:13" ht="12.6" customHeight="1" x14ac:dyDescent="0.2">
      <c r="A712" s="473"/>
      <c r="B712" s="501" t="s">
        <v>954</v>
      </c>
      <c r="C712" s="509"/>
      <c r="D712" s="509">
        <v>1</v>
      </c>
      <c r="E712" s="467">
        <v>19.25</v>
      </c>
      <c r="F712" s="467"/>
      <c r="G712" s="467">
        <v>3.5</v>
      </c>
      <c r="H712" s="509"/>
      <c r="I712" s="467">
        <v>-7.25</v>
      </c>
      <c r="J712" s="509"/>
      <c r="K712" s="369">
        <f t="shared" si="83"/>
        <v>60.125</v>
      </c>
      <c r="L712" s="364">
        <f t="shared" si="84"/>
        <v>60.13</v>
      </c>
      <c r="M712" s="473"/>
    </row>
    <row r="713" spans="1:13" ht="12.6" customHeight="1" x14ac:dyDescent="0.2">
      <c r="A713" s="473"/>
      <c r="B713" s="501" t="s">
        <v>954</v>
      </c>
      <c r="C713" s="509"/>
      <c r="D713" s="509">
        <v>1</v>
      </c>
      <c r="E713" s="467">
        <v>19.25</v>
      </c>
      <c r="F713" s="467"/>
      <c r="G713" s="467">
        <v>3.5</v>
      </c>
      <c r="H713" s="509"/>
      <c r="I713" s="467">
        <v>-7.25</v>
      </c>
      <c r="J713" s="509"/>
      <c r="K713" s="369">
        <f t="shared" si="83"/>
        <v>60.125</v>
      </c>
      <c r="L713" s="364">
        <f t="shared" si="84"/>
        <v>60.13</v>
      </c>
      <c r="M713" s="473"/>
    </row>
    <row r="714" spans="1:13" ht="12.6" customHeight="1" x14ac:dyDescent="0.2">
      <c r="A714" s="473"/>
      <c r="B714" s="501" t="s">
        <v>946</v>
      </c>
      <c r="C714" s="509"/>
      <c r="D714" s="509">
        <v>1</v>
      </c>
      <c r="E714" s="467">
        <v>15.1</v>
      </c>
      <c r="F714" s="467"/>
      <c r="G714" s="467">
        <v>2.7</v>
      </c>
      <c r="H714" s="509"/>
      <c r="I714" s="467">
        <v>-6</v>
      </c>
      <c r="J714" s="509"/>
      <c r="K714" s="369">
        <f t="shared" si="83"/>
        <v>34.770000000000003</v>
      </c>
      <c r="L714" s="364">
        <f t="shared" si="84"/>
        <v>34.770000000000003</v>
      </c>
      <c r="M714" s="473"/>
    </row>
    <row r="715" spans="1:13" ht="12.6" customHeight="1" x14ac:dyDescent="0.2">
      <c r="A715" s="473"/>
      <c r="B715" s="509"/>
      <c r="C715" s="509"/>
      <c r="D715" s="509">
        <v>8</v>
      </c>
      <c r="E715" s="467">
        <v>1</v>
      </c>
      <c r="F715" s="467"/>
      <c r="G715" s="467">
        <v>2.2999999999999998</v>
      </c>
      <c r="H715" s="509"/>
      <c r="I715" s="509"/>
      <c r="J715" s="509"/>
      <c r="K715" s="369">
        <f t="shared" si="83"/>
        <v>2.2999999999999998</v>
      </c>
      <c r="L715" s="364">
        <f t="shared" si="84"/>
        <v>18.399999999999999</v>
      </c>
      <c r="M715" s="473"/>
    </row>
    <row r="716" spans="1:13" ht="12.6" customHeight="1" x14ac:dyDescent="0.2">
      <c r="A716" s="473"/>
      <c r="B716" s="509"/>
      <c r="C716" s="509"/>
      <c r="D716" s="509">
        <v>1</v>
      </c>
      <c r="E716" s="467">
        <v>18.600000000000001</v>
      </c>
      <c r="F716" s="467"/>
      <c r="G716" s="467">
        <v>2.7</v>
      </c>
      <c r="H716" s="509"/>
      <c r="I716" s="509"/>
      <c r="J716" s="509"/>
      <c r="K716" s="369">
        <f t="shared" si="83"/>
        <v>50.220000000000006</v>
      </c>
      <c r="L716" s="364">
        <f t="shared" si="84"/>
        <v>50.22</v>
      </c>
      <c r="M716" s="473"/>
    </row>
    <row r="717" spans="1:13" ht="12.6" customHeight="1" x14ac:dyDescent="0.2">
      <c r="A717" s="473"/>
      <c r="B717" s="467" t="s">
        <v>955</v>
      </c>
      <c r="C717" s="509"/>
      <c r="D717" s="509">
        <v>1</v>
      </c>
      <c r="E717" s="467">
        <v>0.65</v>
      </c>
      <c r="F717" s="467"/>
      <c r="G717" s="467">
        <v>7.2</v>
      </c>
      <c r="H717" s="509"/>
      <c r="I717" s="509"/>
      <c r="J717" s="509"/>
      <c r="K717" s="369">
        <f t="shared" si="83"/>
        <v>4.6800000000000006</v>
      </c>
      <c r="L717" s="364">
        <f t="shared" si="84"/>
        <v>4.68</v>
      </c>
      <c r="M717" s="473"/>
    </row>
    <row r="718" spans="1:13" ht="12.6" customHeight="1" x14ac:dyDescent="0.2">
      <c r="A718" s="473"/>
      <c r="B718" s="467" t="s">
        <v>955</v>
      </c>
      <c r="C718" s="509"/>
      <c r="D718" s="509">
        <v>1</v>
      </c>
      <c r="E718" s="467">
        <v>0.65</v>
      </c>
      <c r="F718" s="467"/>
      <c r="G718" s="467">
        <v>7.2</v>
      </c>
      <c r="H718" s="509"/>
      <c r="I718" s="509"/>
      <c r="J718" s="509"/>
      <c r="K718" s="369">
        <f t="shared" si="83"/>
        <v>4.6800000000000006</v>
      </c>
      <c r="L718" s="364">
        <f t="shared" si="84"/>
        <v>4.68</v>
      </c>
      <c r="M718" s="473"/>
    </row>
    <row r="719" spans="1:13" ht="12.6" customHeight="1" x14ac:dyDescent="0.2">
      <c r="A719" s="473"/>
      <c r="B719" s="467" t="s">
        <v>956</v>
      </c>
      <c r="C719" s="509"/>
      <c r="D719" s="509">
        <v>1</v>
      </c>
      <c r="E719" s="467">
        <v>28.12</v>
      </c>
      <c r="F719" s="467"/>
      <c r="G719" s="467">
        <v>2.4</v>
      </c>
      <c r="H719" s="509"/>
      <c r="I719" s="509"/>
      <c r="J719" s="509"/>
      <c r="K719" s="369">
        <f t="shared" si="83"/>
        <v>67.488</v>
      </c>
      <c r="L719" s="364">
        <f t="shared" si="84"/>
        <v>67.489999999999995</v>
      </c>
      <c r="M719" s="473"/>
    </row>
    <row r="720" spans="1:13" ht="12.6" customHeight="1" x14ac:dyDescent="0.2">
      <c r="A720" s="473"/>
      <c r="B720" s="509"/>
      <c r="C720" s="509"/>
      <c r="D720" s="509">
        <v>1</v>
      </c>
      <c r="E720" s="467">
        <v>6.5</v>
      </c>
      <c r="F720" s="467"/>
      <c r="G720" s="467">
        <v>2.9</v>
      </c>
      <c r="H720" s="509"/>
      <c r="I720" s="509"/>
      <c r="J720" s="509"/>
      <c r="K720" s="369">
        <f t="shared" si="83"/>
        <v>18.849999999999998</v>
      </c>
      <c r="L720" s="364">
        <f t="shared" si="84"/>
        <v>18.850000000000001</v>
      </c>
      <c r="M720" s="473"/>
    </row>
    <row r="721" spans="1:13" ht="12.6" customHeight="1" x14ac:dyDescent="0.2">
      <c r="A721" s="473"/>
      <c r="B721" s="509"/>
      <c r="C721" s="509"/>
      <c r="D721" s="509">
        <v>1</v>
      </c>
      <c r="E721" s="467">
        <v>14.5</v>
      </c>
      <c r="F721" s="467"/>
      <c r="G721" s="467">
        <v>2.4</v>
      </c>
      <c r="H721" s="509"/>
      <c r="I721" s="509"/>
      <c r="J721" s="509"/>
      <c r="K721" s="369">
        <f t="shared" si="83"/>
        <v>34.799999999999997</v>
      </c>
      <c r="L721" s="364">
        <f t="shared" si="84"/>
        <v>34.799999999999997</v>
      </c>
      <c r="M721" s="473"/>
    </row>
    <row r="723" spans="1:13" ht="33.75" customHeight="1" x14ac:dyDescent="0.2">
      <c r="A723" s="412" t="s">
        <v>549</v>
      </c>
      <c r="B723" s="761" t="str">
        <f>REPROGRAMAÇÃO!B121</f>
        <v>PINTURA COM TINTA ALQUÍDICA DE FUNDO E ACABAMENTO (ESMALTE SINTÉTICO GRAFITE) PULVERIZADA SOBRE SUPERFÍCIES METÁLICAS (EXCETO PERFIL) EXECUTADO EM OBRA (POR DEMÃO). AF_01/2020_P</v>
      </c>
      <c r="C723" s="761"/>
      <c r="D723" s="761"/>
      <c r="E723" s="761"/>
      <c r="F723" s="761"/>
      <c r="G723" s="761"/>
      <c r="H723" s="761"/>
      <c r="I723" s="761"/>
      <c r="J723" s="761"/>
      <c r="K723" s="761"/>
      <c r="L723" s="761"/>
      <c r="M723" s="761"/>
    </row>
    <row r="724" spans="1:13" ht="12.6" customHeight="1" x14ac:dyDescent="0.2">
      <c r="A724" s="502"/>
      <c r="B724" s="762" t="s">
        <v>133</v>
      </c>
      <c r="C724" s="763"/>
      <c r="D724" s="249"/>
      <c r="E724" s="249"/>
      <c r="F724" s="249"/>
      <c r="G724" s="249"/>
      <c r="H724" s="249"/>
      <c r="I724" s="249"/>
      <c r="J724" s="250"/>
      <c r="K724" s="250"/>
      <c r="L724" s="250">
        <f>REPROGRAMAÇÃO!F121</f>
        <v>7.56</v>
      </c>
      <c r="M724" s="250"/>
    </row>
    <row r="725" spans="1:13" ht="12.6" customHeight="1" x14ac:dyDescent="0.2">
      <c r="A725" s="502"/>
      <c r="B725" s="764" t="s">
        <v>812</v>
      </c>
      <c r="C725" s="765"/>
      <c r="D725" s="251"/>
      <c r="E725" s="251"/>
      <c r="F725" s="251"/>
      <c r="G725" s="251"/>
      <c r="H725" s="251"/>
      <c r="I725" s="251"/>
      <c r="J725" s="252"/>
      <c r="K725" s="252"/>
      <c r="L725" s="251">
        <f>SUM(L728:L734)</f>
        <v>134.52000000000001</v>
      </c>
      <c r="M725" s="252"/>
    </row>
    <row r="726" spans="1:13" ht="12.6" customHeight="1" x14ac:dyDescent="0.2">
      <c r="A726" s="502"/>
      <c r="B726" s="253" t="s">
        <v>813</v>
      </c>
      <c r="C726" s="254"/>
      <c r="D726" s="255"/>
      <c r="E726" s="255"/>
      <c r="F726" s="255"/>
      <c r="G726" s="255"/>
      <c r="H726" s="255"/>
      <c r="I726" s="255"/>
      <c r="J726" s="256"/>
      <c r="K726" s="256"/>
      <c r="L726" s="251">
        <f>L725-L724</f>
        <v>126.96000000000001</v>
      </c>
      <c r="M726" s="252"/>
    </row>
    <row r="727" spans="1:13" ht="12.6" customHeight="1" x14ac:dyDescent="0.2">
      <c r="A727" s="502"/>
      <c r="B727" s="424"/>
      <c r="C727" s="424"/>
      <c r="D727" s="424"/>
      <c r="E727" s="424"/>
      <c r="F727" s="424"/>
      <c r="G727" s="424"/>
      <c r="H727" s="424"/>
      <c r="I727" s="424"/>
      <c r="J727" s="424"/>
      <c r="K727" s="516"/>
      <c r="L727" s="517"/>
      <c r="M727" s="506"/>
    </row>
    <row r="728" spans="1:13" ht="12.6" customHeight="1" x14ac:dyDescent="0.2">
      <c r="A728" s="301"/>
      <c r="B728" s="766" t="s">
        <v>957</v>
      </c>
      <c r="C728" s="767"/>
      <c r="D728" s="364">
        <v>2</v>
      </c>
      <c r="E728" s="522">
        <v>6</v>
      </c>
      <c r="F728" s="522"/>
      <c r="G728" s="522">
        <v>2.15</v>
      </c>
      <c r="H728" s="364"/>
      <c r="I728" s="364"/>
      <c r="J728" s="369"/>
      <c r="K728" s="369">
        <f t="shared" ref="K728:K731" si="85">G728*E728</f>
        <v>12.899999999999999</v>
      </c>
      <c r="L728" s="364">
        <f>ROUND(D728*K728,2)</f>
        <v>25.8</v>
      </c>
      <c r="M728" s="506"/>
    </row>
    <row r="729" spans="1:13" ht="12.6" customHeight="1" x14ac:dyDescent="0.2">
      <c r="A729" s="301"/>
      <c r="B729" s="768"/>
      <c r="C729" s="769"/>
      <c r="D729" s="364">
        <v>2</v>
      </c>
      <c r="E729" s="522">
        <v>6</v>
      </c>
      <c r="F729" s="522"/>
      <c r="G729" s="522">
        <v>2.15</v>
      </c>
      <c r="H729" s="364"/>
      <c r="I729" s="364"/>
      <c r="J729" s="369"/>
      <c r="K729" s="369">
        <f t="shared" si="85"/>
        <v>12.899999999999999</v>
      </c>
      <c r="L729" s="364">
        <f t="shared" ref="L729:L731" si="86">ROUND(D729*K729,2)</f>
        <v>25.8</v>
      </c>
      <c r="M729" s="506"/>
    </row>
    <row r="730" spans="1:13" ht="12.6" customHeight="1" x14ac:dyDescent="0.2">
      <c r="A730" s="301"/>
      <c r="B730" s="768"/>
      <c r="C730" s="769"/>
      <c r="D730" s="364">
        <v>2</v>
      </c>
      <c r="E730" s="522">
        <v>6</v>
      </c>
      <c r="F730" s="522"/>
      <c r="G730" s="522">
        <v>2.15</v>
      </c>
      <c r="H730" s="364"/>
      <c r="I730" s="364"/>
      <c r="J730" s="369"/>
      <c r="K730" s="369">
        <f t="shared" si="85"/>
        <v>12.899999999999999</v>
      </c>
      <c r="L730" s="364">
        <f t="shared" si="86"/>
        <v>25.8</v>
      </c>
      <c r="M730" s="506"/>
    </row>
    <row r="731" spans="1:13" ht="12.6" customHeight="1" x14ac:dyDescent="0.2">
      <c r="A731" s="301"/>
      <c r="B731" s="770"/>
      <c r="C731" s="771"/>
      <c r="D731" s="364">
        <v>2</v>
      </c>
      <c r="E731" s="522">
        <v>2.94</v>
      </c>
      <c r="F731" s="522"/>
      <c r="G731" s="522">
        <v>2.15</v>
      </c>
      <c r="H731" s="364"/>
      <c r="I731" s="364"/>
      <c r="J731" s="369"/>
      <c r="K731" s="369">
        <f t="shared" si="85"/>
        <v>6.3209999999999997</v>
      </c>
      <c r="L731" s="364">
        <f t="shared" si="86"/>
        <v>12.64</v>
      </c>
      <c r="M731" s="506"/>
    </row>
    <row r="732" spans="1:13" ht="12.6" customHeight="1" x14ac:dyDescent="0.2">
      <c r="A732" s="301"/>
      <c r="B732" s="509" t="s">
        <v>970</v>
      </c>
      <c r="C732" s="509"/>
      <c r="D732" s="509">
        <v>2</v>
      </c>
      <c r="E732" s="467">
        <v>8</v>
      </c>
      <c r="F732" s="467"/>
      <c r="G732" s="467">
        <v>2.15</v>
      </c>
      <c r="H732" s="509"/>
      <c r="I732" s="509"/>
      <c r="J732" s="509"/>
      <c r="K732" s="369">
        <f t="shared" ref="K732:K734" si="87">G732*E732</f>
        <v>17.2</v>
      </c>
      <c r="L732" s="364">
        <f t="shared" ref="L732:L734" si="88">ROUND(D732*K732,2)</f>
        <v>34.4</v>
      </c>
      <c r="M732" s="506"/>
    </row>
    <row r="733" spans="1:13" ht="12.6" customHeight="1" x14ac:dyDescent="0.2">
      <c r="A733" s="301"/>
      <c r="B733" s="501" t="s">
        <v>968</v>
      </c>
      <c r="C733" s="509"/>
      <c r="D733" s="509">
        <v>2</v>
      </c>
      <c r="E733" s="467">
        <v>1.6</v>
      </c>
      <c r="F733" s="467"/>
      <c r="G733" s="467">
        <v>2.1</v>
      </c>
      <c r="H733" s="509"/>
      <c r="I733" s="509"/>
      <c r="J733" s="509"/>
      <c r="K733" s="369">
        <f t="shared" si="87"/>
        <v>3.3600000000000003</v>
      </c>
      <c r="L733" s="364">
        <f t="shared" si="88"/>
        <v>6.72</v>
      </c>
      <c r="M733" s="506"/>
    </row>
    <row r="734" spans="1:13" ht="12.6" customHeight="1" x14ac:dyDescent="0.2">
      <c r="A734" s="301"/>
      <c r="B734" s="501" t="s">
        <v>969</v>
      </c>
      <c r="C734" s="509"/>
      <c r="D734" s="509">
        <v>2</v>
      </c>
      <c r="E734" s="467">
        <v>0.8</v>
      </c>
      <c r="F734" s="467"/>
      <c r="G734" s="467">
        <v>2.1</v>
      </c>
      <c r="H734" s="509"/>
      <c r="I734" s="509"/>
      <c r="J734" s="509"/>
      <c r="K734" s="369">
        <f t="shared" si="87"/>
        <v>1.6800000000000002</v>
      </c>
      <c r="L734" s="364">
        <f t="shared" si="88"/>
        <v>3.36</v>
      </c>
      <c r="M734" s="506"/>
    </row>
    <row r="737" spans="1:13" ht="12.6" customHeight="1" x14ac:dyDescent="0.2">
      <c r="A737" s="412" t="s">
        <v>553</v>
      </c>
      <c r="B737" s="761" t="str">
        <f>REPROGRAMAÇÃO!B123</f>
        <v>PINTURA TINTA DE ACABAMENTO (PIGMENTADA) ESMALTE SINTÉTICO BRILHANTE EM MADEIRA, 2 DEMÃOS. AF_01/2021</v>
      </c>
      <c r="C737" s="761"/>
      <c r="D737" s="761"/>
      <c r="E737" s="761"/>
      <c r="F737" s="761"/>
      <c r="G737" s="761"/>
      <c r="H737" s="761"/>
      <c r="I737" s="761"/>
      <c r="J737" s="761"/>
      <c r="K737" s="761"/>
      <c r="L737" s="761"/>
      <c r="M737" s="761"/>
    </row>
    <row r="738" spans="1:13" ht="12.6" customHeight="1" x14ac:dyDescent="0.2">
      <c r="A738" s="502"/>
      <c r="B738" s="762" t="s">
        <v>133</v>
      </c>
      <c r="C738" s="763"/>
      <c r="D738" s="249"/>
      <c r="E738" s="249"/>
      <c r="F738" s="249"/>
      <c r="G738" s="249"/>
      <c r="H738" s="249"/>
      <c r="I738" s="249"/>
      <c r="J738" s="250"/>
      <c r="K738" s="250"/>
      <c r="L738" s="250">
        <f>REPROGRAMAÇÃO!F123</f>
        <v>29</v>
      </c>
      <c r="M738" s="250"/>
    </row>
    <row r="739" spans="1:13" ht="12.6" customHeight="1" x14ac:dyDescent="0.2">
      <c r="A739" s="502"/>
      <c r="B739" s="764" t="s">
        <v>812</v>
      </c>
      <c r="C739" s="765"/>
      <c r="D739" s="251"/>
      <c r="E739" s="251"/>
      <c r="F739" s="251"/>
      <c r="G739" s="251"/>
      <c r="H739" s="251"/>
      <c r="I739" s="251"/>
      <c r="J739" s="252"/>
      <c r="K739" s="252"/>
      <c r="L739" s="251">
        <f>SUM(L742:L743)</f>
        <v>63.84</v>
      </c>
      <c r="M739" s="252"/>
    </row>
    <row r="740" spans="1:13" ht="12.6" customHeight="1" x14ac:dyDescent="0.2">
      <c r="A740" s="502"/>
      <c r="B740" s="253" t="s">
        <v>813</v>
      </c>
      <c r="C740" s="254"/>
      <c r="D740" s="255"/>
      <c r="E740" s="255"/>
      <c r="F740" s="255"/>
      <c r="G740" s="255"/>
      <c r="H740" s="255"/>
      <c r="I740" s="255"/>
      <c r="J740" s="256"/>
      <c r="K740" s="256"/>
      <c r="L740" s="251">
        <f>L739-L738</f>
        <v>34.840000000000003</v>
      </c>
      <c r="M740" s="252"/>
    </row>
    <row r="741" spans="1:13" ht="12.6" customHeight="1" x14ac:dyDescent="0.2">
      <c r="A741" s="502"/>
      <c r="B741" s="424"/>
      <c r="C741" s="424"/>
      <c r="D741" s="424"/>
      <c r="E741" s="424"/>
      <c r="F741" s="424"/>
      <c r="G741" s="424"/>
      <c r="H741" s="424"/>
      <c r="I741" s="424"/>
      <c r="J741" s="424"/>
      <c r="K741" s="516"/>
      <c r="L741" s="517"/>
      <c r="M741" s="506"/>
    </row>
    <row r="742" spans="1:13" ht="12.6" customHeight="1" x14ac:dyDescent="0.2">
      <c r="A742" s="301"/>
      <c r="B742" s="509" t="s">
        <v>971</v>
      </c>
      <c r="C742" s="509"/>
      <c r="D742" s="509">
        <v>19</v>
      </c>
      <c r="E742" s="344">
        <v>2.1</v>
      </c>
      <c r="F742" s="344"/>
      <c r="G742" s="509">
        <v>0.8</v>
      </c>
      <c r="H742" s="509"/>
      <c r="I742" s="509"/>
      <c r="J742" s="509"/>
      <c r="K742" s="369">
        <f>G742*E742*2</f>
        <v>3.3600000000000003</v>
      </c>
      <c r="L742" s="364">
        <f t="shared" ref="L742" si="89">ROUND(D742*K742,2)</f>
        <v>63.84</v>
      </c>
      <c r="M742" s="506"/>
    </row>
    <row r="743" spans="1:13" ht="12.6" customHeight="1" x14ac:dyDescent="0.2">
      <c r="A743" s="301"/>
      <c r="B743" s="760"/>
      <c r="C743" s="760"/>
      <c r="D743" s="507"/>
      <c r="E743" s="503"/>
      <c r="F743" s="470"/>
      <c r="G743" s="519"/>
      <c r="H743" s="301"/>
      <c r="I743" s="301"/>
      <c r="J743" s="301"/>
      <c r="K743" s="502"/>
      <c r="L743" s="502"/>
      <c r="M743" s="506"/>
    </row>
    <row r="745" spans="1:13" ht="12.6" customHeight="1" x14ac:dyDescent="0.2">
      <c r="A745" s="412" t="s">
        <v>974</v>
      </c>
      <c r="B745" s="761" t="str">
        <f>REPROGRAMAÇÃO!B125</f>
        <v>TEXTURA ACRÍLICA, APLICAÇÃO MANUAL EM PAREDE, UMA DEMÃO. AF_09/2016</v>
      </c>
      <c r="C745" s="761"/>
      <c r="D745" s="761"/>
      <c r="E745" s="761"/>
      <c r="F745" s="761"/>
      <c r="G745" s="761"/>
      <c r="H745" s="761"/>
      <c r="I745" s="761"/>
      <c r="J745" s="761"/>
      <c r="K745" s="761"/>
      <c r="L745" s="761"/>
      <c r="M745" s="761"/>
    </row>
    <row r="746" spans="1:13" ht="12.6" customHeight="1" x14ac:dyDescent="0.2">
      <c r="A746" s="502"/>
      <c r="B746" s="762" t="s">
        <v>133</v>
      </c>
      <c r="C746" s="763"/>
      <c r="D746" s="249"/>
      <c r="E746" s="249"/>
      <c r="F746" s="249"/>
      <c r="G746" s="249"/>
      <c r="H746" s="249"/>
      <c r="I746" s="249"/>
      <c r="J746" s="250"/>
      <c r="K746" s="250"/>
      <c r="L746" s="250"/>
      <c r="M746" s="250"/>
    </row>
    <row r="747" spans="1:13" ht="12.6" customHeight="1" x14ac:dyDescent="0.2">
      <c r="A747" s="502"/>
      <c r="B747" s="764" t="s">
        <v>812</v>
      </c>
      <c r="C747" s="765"/>
      <c r="D747" s="251"/>
      <c r="E747" s="251"/>
      <c r="F747" s="251"/>
      <c r="G747" s="251"/>
      <c r="H747" s="251"/>
      <c r="I747" s="251"/>
      <c r="J747" s="252"/>
      <c r="K747" s="252"/>
      <c r="L747" s="251">
        <f>SUM(L750:L756)</f>
        <v>280.10000000000002</v>
      </c>
      <c r="M747" s="252"/>
    </row>
    <row r="748" spans="1:13" ht="12.6" customHeight="1" x14ac:dyDescent="0.2">
      <c r="A748" s="502"/>
      <c r="B748" s="253" t="s">
        <v>813</v>
      </c>
      <c r="C748" s="254"/>
      <c r="D748" s="255"/>
      <c r="E748" s="255"/>
      <c r="F748" s="255"/>
      <c r="G748" s="255"/>
      <c r="H748" s="255"/>
      <c r="I748" s="255"/>
      <c r="J748" s="256"/>
      <c r="K748" s="256"/>
      <c r="L748" s="251">
        <f>L747-L746</f>
        <v>280.10000000000002</v>
      </c>
      <c r="M748" s="252"/>
    </row>
    <row r="749" spans="1:13" ht="12.6" customHeight="1" x14ac:dyDescent="0.2">
      <c r="A749" s="502"/>
      <c r="B749" s="424"/>
      <c r="C749" s="424"/>
      <c r="D749" s="424"/>
      <c r="E749" s="424"/>
      <c r="F749" s="424"/>
      <c r="G749" s="424"/>
      <c r="H749" s="424"/>
      <c r="I749" s="424"/>
      <c r="J749" s="424"/>
      <c r="K749" s="516"/>
      <c r="L749" s="517"/>
      <c r="M749" s="506"/>
    </row>
    <row r="750" spans="1:13" ht="12.6" customHeight="1" x14ac:dyDescent="0.2">
      <c r="A750" s="301"/>
      <c r="B750" s="521" t="s">
        <v>951</v>
      </c>
      <c r="C750" s="522"/>
      <c r="D750" s="522">
        <v>25</v>
      </c>
      <c r="E750" s="522">
        <v>3.48</v>
      </c>
      <c r="F750" s="522"/>
      <c r="G750" s="522">
        <v>1</v>
      </c>
      <c r="H750" s="509"/>
      <c r="I750" s="509"/>
      <c r="J750" s="509"/>
      <c r="K750" s="369">
        <f>E750*G750+I750</f>
        <v>3.48</v>
      </c>
      <c r="L750" s="364">
        <f>K750*D750</f>
        <v>87</v>
      </c>
      <c r="M750" s="506"/>
    </row>
    <row r="751" spans="1:13" ht="12.6" customHeight="1" x14ac:dyDescent="0.2">
      <c r="A751" s="301"/>
      <c r="B751" s="521" t="s">
        <v>939</v>
      </c>
      <c r="C751" s="522"/>
      <c r="D751" s="522">
        <v>1</v>
      </c>
      <c r="E751" s="522">
        <v>27.2</v>
      </c>
      <c r="F751" s="522"/>
      <c r="G751" s="522">
        <v>0.9</v>
      </c>
      <c r="H751" s="509"/>
      <c r="I751" s="509"/>
      <c r="J751" s="509"/>
      <c r="K751" s="369">
        <f t="shared" ref="K751:K756" si="90">E751*G751+I751</f>
        <v>24.48</v>
      </c>
      <c r="L751" s="364">
        <f t="shared" ref="L751:L756" si="91">K751*D751</f>
        <v>24.48</v>
      </c>
      <c r="M751" s="506"/>
    </row>
    <row r="752" spans="1:13" ht="12.6" customHeight="1" x14ac:dyDescent="0.2">
      <c r="A752" s="473"/>
      <c r="B752" s="521" t="s">
        <v>939</v>
      </c>
      <c r="C752" s="522"/>
      <c r="D752" s="522">
        <v>1</v>
      </c>
      <c r="E752" s="522">
        <v>0.9</v>
      </c>
      <c r="F752" s="522"/>
      <c r="G752" s="522">
        <v>0.9</v>
      </c>
      <c r="H752" s="509"/>
      <c r="I752" s="509"/>
      <c r="J752" s="509"/>
      <c r="K752" s="369">
        <f t="shared" si="90"/>
        <v>0.81</v>
      </c>
      <c r="L752" s="364">
        <f t="shared" si="91"/>
        <v>0.81</v>
      </c>
      <c r="M752" s="473"/>
    </row>
    <row r="753" spans="1:13" ht="12.6" customHeight="1" x14ac:dyDescent="0.2">
      <c r="A753" s="473"/>
      <c r="B753" s="521" t="s">
        <v>939</v>
      </c>
      <c r="C753" s="522"/>
      <c r="D753" s="522">
        <v>1</v>
      </c>
      <c r="E753" s="522">
        <v>0.9</v>
      </c>
      <c r="F753" s="522"/>
      <c r="G753" s="522">
        <v>0.9</v>
      </c>
      <c r="H753" s="509"/>
      <c r="I753" s="509"/>
      <c r="J753" s="509"/>
      <c r="K753" s="369">
        <f t="shared" si="90"/>
        <v>0.81</v>
      </c>
      <c r="L753" s="364">
        <f t="shared" si="91"/>
        <v>0.81</v>
      </c>
      <c r="M753" s="473"/>
    </row>
    <row r="754" spans="1:13" ht="12.6" customHeight="1" x14ac:dyDescent="0.2">
      <c r="A754" s="473"/>
      <c r="B754" s="521" t="s">
        <v>940</v>
      </c>
      <c r="C754" s="522"/>
      <c r="D754" s="522">
        <v>1</v>
      </c>
      <c r="E754" s="522">
        <v>16</v>
      </c>
      <c r="F754" s="522"/>
      <c r="G754" s="522">
        <v>0.9</v>
      </c>
      <c r="H754" s="509"/>
      <c r="I754" s="509"/>
      <c r="J754" s="509"/>
      <c r="K754" s="369">
        <f t="shared" si="90"/>
        <v>14.4</v>
      </c>
      <c r="L754" s="364">
        <f t="shared" si="91"/>
        <v>14.4</v>
      </c>
      <c r="M754" s="473"/>
    </row>
    <row r="755" spans="1:13" ht="12.6" customHeight="1" x14ac:dyDescent="0.2">
      <c r="A755" s="473"/>
      <c r="B755" s="521" t="s">
        <v>940</v>
      </c>
      <c r="C755" s="522"/>
      <c r="D755" s="522">
        <v>1</v>
      </c>
      <c r="E755" s="522">
        <v>16</v>
      </c>
      <c r="F755" s="522"/>
      <c r="G755" s="522">
        <v>0.9</v>
      </c>
      <c r="H755" s="509"/>
      <c r="I755" s="509"/>
      <c r="J755" s="509"/>
      <c r="K755" s="369">
        <f t="shared" si="90"/>
        <v>14.4</v>
      </c>
      <c r="L755" s="364">
        <f t="shared" si="91"/>
        <v>14.4</v>
      </c>
      <c r="M755" s="473"/>
    </row>
    <row r="756" spans="1:13" ht="12.6" customHeight="1" x14ac:dyDescent="0.2">
      <c r="A756" s="473"/>
      <c r="B756" s="521" t="s">
        <v>941</v>
      </c>
      <c r="C756" s="522"/>
      <c r="D756" s="522">
        <v>1</v>
      </c>
      <c r="E756" s="522">
        <v>48</v>
      </c>
      <c r="F756" s="522"/>
      <c r="G756" s="522">
        <v>3.4</v>
      </c>
      <c r="H756" s="509"/>
      <c r="I756" s="509">
        <v>-25</v>
      </c>
      <c r="J756" s="509"/>
      <c r="K756" s="369">
        <f t="shared" si="90"/>
        <v>138.19999999999999</v>
      </c>
      <c r="L756" s="364">
        <f t="shared" si="91"/>
        <v>138.19999999999999</v>
      </c>
      <c r="M756" s="473"/>
    </row>
    <row r="760" spans="1:13" ht="12.6" customHeight="1" x14ac:dyDescent="0.2">
      <c r="A760" s="515">
        <v>9</v>
      </c>
      <c r="B760" s="772" t="str">
        <f>REPROGRAMAÇÃO!B127</f>
        <v>INSTALAÇÕES HIDROSSANITÁRIAS</v>
      </c>
      <c r="C760" s="772"/>
      <c r="D760" s="772"/>
      <c r="E760" s="772"/>
      <c r="F760" s="772"/>
      <c r="G760" s="772"/>
      <c r="H760" s="772"/>
      <c r="I760" s="772"/>
      <c r="J760" s="772"/>
      <c r="K760" s="772"/>
      <c r="L760" s="772"/>
      <c r="M760" s="772"/>
    </row>
    <row r="761" spans="1:13" ht="12.6" customHeight="1" x14ac:dyDescent="0.2">
      <c r="A761" s="301"/>
      <c r="B761" s="505"/>
      <c r="C761" s="505"/>
      <c r="D761" s="507"/>
      <c r="E761" s="507"/>
      <c r="F761" s="301"/>
      <c r="G761" s="301"/>
      <c r="H761" s="301"/>
      <c r="I761" s="301"/>
      <c r="J761" s="301"/>
      <c r="K761" s="516"/>
      <c r="L761" s="517"/>
      <c r="M761" s="506"/>
    </row>
    <row r="762" spans="1:13" ht="27" customHeight="1" x14ac:dyDescent="0.2">
      <c r="A762" s="412" t="s">
        <v>92</v>
      </c>
      <c r="B762" s="761" t="str">
        <f>REPROGRAMAÇÃO!B156</f>
        <v>TUBO PVC, SERIE NORMAL, ESGOTO PREDIAL, DN 100 MM, FORNECIDO E INSTALADO EM PRUMADA DE ÁGUA PLUVIAL. AF_12/2014</v>
      </c>
      <c r="C762" s="761"/>
      <c r="D762" s="761"/>
      <c r="E762" s="761"/>
      <c r="F762" s="761"/>
      <c r="G762" s="761"/>
      <c r="H762" s="761"/>
      <c r="I762" s="761"/>
      <c r="J762" s="761"/>
      <c r="K762" s="761"/>
      <c r="L762" s="761"/>
      <c r="M762" s="761"/>
    </row>
    <row r="763" spans="1:13" ht="12.6" customHeight="1" x14ac:dyDescent="0.2">
      <c r="A763" s="502"/>
      <c r="B763" s="762" t="s">
        <v>133</v>
      </c>
      <c r="C763" s="763"/>
      <c r="D763" s="249"/>
      <c r="E763" s="249"/>
      <c r="F763" s="249"/>
      <c r="G763" s="249"/>
      <c r="H763" s="249"/>
      <c r="I763" s="249"/>
      <c r="J763" s="250"/>
      <c r="K763" s="250"/>
      <c r="L763" s="250"/>
      <c r="M763" s="250"/>
    </row>
    <row r="764" spans="1:13" ht="12.6" customHeight="1" x14ac:dyDescent="0.2">
      <c r="A764" s="502"/>
      <c r="B764" s="764" t="s">
        <v>812</v>
      </c>
      <c r="C764" s="765"/>
      <c r="D764" s="251"/>
      <c r="E764" s="251"/>
      <c r="F764" s="251"/>
      <c r="G764" s="251"/>
      <c r="H764" s="251"/>
      <c r="I764" s="251"/>
      <c r="J764" s="252"/>
      <c r="K764" s="252"/>
      <c r="L764" s="251">
        <f>SUM(L767:L777)</f>
        <v>71</v>
      </c>
      <c r="M764" s="252"/>
    </row>
    <row r="765" spans="1:13" ht="12.6" customHeight="1" x14ac:dyDescent="0.2">
      <c r="A765" s="502"/>
      <c r="B765" s="253" t="s">
        <v>813</v>
      </c>
      <c r="C765" s="254"/>
      <c r="D765" s="255"/>
      <c r="E765" s="255"/>
      <c r="F765" s="255"/>
      <c r="G765" s="255"/>
      <c r="H765" s="255"/>
      <c r="I765" s="255"/>
      <c r="J765" s="256"/>
      <c r="K765" s="256"/>
      <c r="L765" s="251">
        <f>L764-L763</f>
        <v>71</v>
      </c>
      <c r="M765" s="252"/>
    </row>
    <row r="766" spans="1:13" ht="12.6" customHeight="1" x14ac:dyDescent="0.2">
      <c r="A766" s="502"/>
      <c r="B766" s="424"/>
      <c r="C766" s="424"/>
      <c r="D766" s="424"/>
      <c r="E766" s="424"/>
      <c r="F766" s="424"/>
      <c r="G766" s="424"/>
      <c r="H766" s="424"/>
      <c r="I766" s="424"/>
      <c r="J766" s="424"/>
      <c r="K766" s="516"/>
      <c r="L766" s="517"/>
      <c r="M766" s="506"/>
    </row>
    <row r="767" spans="1:13" ht="12.6" customHeight="1" x14ac:dyDescent="0.2">
      <c r="A767" s="301"/>
      <c r="B767" s="760" t="s">
        <v>965</v>
      </c>
      <c r="C767" s="760"/>
      <c r="D767" s="507">
        <v>5</v>
      </c>
      <c r="E767" s="503">
        <v>5</v>
      </c>
      <c r="F767" s="301"/>
      <c r="G767" s="518"/>
      <c r="H767" s="301"/>
      <c r="I767" s="301"/>
      <c r="J767" s="301"/>
      <c r="K767" s="502">
        <f>E767</f>
        <v>5</v>
      </c>
      <c r="L767" s="502">
        <f>K767*D767</f>
        <v>25</v>
      </c>
      <c r="M767" s="506"/>
    </row>
    <row r="768" spans="1:13" ht="12.6" customHeight="1" x14ac:dyDescent="0.2">
      <c r="A768" s="301"/>
      <c r="B768" s="760" t="s">
        <v>966</v>
      </c>
      <c r="C768" s="760"/>
      <c r="D768" s="507">
        <v>4</v>
      </c>
      <c r="E768" s="503">
        <v>4</v>
      </c>
      <c r="F768" s="470"/>
      <c r="G768" s="519"/>
      <c r="H768" s="301"/>
      <c r="I768" s="301"/>
      <c r="J768" s="301"/>
      <c r="K768" s="502">
        <f>E768</f>
        <v>4</v>
      </c>
      <c r="L768" s="502">
        <f>K768*D768</f>
        <v>16</v>
      </c>
      <c r="M768" s="506"/>
    </row>
    <row r="769" spans="1:13" ht="12.6" customHeight="1" x14ac:dyDescent="0.2">
      <c r="A769" s="301"/>
      <c r="B769" s="760" t="s">
        <v>967</v>
      </c>
      <c r="C769" s="760"/>
      <c r="D769" s="507">
        <v>1</v>
      </c>
      <c r="E769" s="503">
        <v>30</v>
      </c>
      <c r="F769" s="470"/>
      <c r="G769" s="519">
        <v>1</v>
      </c>
      <c r="H769" s="301"/>
      <c r="I769" s="301"/>
      <c r="J769" s="301"/>
      <c r="K769" s="502">
        <f t="shared" ref="K769" si="92">E769*G769</f>
        <v>30</v>
      </c>
      <c r="L769" s="502">
        <f t="shared" ref="L769" si="93">K769*D769</f>
        <v>30</v>
      </c>
      <c r="M769" s="506"/>
    </row>
    <row r="770" spans="1:13" ht="12.6" customHeight="1" x14ac:dyDescent="0.2">
      <c r="A770" s="301"/>
      <c r="B770" s="760"/>
      <c r="C770" s="760"/>
      <c r="D770" s="507"/>
      <c r="E770" s="503"/>
      <c r="F770" s="301"/>
      <c r="G770" s="520"/>
      <c r="H770" s="301"/>
      <c r="I770" s="301"/>
      <c r="J770" s="301"/>
      <c r="K770" s="502"/>
      <c r="L770" s="502"/>
      <c r="M770" s="506"/>
    </row>
  </sheetData>
  <protectedRanges>
    <protectedRange sqref="L7 L53:L55 L72:L74 L106:L107 L142:L144 L172:L173 L328 L444 L550 L9:L13 L16:L24 L57:L61" name="Intervalo1_1"/>
    <protectedRange sqref="L62:L71" name="Intervalo1_1_2"/>
    <protectedRange sqref="L86:L93 L98:L105 L75:L79" name="Intervalo1_1_3"/>
    <protectedRange sqref="L80" name="Intervalo1_1_4"/>
    <protectedRange sqref="L81:L85" name="Intervalo1_1_6"/>
    <protectedRange sqref="L94:L97" name="Intervalo1_1_5"/>
    <protectedRange sqref="L108:L113 L134:L141" name="Intervalo1_1_7"/>
    <protectedRange sqref="L130:L133" name="Intervalo1_1_5_1"/>
    <protectedRange sqref="L114:L129" name="Intervalo1_1_9"/>
    <protectedRange sqref="L145:L161 L163:L171" name="Intervalo1_1_8"/>
    <protectedRange sqref="L162" name="Intervalo1_1_5_2"/>
    <protectedRange sqref="L265" name="Intervalo1_1_11"/>
    <protectedRange sqref="L258 L248 L263 L270 L300 L307 L318" name="Intervalo1_1_9_2"/>
    <protectedRange sqref="L302 L313" name="Intervalo1_1_12"/>
    <protectedRange sqref="L329:L345 L356:L358 L462 L485 L561" name="Intervalo1_1_14"/>
    <protectedRange sqref="L367:L368 L495 L409:L421 L372:L385 L425:L428 L445:L448 L432:L443 L451 L463 L522 L562:L563" name="Intervalo1_1_15"/>
    <protectedRange sqref="L403:L408 L389:L399" name="Intervalo1_1_9_3"/>
    <protectedRange sqref="L536:L537" name="Intervalo1_1_9_4"/>
    <protectedRange sqref="L25:L42 L44:L52" name="Intervalo1_1_13"/>
    <protectedRange sqref="L43" name="Intervalo1_1_9_5"/>
    <protectedRange sqref="L215 L223:L225 L174:L176 L178:L211 L249 L227:L240 L242:L244 L251:L254 L259 L261:L262 L266 L268:L269 L274 L276:L278 L287 L289:L291 L296 L298:L299 L303 L305:L306 L314 L316:L317 L350:L352 L346:L348 L361:L363 L359 L370:L371 L387:L388 L401:L402 L423:L424 L430:L431 L455:L457 L452:L453 L466:L468 L464 L488:L490 L486 L498:L500 L496 L525:L527 L523 L540:L542 L538 L554:L556 L551:L552 L566:L568 L564 L577:L579 L575 L602:L603 L638:L639 L646:L647 L664:L665 L672:L673 L680:L681 L725:L726 L764:L765 L739:L740 L747:L748" name="Intervalo1_1_1"/>
    <protectedRange sqref="L255:L256" name="Intervalo1_1_17"/>
    <protectedRange sqref="L449:L450" name="Intervalo1_1_1_3"/>
    <protectedRange sqref="L600 L636 L644 L662 L670 L678 L723 L762 L737 L745" name="Intervalo1_1_1_6"/>
    <protectedRange sqref="L618:L623" name="Intervalo1_1_9_4_1"/>
    <protectedRange sqref="L624:L634" name="Intervalo1_1_9_4_2"/>
    <protectedRange sqref="L660" name="Intervalo1_1_9_4_4"/>
    <protectedRange sqref="L683:L721" name="Intervalo1_1_9_4_5"/>
    <protectedRange sqref="L732:L734" name="Intervalo1_1_9_4_6"/>
    <protectedRange sqref="L728:L731" name="Intervalo1_1_9_4_7"/>
    <protectedRange sqref="L742" name="Intervalo1_1_9_4_8"/>
    <protectedRange sqref="L750:L756" name="Intervalo1_1_9_4_9"/>
  </protectedRanges>
  <mergeCells count="413">
    <mergeCell ref="B585:C585"/>
    <mergeCell ref="B586:C586"/>
    <mergeCell ref="B588:K588"/>
    <mergeCell ref="B580:C580"/>
    <mergeCell ref="B581:C581"/>
    <mergeCell ref="B582:C582"/>
    <mergeCell ref="B583:C583"/>
    <mergeCell ref="B558:C558"/>
    <mergeCell ref="B559:C559"/>
    <mergeCell ref="B560:C560"/>
    <mergeCell ref="B572:C572"/>
    <mergeCell ref="B573:C573"/>
    <mergeCell ref="B571:C571"/>
    <mergeCell ref="B569:C569"/>
    <mergeCell ref="B570:C570"/>
    <mergeCell ref="B576:C576"/>
    <mergeCell ref="B577:C577"/>
    <mergeCell ref="B556:C556"/>
    <mergeCell ref="B575:K575"/>
    <mergeCell ref="B565:C565"/>
    <mergeCell ref="B566:C566"/>
    <mergeCell ref="B548:C548"/>
    <mergeCell ref="B543:C543"/>
    <mergeCell ref="B544:C544"/>
    <mergeCell ref="B545:C545"/>
    <mergeCell ref="B546:C546"/>
    <mergeCell ref="B547:C547"/>
    <mergeCell ref="B552:K552"/>
    <mergeCell ref="B553:C553"/>
    <mergeCell ref="B554:C554"/>
    <mergeCell ref="B538:K538"/>
    <mergeCell ref="B539:C539"/>
    <mergeCell ref="B540:C540"/>
    <mergeCell ref="B533:C533"/>
    <mergeCell ref="B534:C534"/>
    <mergeCell ref="B535:C535"/>
    <mergeCell ref="B532:C532"/>
    <mergeCell ref="B515:C515"/>
    <mergeCell ref="B523:K523"/>
    <mergeCell ref="B524:C524"/>
    <mergeCell ref="B525:C525"/>
    <mergeCell ref="B531:C531"/>
    <mergeCell ref="B530:C530"/>
    <mergeCell ref="B528:C528"/>
    <mergeCell ref="B529:C529"/>
    <mergeCell ref="B518:C518"/>
    <mergeCell ref="B516:C516"/>
    <mergeCell ref="B517:C517"/>
    <mergeCell ref="B511:C511"/>
    <mergeCell ref="B512:C512"/>
    <mergeCell ref="B513:C513"/>
    <mergeCell ref="B514:C514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508:C508"/>
    <mergeCell ref="B509:C509"/>
    <mergeCell ref="B481:C481"/>
    <mergeCell ref="B482:C482"/>
    <mergeCell ref="B483:C483"/>
    <mergeCell ref="B503:C503"/>
    <mergeCell ref="B504:C504"/>
    <mergeCell ref="B505:C505"/>
    <mergeCell ref="B506:C506"/>
    <mergeCell ref="B507:C507"/>
    <mergeCell ref="B498:C498"/>
    <mergeCell ref="B501:C501"/>
    <mergeCell ref="B502:C502"/>
    <mergeCell ref="B488:C488"/>
    <mergeCell ref="B491:C491"/>
    <mergeCell ref="B492:C492"/>
    <mergeCell ref="B493:C493"/>
    <mergeCell ref="B494:C494"/>
    <mergeCell ref="B510:C510"/>
    <mergeCell ref="B445:C445"/>
    <mergeCell ref="B419:C419"/>
    <mergeCell ref="B421:M421"/>
    <mergeCell ref="B426:C426"/>
    <mergeCell ref="B433:C433"/>
    <mergeCell ref="B429:C429"/>
    <mergeCell ref="B430:C430"/>
    <mergeCell ref="B496:K496"/>
    <mergeCell ref="B497:C497"/>
    <mergeCell ref="B486:K486"/>
    <mergeCell ref="B487:C487"/>
    <mergeCell ref="B471:C471"/>
    <mergeCell ref="B464:K464"/>
    <mergeCell ref="B465:C465"/>
    <mergeCell ref="B466:C466"/>
    <mergeCell ref="B449:C449"/>
    <mergeCell ref="B450:C450"/>
    <mergeCell ref="B453:K453"/>
    <mergeCell ref="B460:C460"/>
    <mergeCell ref="B462:C462"/>
    <mergeCell ref="B469:C469"/>
    <mergeCell ref="B470:C470"/>
    <mergeCell ref="B377:C377"/>
    <mergeCell ref="B378:C378"/>
    <mergeCell ref="B379:C379"/>
    <mergeCell ref="B380:C380"/>
    <mergeCell ref="B386:C386"/>
    <mergeCell ref="B381:C381"/>
    <mergeCell ref="B382:C382"/>
    <mergeCell ref="B383:C383"/>
    <mergeCell ref="B385:M385"/>
    <mergeCell ref="B390:C390"/>
    <mergeCell ref="B428:M428"/>
    <mergeCell ref="B399:M399"/>
    <mergeCell ref="B387:C387"/>
    <mergeCell ref="B397:C397"/>
    <mergeCell ref="B400:C400"/>
    <mergeCell ref="B401:C401"/>
    <mergeCell ref="B423:C42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22:C422"/>
    <mergeCell ref="B368:M368"/>
    <mergeCell ref="B373:C373"/>
    <mergeCell ref="B374:C374"/>
    <mergeCell ref="B375:C375"/>
    <mergeCell ref="B369:C369"/>
    <mergeCell ref="B359:K359"/>
    <mergeCell ref="B360:C360"/>
    <mergeCell ref="B361:C361"/>
    <mergeCell ref="B364:C364"/>
    <mergeCell ref="B367:C367"/>
    <mergeCell ref="B370:C370"/>
    <mergeCell ref="B353:C353"/>
    <mergeCell ref="B44:C44"/>
    <mergeCell ref="B46:C46"/>
    <mergeCell ref="B48:C48"/>
    <mergeCell ref="B50:C50"/>
    <mergeCell ref="B51:C51"/>
    <mergeCell ref="B181:C181"/>
    <mergeCell ref="B292:C292"/>
    <mergeCell ref="B293:C293"/>
    <mergeCell ref="B295:C295"/>
    <mergeCell ref="B297:C297"/>
    <mergeCell ref="B326:C326"/>
    <mergeCell ref="B69:C69"/>
    <mergeCell ref="B70:C70"/>
    <mergeCell ref="B71:C71"/>
    <mergeCell ref="B156:C156"/>
    <mergeCell ref="B157:C157"/>
    <mergeCell ref="B159:C159"/>
    <mergeCell ref="B108:C108"/>
    <mergeCell ref="B109:C109"/>
    <mergeCell ref="B83:C83"/>
    <mergeCell ref="B87:C87"/>
    <mergeCell ref="B85:C85"/>
    <mergeCell ref="B86:C86"/>
    <mergeCell ref="B42:C42"/>
    <mergeCell ref="B40:C40"/>
    <mergeCell ref="B161:C161"/>
    <mergeCell ref="B180:C180"/>
    <mergeCell ref="B177:C177"/>
    <mergeCell ref="B76:C76"/>
    <mergeCell ref="B77:C77"/>
    <mergeCell ref="B78:C78"/>
    <mergeCell ref="B79:C79"/>
    <mergeCell ref="B53:C53"/>
    <mergeCell ref="B56:C56"/>
    <mergeCell ref="B62:C62"/>
    <mergeCell ref="B63:C63"/>
    <mergeCell ref="B75:C75"/>
    <mergeCell ref="B64:C64"/>
    <mergeCell ref="B65:C65"/>
    <mergeCell ref="B66:C66"/>
    <mergeCell ref="B67:C67"/>
    <mergeCell ref="B68:C68"/>
    <mergeCell ref="B110:C110"/>
    <mergeCell ref="B111:C111"/>
    <mergeCell ref="B112:C112"/>
    <mergeCell ref="B80:C80"/>
    <mergeCell ref="B81:C81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20:C20"/>
    <mergeCell ref="B21:C21"/>
    <mergeCell ref="A7:A8"/>
    <mergeCell ref="B7:C8"/>
    <mergeCell ref="D7:D8"/>
    <mergeCell ref="B19:K19"/>
    <mergeCell ref="B29:C29"/>
    <mergeCell ref="B34:C34"/>
    <mergeCell ref="B38:C38"/>
    <mergeCell ref="B24:C24"/>
    <mergeCell ref="B25:C25"/>
    <mergeCell ref="B27:C27"/>
    <mergeCell ref="B28:C28"/>
    <mergeCell ref="B35:C35"/>
    <mergeCell ref="B30:C30"/>
    <mergeCell ref="E7:J7"/>
    <mergeCell ref="K7:L7"/>
    <mergeCell ref="B23:K23"/>
    <mergeCell ref="B31:C31"/>
    <mergeCell ref="B32:C32"/>
    <mergeCell ref="B33:C33"/>
    <mergeCell ref="B37:C37"/>
    <mergeCell ref="B88:C88"/>
    <mergeCell ref="B89:C89"/>
    <mergeCell ref="B91:C91"/>
    <mergeCell ref="B82:C82"/>
    <mergeCell ref="B150:C150"/>
    <mergeCell ref="B151:C151"/>
    <mergeCell ref="B152:C152"/>
    <mergeCell ref="B153:C153"/>
    <mergeCell ref="B154:C154"/>
    <mergeCell ref="B114:C114"/>
    <mergeCell ref="B145:C145"/>
    <mergeCell ref="B146:C146"/>
    <mergeCell ref="B147:C147"/>
    <mergeCell ref="B148:C148"/>
    <mergeCell ref="B149:C149"/>
    <mergeCell ref="B115:C115"/>
    <mergeCell ref="B116:C116"/>
    <mergeCell ref="B118:C118"/>
    <mergeCell ref="B120:C120"/>
    <mergeCell ref="B121:C121"/>
    <mergeCell ref="B122:C122"/>
    <mergeCell ref="B123:C123"/>
    <mergeCell ref="B124:C124"/>
    <mergeCell ref="B127:C127"/>
    <mergeCell ref="B207:C207"/>
    <mergeCell ref="B208:C208"/>
    <mergeCell ref="B176:K176"/>
    <mergeCell ref="B182:C182"/>
    <mergeCell ref="B183:C183"/>
    <mergeCell ref="B184:C184"/>
    <mergeCell ref="B190:C190"/>
    <mergeCell ref="B192:C192"/>
    <mergeCell ref="B193:C193"/>
    <mergeCell ref="B194:C194"/>
    <mergeCell ref="B196:C196"/>
    <mergeCell ref="B212:C212"/>
    <mergeCell ref="B178:C178"/>
    <mergeCell ref="B226:C226"/>
    <mergeCell ref="B227:C227"/>
    <mergeCell ref="B240:K240"/>
    <mergeCell ref="B241:C241"/>
    <mergeCell ref="B242:C242"/>
    <mergeCell ref="B251:C251"/>
    <mergeCell ref="B209:C209"/>
    <mergeCell ref="B210:C210"/>
    <mergeCell ref="B225:K225"/>
    <mergeCell ref="B230:C230"/>
    <mergeCell ref="B231:C231"/>
    <mergeCell ref="B232:C232"/>
    <mergeCell ref="B233:C233"/>
    <mergeCell ref="B234:C234"/>
    <mergeCell ref="B235:C235"/>
    <mergeCell ref="B197:C197"/>
    <mergeCell ref="B198:C198"/>
    <mergeCell ref="B199:C199"/>
    <mergeCell ref="B202:C202"/>
    <mergeCell ref="B204:C204"/>
    <mergeCell ref="B205:C205"/>
    <mergeCell ref="B206:C206"/>
    <mergeCell ref="B259:K259"/>
    <mergeCell ref="B260:C260"/>
    <mergeCell ref="B261:C261"/>
    <mergeCell ref="B266:K266"/>
    <mergeCell ref="B267:C267"/>
    <mergeCell ref="B268:C268"/>
    <mergeCell ref="B249:K249"/>
    <mergeCell ref="B250:C250"/>
    <mergeCell ref="B255:C255"/>
    <mergeCell ref="B256:C256"/>
    <mergeCell ref="B284:C284"/>
    <mergeCell ref="B282:C282"/>
    <mergeCell ref="B287:K287"/>
    <mergeCell ref="B288:C288"/>
    <mergeCell ref="B289:C289"/>
    <mergeCell ref="B294:C294"/>
    <mergeCell ref="B296:K296"/>
    <mergeCell ref="B298:C298"/>
    <mergeCell ref="B271:C271"/>
    <mergeCell ref="B272:C272"/>
    <mergeCell ref="B279:C279"/>
    <mergeCell ref="B280:C280"/>
    <mergeCell ref="B281:C281"/>
    <mergeCell ref="B283:C283"/>
    <mergeCell ref="B274:K274"/>
    <mergeCell ref="B275:C275"/>
    <mergeCell ref="B276:C276"/>
    <mergeCell ref="B303:K303"/>
    <mergeCell ref="B304:C304"/>
    <mergeCell ref="B305:C305"/>
    <mergeCell ref="B310:C310"/>
    <mergeCell ref="B311:C311"/>
    <mergeCell ref="B312:C312"/>
    <mergeCell ref="B314:K314"/>
    <mergeCell ref="B315:C315"/>
    <mergeCell ref="B316:C316"/>
    <mergeCell ref="B321:C321"/>
    <mergeCell ref="B322:C322"/>
    <mergeCell ref="B323:C323"/>
    <mergeCell ref="B319:C319"/>
    <mergeCell ref="B320:C320"/>
    <mergeCell ref="B324:C324"/>
    <mergeCell ref="B325:C325"/>
    <mergeCell ref="B598:M598"/>
    <mergeCell ref="B600:M600"/>
    <mergeCell ref="B376:C376"/>
    <mergeCell ref="B451:C451"/>
    <mergeCell ref="B458:C458"/>
    <mergeCell ref="B459:C459"/>
    <mergeCell ref="B461:C461"/>
    <mergeCell ref="B454:C454"/>
    <mergeCell ref="B455:C455"/>
    <mergeCell ref="B463:C463"/>
    <mergeCell ref="B564:K564"/>
    <mergeCell ref="B550:C550"/>
    <mergeCell ref="B549:C549"/>
    <mergeCell ref="B328:K328"/>
    <mergeCell ref="B348:K348"/>
    <mergeCell ref="B349:C349"/>
    <mergeCell ref="B350:C350"/>
    <mergeCell ref="B601:C601"/>
    <mergeCell ref="B602:C602"/>
    <mergeCell ref="B636:M636"/>
    <mergeCell ref="B637:C637"/>
    <mergeCell ref="B638:C638"/>
    <mergeCell ref="B632:C632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41:C641"/>
    <mergeCell ref="B642:C642"/>
    <mergeCell ref="B645:C645"/>
    <mergeCell ref="B644:M644"/>
    <mergeCell ref="B646:C646"/>
    <mergeCell ref="B649:C649"/>
    <mergeCell ref="B650:C650"/>
    <mergeCell ref="B614:C614"/>
    <mergeCell ref="B615:C615"/>
    <mergeCell ref="B616:C616"/>
    <mergeCell ref="B617:C617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75:C675"/>
    <mergeCell ref="B676:C676"/>
    <mergeCell ref="B670:M670"/>
    <mergeCell ref="B671:C671"/>
    <mergeCell ref="B672:C672"/>
    <mergeCell ref="B678:M678"/>
    <mergeCell ref="B662:M662"/>
    <mergeCell ref="B663:C663"/>
    <mergeCell ref="B664:C664"/>
    <mergeCell ref="B667:C667"/>
    <mergeCell ref="B668:C668"/>
    <mergeCell ref="B769:C769"/>
    <mergeCell ref="B770:C770"/>
    <mergeCell ref="B737:M737"/>
    <mergeCell ref="B738:C738"/>
    <mergeCell ref="B739:C739"/>
    <mergeCell ref="B743:C743"/>
    <mergeCell ref="B679:C679"/>
    <mergeCell ref="B680:C680"/>
    <mergeCell ref="B723:M723"/>
    <mergeCell ref="B724:C724"/>
    <mergeCell ref="B725:C725"/>
    <mergeCell ref="B728:C731"/>
    <mergeCell ref="B745:M745"/>
    <mergeCell ref="B746:C746"/>
    <mergeCell ref="B747:C747"/>
    <mergeCell ref="B760:M760"/>
    <mergeCell ref="B762:M762"/>
    <mergeCell ref="B763:C763"/>
    <mergeCell ref="B764:C764"/>
    <mergeCell ref="B767:C767"/>
    <mergeCell ref="B768:C768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2"/>
  <sheetViews>
    <sheetView view="pageBreakPreview" zoomScale="85" zoomScaleNormal="85" zoomScaleSheetLayoutView="85" workbookViewId="0">
      <selection activeCell="L292" sqref="A1:L292"/>
    </sheetView>
  </sheetViews>
  <sheetFormatPr defaultColWidth="10" defaultRowHeight="12.75" x14ac:dyDescent="0.25"/>
  <cols>
    <col min="1" max="1" width="7.85546875" style="27" customWidth="1"/>
    <col min="2" max="2" width="66.7109375" style="28" customWidth="1"/>
    <col min="3" max="3" width="8.7109375" style="27" customWidth="1"/>
    <col min="4" max="4" width="10.5703125" style="26" hidden="1" customWidth="1"/>
    <col min="5" max="5" width="10.5703125" style="26" customWidth="1"/>
    <col min="6" max="6" width="12.140625" style="26" customWidth="1"/>
    <col min="7" max="7" width="13" style="25" customWidth="1"/>
    <col min="8" max="8" width="12.140625" style="25" customWidth="1"/>
    <col min="9" max="9" width="15.28515625" style="449" customWidth="1"/>
    <col min="10" max="10" width="15.140625" style="449" customWidth="1"/>
    <col min="11" max="11" width="14.7109375" style="449" customWidth="1"/>
    <col min="12" max="12" width="12.7109375" style="449" customWidth="1"/>
    <col min="13" max="16384" width="10" style="449"/>
  </cols>
  <sheetData>
    <row r="1" spans="1:17" s="38" customFormat="1" ht="12.75" customHeight="1" x14ac:dyDescent="0.25">
      <c r="A1" s="565"/>
      <c r="B1" s="566"/>
      <c r="C1" s="894" t="s">
        <v>1037</v>
      </c>
      <c r="D1" s="894"/>
      <c r="E1" s="894"/>
      <c r="F1" s="894"/>
      <c r="G1" s="894"/>
      <c r="H1" s="894"/>
      <c r="I1" s="894"/>
      <c r="J1" s="894"/>
      <c r="K1" s="894"/>
      <c r="L1" s="895"/>
      <c r="M1" s="39"/>
      <c r="N1" s="39"/>
      <c r="O1" s="39"/>
      <c r="P1" s="39"/>
      <c r="Q1" s="39"/>
    </row>
    <row r="2" spans="1:17" s="38" customFormat="1" ht="12.75" customHeight="1" x14ac:dyDescent="0.25">
      <c r="A2" s="565"/>
      <c r="B2" s="566"/>
      <c r="C2" s="894"/>
      <c r="D2" s="894"/>
      <c r="E2" s="894"/>
      <c r="F2" s="894"/>
      <c r="G2" s="894"/>
      <c r="H2" s="894"/>
      <c r="I2" s="894"/>
      <c r="J2" s="894"/>
      <c r="K2" s="894"/>
      <c r="L2" s="895"/>
      <c r="M2" s="39"/>
      <c r="N2" s="39"/>
      <c r="O2" s="39"/>
      <c r="P2" s="39"/>
      <c r="Q2" s="39"/>
    </row>
    <row r="3" spans="1:17" s="38" customFormat="1" ht="12.75" customHeight="1" x14ac:dyDescent="0.25">
      <c r="A3" s="565"/>
      <c r="B3" s="567"/>
      <c r="C3" s="894"/>
      <c r="D3" s="894"/>
      <c r="E3" s="894"/>
      <c r="F3" s="894"/>
      <c r="G3" s="894"/>
      <c r="H3" s="894"/>
      <c r="I3" s="894"/>
      <c r="J3" s="894"/>
      <c r="K3" s="894"/>
      <c r="L3" s="895"/>
      <c r="M3" s="39"/>
      <c r="N3" s="39"/>
      <c r="O3" s="39"/>
      <c r="P3" s="39"/>
      <c r="Q3" s="39"/>
    </row>
    <row r="4" spans="1:17" s="38" customFormat="1" ht="12.75" customHeight="1" x14ac:dyDescent="0.25">
      <c r="A4" s="565"/>
      <c r="B4" s="568" t="s">
        <v>122</v>
      </c>
      <c r="C4" s="894"/>
      <c r="D4" s="894"/>
      <c r="E4" s="894"/>
      <c r="F4" s="894"/>
      <c r="G4" s="894"/>
      <c r="H4" s="894"/>
      <c r="I4" s="894"/>
      <c r="J4" s="894"/>
      <c r="K4" s="894"/>
      <c r="L4" s="895"/>
      <c r="M4" s="39"/>
      <c r="N4" s="39"/>
      <c r="O4" s="39"/>
      <c r="P4" s="39"/>
      <c r="Q4" s="39"/>
    </row>
    <row r="5" spans="1:17" s="38" customFormat="1" ht="12.75" customHeight="1" x14ac:dyDescent="0.25">
      <c r="A5" s="569"/>
      <c r="B5" s="568" t="s">
        <v>988</v>
      </c>
      <c r="C5" s="896"/>
      <c r="D5" s="896"/>
      <c r="E5" s="896"/>
      <c r="F5" s="896"/>
      <c r="G5" s="896"/>
      <c r="H5" s="896"/>
      <c r="I5" s="896"/>
      <c r="J5" s="896"/>
      <c r="K5" s="896"/>
      <c r="L5" s="897"/>
      <c r="M5" s="39"/>
      <c r="N5" s="39"/>
      <c r="O5" s="39"/>
      <c r="P5" s="39"/>
      <c r="Q5" s="39"/>
    </row>
    <row r="6" spans="1:17" s="38" customFormat="1" x14ac:dyDescent="0.25">
      <c r="A6" s="898" t="s">
        <v>989</v>
      </c>
      <c r="B6" s="899"/>
      <c r="C6" s="899"/>
      <c r="D6" s="899"/>
      <c r="E6" s="899"/>
      <c r="F6" s="900"/>
      <c r="G6" s="901" t="s">
        <v>990</v>
      </c>
      <c r="H6" s="902"/>
      <c r="I6" s="902"/>
      <c r="J6" s="903"/>
      <c r="K6" s="570" t="s">
        <v>991</v>
      </c>
      <c r="L6" s="570" t="s">
        <v>992</v>
      </c>
      <c r="M6" s="39"/>
      <c r="N6" s="39"/>
      <c r="O6" s="39"/>
      <c r="P6" s="39"/>
      <c r="Q6" s="39"/>
    </row>
    <row r="7" spans="1:17" s="38" customFormat="1" ht="12.75" customHeight="1" x14ac:dyDescent="0.25">
      <c r="A7" s="904" t="s">
        <v>324</v>
      </c>
      <c r="B7" s="905"/>
      <c r="C7" s="905"/>
      <c r="D7" s="905"/>
      <c r="E7" s="905"/>
      <c r="F7" s="906"/>
      <c r="G7" s="904" t="s">
        <v>988</v>
      </c>
      <c r="H7" s="905"/>
      <c r="I7" s="905"/>
      <c r="J7" s="906"/>
      <c r="K7" s="893">
        <v>45379</v>
      </c>
      <c r="L7" s="910" t="s">
        <v>1038</v>
      </c>
      <c r="M7" s="39"/>
      <c r="N7" s="39"/>
      <c r="O7" s="39"/>
      <c r="P7" s="39"/>
      <c r="Q7" s="39"/>
    </row>
    <row r="8" spans="1:17" s="38" customFormat="1" x14ac:dyDescent="0.25">
      <c r="A8" s="907"/>
      <c r="B8" s="908"/>
      <c r="C8" s="908"/>
      <c r="D8" s="908"/>
      <c r="E8" s="908"/>
      <c r="F8" s="909"/>
      <c r="G8" s="907"/>
      <c r="H8" s="908"/>
      <c r="I8" s="908"/>
      <c r="J8" s="909"/>
      <c r="K8" s="893"/>
      <c r="L8" s="911"/>
      <c r="M8" s="39"/>
      <c r="N8" s="39"/>
      <c r="O8" s="39"/>
      <c r="P8" s="39"/>
      <c r="Q8" s="39"/>
    </row>
    <row r="9" spans="1:17" s="38" customFormat="1" x14ac:dyDescent="0.25">
      <c r="A9" s="898" t="s">
        <v>993</v>
      </c>
      <c r="B9" s="899"/>
      <c r="C9" s="899"/>
      <c r="D9" s="899"/>
      <c r="E9" s="899"/>
      <c r="F9" s="900"/>
      <c r="G9" s="884" t="s">
        <v>994</v>
      </c>
      <c r="H9" s="884"/>
      <c r="I9" s="884"/>
      <c r="J9" s="884"/>
      <c r="K9" s="571" t="s">
        <v>995</v>
      </c>
      <c r="L9" s="572" t="s">
        <v>996</v>
      </c>
      <c r="M9" s="39"/>
      <c r="N9" s="39"/>
      <c r="O9" s="39"/>
      <c r="P9" s="39"/>
      <c r="Q9" s="39"/>
    </row>
    <row r="10" spans="1:17" s="38" customFormat="1" ht="12.75" customHeight="1" x14ac:dyDescent="0.25">
      <c r="A10" s="904" t="s">
        <v>997</v>
      </c>
      <c r="B10" s="905"/>
      <c r="C10" s="905"/>
      <c r="D10" s="905"/>
      <c r="E10" s="905"/>
      <c r="F10" s="906"/>
      <c r="G10" s="887" t="s">
        <v>998</v>
      </c>
      <c r="H10" s="887"/>
      <c r="I10" s="887"/>
      <c r="J10" s="887"/>
      <c r="K10" s="893">
        <v>44748</v>
      </c>
      <c r="L10" s="893">
        <v>45266</v>
      </c>
      <c r="M10" s="39"/>
      <c r="N10" s="39"/>
      <c r="O10" s="39"/>
      <c r="P10" s="39"/>
      <c r="Q10" s="39"/>
    </row>
    <row r="11" spans="1:17" s="38" customFormat="1" x14ac:dyDescent="0.25">
      <c r="A11" s="907"/>
      <c r="B11" s="908"/>
      <c r="C11" s="908"/>
      <c r="D11" s="908"/>
      <c r="E11" s="908"/>
      <c r="F11" s="909"/>
      <c r="G11" s="887"/>
      <c r="H11" s="887"/>
      <c r="I11" s="887"/>
      <c r="J11" s="887"/>
      <c r="K11" s="893"/>
      <c r="L11" s="893"/>
      <c r="M11" s="39"/>
      <c r="N11" s="39"/>
      <c r="O11" s="39"/>
      <c r="P11" s="39"/>
      <c r="Q11" s="39"/>
    </row>
    <row r="12" spans="1:17" s="38" customFormat="1" ht="13.9" customHeight="1" x14ac:dyDescent="0.25">
      <c r="A12" s="884" t="s">
        <v>999</v>
      </c>
      <c r="B12" s="884"/>
      <c r="C12" s="884" t="s">
        <v>1000</v>
      </c>
      <c r="D12" s="884"/>
      <c r="E12" s="884"/>
      <c r="F12" s="884"/>
      <c r="G12" s="884" t="s">
        <v>1001</v>
      </c>
      <c r="H12" s="884"/>
      <c r="I12" s="885" t="s">
        <v>1002</v>
      </c>
      <c r="J12" s="885"/>
      <c r="K12" s="886" t="s">
        <v>1003</v>
      </c>
      <c r="L12" s="886"/>
      <c r="M12" s="39"/>
      <c r="N12" s="39"/>
      <c r="O12" s="39"/>
      <c r="P12" s="39"/>
      <c r="Q12" s="39"/>
    </row>
    <row r="13" spans="1:17" s="38" customFormat="1" ht="13.9" customHeight="1" x14ac:dyDescent="0.25">
      <c r="A13" s="887" t="s">
        <v>1004</v>
      </c>
      <c r="B13" s="887"/>
      <c r="C13" s="887" t="s">
        <v>1005</v>
      </c>
      <c r="D13" s="887"/>
      <c r="E13" s="887"/>
      <c r="F13" s="887"/>
      <c r="G13" s="888">
        <v>1188434.56</v>
      </c>
      <c r="H13" s="889"/>
      <c r="I13" s="892">
        <f>J284</f>
        <v>28422.54</v>
      </c>
      <c r="J13" s="892"/>
      <c r="K13" s="887" t="s">
        <v>1036</v>
      </c>
      <c r="L13" s="887"/>
      <c r="M13" s="39"/>
      <c r="N13" s="39"/>
      <c r="O13" s="39"/>
      <c r="P13" s="39"/>
      <c r="Q13" s="39"/>
    </row>
    <row r="14" spans="1:17" s="38" customFormat="1" ht="13.9" customHeight="1" x14ac:dyDescent="0.25">
      <c r="A14" s="887"/>
      <c r="B14" s="887"/>
      <c r="C14" s="887"/>
      <c r="D14" s="887"/>
      <c r="E14" s="887"/>
      <c r="F14" s="887"/>
      <c r="G14" s="890"/>
      <c r="H14" s="891"/>
      <c r="I14" s="892"/>
      <c r="J14" s="892"/>
      <c r="K14" s="887"/>
      <c r="L14" s="887"/>
      <c r="M14" s="39"/>
      <c r="N14" s="39"/>
      <c r="O14" s="39"/>
      <c r="P14" s="39"/>
      <c r="Q14" s="39"/>
    </row>
    <row r="15" spans="1:17" s="38" customFormat="1" x14ac:dyDescent="0.25">
      <c r="A15" s="879"/>
      <c r="B15" s="879"/>
      <c r="C15" s="879"/>
      <c r="D15" s="879"/>
      <c r="E15" s="879"/>
      <c r="F15" s="879"/>
      <c r="G15" s="879"/>
      <c r="H15" s="879"/>
      <c r="I15" s="879"/>
      <c r="J15" s="879"/>
      <c r="K15" s="879"/>
      <c r="L15" s="879"/>
      <c r="M15" s="39"/>
      <c r="N15" s="39"/>
      <c r="O15" s="39"/>
      <c r="P15" s="39"/>
      <c r="Q15" s="39"/>
    </row>
    <row r="16" spans="1:17" s="29" customFormat="1" ht="13.9" customHeight="1" x14ac:dyDescent="0.2">
      <c r="A16" s="880" t="s">
        <v>1006</v>
      </c>
      <c r="B16" s="881" t="s">
        <v>1007</v>
      </c>
      <c r="C16" s="881" t="s">
        <v>1008</v>
      </c>
      <c r="D16" s="881" t="s">
        <v>1009</v>
      </c>
      <c r="E16" s="573"/>
      <c r="F16" s="880" t="s">
        <v>1010</v>
      </c>
      <c r="G16" s="880"/>
      <c r="H16" s="880"/>
      <c r="I16" s="882" t="s">
        <v>1011</v>
      </c>
      <c r="J16" s="882"/>
      <c r="K16" s="882"/>
      <c r="L16" s="883" t="s">
        <v>1012</v>
      </c>
      <c r="M16" s="30"/>
      <c r="N16" s="30"/>
      <c r="O16" s="30"/>
      <c r="P16" s="30"/>
      <c r="Q16" s="30"/>
    </row>
    <row r="17" spans="1:17" s="29" customFormat="1" ht="38.25" x14ac:dyDescent="0.2">
      <c r="A17" s="880"/>
      <c r="B17" s="881"/>
      <c r="C17" s="881"/>
      <c r="D17" s="881"/>
      <c r="E17" s="573" t="s">
        <v>1009</v>
      </c>
      <c r="F17" s="573" t="s">
        <v>1013</v>
      </c>
      <c r="G17" s="573" t="s">
        <v>1014</v>
      </c>
      <c r="H17" s="574" t="s">
        <v>1015</v>
      </c>
      <c r="I17" s="574" t="s">
        <v>1013</v>
      </c>
      <c r="J17" s="574" t="s">
        <v>1014</v>
      </c>
      <c r="K17" s="574" t="s">
        <v>1015</v>
      </c>
      <c r="L17" s="883"/>
      <c r="M17" s="30"/>
      <c r="N17" s="30"/>
      <c r="O17" s="30"/>
      <c r="P17" s="30"/>
      <c r="Q17" s="30"/>
    </row>
    <row r="18" spans="1:17" s="29" customFormat="1" x14ac:dyDescent="0.2">
      <c r="A18" s="738"/>
      <c r="B18" s="739"/>
      <c r="C18" s="739"/>
      <c r="D18" s="739"/>
      <c r="E18" s="739"/>
      <c r="F18" s="739"/>
      <c r="G18" s="739"/>
      <c r="H18" s="739"/>
      <c r="I18" s="739"/>
      <c r="J18" s="739"/>
      <c r="K18" s="739"/>
      <c r="L18" s="740"/>
      <c r="M18" s="30"/>
      <c r="N18" s="30"/>
      <c r="O18" s="30"/>
      <c r="P18" s="30"/>
      <c r="Q18" s="30"/>
    </row>
    <row r="19" spans="1:17" x14ac:dyDescent="0.25">
      <c r="A19" s="559">
        <f>REPROGRAMAÇÃO!A10</f>
        <v>1</v>
      </c>
      <c r="B19" s="560" t="str">
        <f>REPROGRAMAÇÃO!B10</f>
        <v>DEMOLIÇÕES / RETIRADAS / SERVIÇOS PRELIMINARES</v>
      </c>
      <c r="C19" s="876"/>
      <c r="D19" s="877"/>
      <c r="E19" s="877"/>
      <c r="F19" s="877"/>
      <c r="G19" s="877"/>
      <c r="H19" s="878"/>
      <c r="I19" s="558">
        <f>SUM(I20:I30)</f>
        <v>19471.12</v>
      </c>
      <c r="J19" s="561"/>
      <c r="K19" s="577">
        <f>SUM(K20:K30)</f>
        <v>17801.640000000003</v>
      </c>
      <c r="L19" s="564"/>
    </row>
    <row r="20" spans="1:17" x14ac:dyDescent="0.25">
      <c r="A20" s="554" t="str">
        <f>REPROGRAMAÇÃO!A11</f>
        <v>1.1</v>
      </c>
      <c r="B20" s="555" t="str">
        <f>REPROGRAMAÇÃO!B11</f>
        <v>Remoção de árvore, porte médio, com utilização de retro-escavadeira</v>
      </c>
      <c r="C20" s="554" t="str">
        <f>REPROGRAMAÇÃO!E11</f>
        <v>un</v>
      </c>
      <c r="D20" s="386"/>
      <c r="E20" s="386">
        <f>REPROGRAMAÇÃO!J11</f>
        <v>110.74</v>
      </c>
      <c r="F20" s="386">
        <v>3</v>
      </c>
      <c r="G20" s="451"/>
      <c r="H20" s="575">
        <v>3</v>
      </c>
      <c r="I20" s="576">
        <f>ROUND(E20*F20,2)</f>
        <v>332.22</v>
      </c>
      <c r="J20" s="556"/>
      <c r="K20" s="576">
        <f>ROUND(H20*E20,2)</f>
        <v>332.22</v>
      </c>
      <c r="L20" s="564">
        <f t="shared" ref="L20:L30" si="0">K20/I20</f>
        <v>1</v>
      </c>
    </row>
    <row r="21" spans="1:17" ht="25.5" x14ac:dyDescent="0.25">
      <c r="A21" s="554" t="str">
        <f>REPROGRAMAÇÃO!A12</f>
        <v>1.2</v>
      </c>
      <c r="B21" s="555" t="str">
        <f>REPROGRAMAÇÃO!B12</f>
        <v>REMOÇÃO DE TELHAS, DE FIBROCIMENTO, METÁLICA E CERÂMICA, DE FORMA MANUAL, SEM REAPROVEITAMENTO. AF_12/2017</v>
      </c>
      <c r="C21" s="554" t="str">
        <f>REPROGRAMAÇÃO!E12</f>
        <v>M2</v>
      </c>
      <c r="D21" s="386"/>
      <c r="E21" s="386">
        <f>REPROGRAMAÇÃO!J12</f>
        <v>2.9</v>
      </c>
      <c r="F21" s="386">
        <v>88.39</v>
      </c>
      <c r="G21" s="451"/>
      <c r="H21" s="575">
        <v>88.39</v>
      </c>
      <c r="I21" s="576">
        <f t="shared" ref="I21:I84" si="1">ROUND(E21*F21,2)</f>
        <v>256.33</v>
      </c>
      <c r="J21" s="556"/>
      <c r="K21" s="576">
        <f t="shared" ref="K21:K30" si="2">ROUND(H21*E21,2)</f>
        <v>256.33</v>
      </c>
      <c r="L21" s="564">
        <f t="shared" si="0"/>
        <v>1</v>
      </c>
    </row>
    <row r="22" spans="1:17" ht="25.5" x14ac:dyDescent="0.25">
      <c r="A22" s="554" t="str">
        <f>REPROGRAMAÇÃO!A13</f>
        <v>1.3</v>
      </c>
      <c r="B22" s="555" t="str">
        <f>REPROGRAMAÇÃO!B13</f>
        <v>REMOÇÃO DE TRAMA DE MADEIRA PARA COBERTURA, DE FORMA MANUAL, SEM REAPROVEITAMENTO. AF_12/2017</v>
      </c>
      <c r="C22" s="554" t="str">
        <f>REPROGRAMAÇÃO!E13</f>
        <v>M2</v>
      </c>
      <c r="D22" s="386"/>
      <c r="E22" s="386">
        <f>REPROGRAMAÇÃO!J13</f>
        <v>6.2299999999999995</v>
      </c>
      <c r="F22" s="386">
        <v>88.39</v>
      </c>
      <c r="G22" s="451"/>
      <c r="H22" s="575">
        <v>88.39</v>
      </c>
      <c r="I22" s="576">
        <f t="shared" si="1"/>
        <v>550.66999999999996</v>
      </c>
      <c r="J22" s="556"/>
      <c r="K22" s="576">
        <f t="shared" si="2"/>
        <v>550.66999999999996</v>
      </c>
      <c r="L22" s="564">
        <f t="shared" si="0"/>
        <v>1</v>
      </c>
    </row>
    <row r="23" spans="1:17" ht="25.5" x14ac:dyDescent="0.25">
      <c r="A23" s="554" t="str">
        <f>REPROGRAMAÇÃO!A14</f>
        <v>1.4</v>
      </c>
      <c r="B23" s="555" t="str">
        <f>REPROGRAMAÇÃO!B14</f>
        <v>REMOÇÃO DE TESOURAS DE MADEIRA, COM VÃO MENOR QUE 8M, DE FORMA MANUAL, SEM REAPROVEITAMENTO. AF_12/2017</v>
      </c>
      <c r="C23" s="554" t="str">
        <f>REPROGRAMAÇÃO!E14</f>
        <v>UN</v>
      </c>
      <c r="D23" s="386"/>
      <c r="E23" s="386">
        <f>REPROGRAMAÇÃO!J14</f>
        <v>69.149999999999991</v>
      </c>
      <c r="F23" s="386">
        <v>3</v>
      </c>
      <c r="G23" s="451"/>
      <c r="H23" s="575">
        <v>3</v>
      </c>
      <c r="I23" s="576">
        <f t="shared" si="1"/>
        <v>207.45</v>
      </c>
      <c r="J23" s="556"/>
      <c r="K23" s="576">
        <f t="shared" si="2"/>
        <v>207.45</v>
      </c>
      <c r="L23" s="564">
        <f t="shared" si="0"/>
        <v>1</v>
      </c>
    </row>
    <row r="24" spans="1:17" ht="25.5" x14ac:dyDescent="0.25">
      <c r="A24" s="554" t="str">
        <f>REPROGRAMAÇÃO!A15</f>
        <v>1.5</v>
      </c>
      <c r="B24" s="555" t="str">
        <f>REPROGRAMAÇÃO!B15</f>
        <v>DEMOLIÇÃO DE ALVENARIA PARA QUALQUER TIPO DE BLOCO, DE FORMA MECANIZADA, SEM REAPROVEITAMENTO. AF_12/2017</v>
      </c>
      <c r="C24" s="554" t="str">
        <f>REPROGRAMAÇÃO!E15</f>
        <v>M3</v>
      </c>
      <c r="D24" s="386"/>
      <c r="E24" s="386">
        <f>REPROGRAMAÇÃO!J15</f>
        <v>52.25</v>
      </c>
      <c r="F24" s="386">
        <v>16.11</v>
      </c>
      <c r="G24" s="451"/>
      <c r="H24" s="575">
        <v>16.11</v>
      </c>
      <c r="I24" s="576">
        <f t="shared" si="1"/>
        <v>841.75</v>
      </c>
      <c r="J24" s="556"/>
      <c r="K24" s="576">
        <f t="shared" si="2"/>
        <v>841.75</v>
      </c>
      <c r="L24" s="564">
        <f t="shared" si="0"/>
        <v>1</v>
      </c>
    </row>
    <row r="25" spans="1:17" ht="25.5" x14ac:dyDescent="0.25">
      <c r="A25" s="554" t="str">
        <f>REPROGRAMAÇÃO!A16</f>
        <v>1.6</v>
      </c>
      <c r="B25" s="555" t="str">
        <f>REPROGRAMAÇÃO!B16</f>
        <v>DEMOLIÇÃO DE PILARES E VIGAS EM CONCRETO ARMADO, DE FORMA MECANIZADA COM MARTELETE, SEM REAPROVEITAMENTO. AF_12/2017</v>
      </c>
      <c r="C25" s="554" t="str">
        <f>REPROGRAMAÇÃO!E16</f>
        <v>M3</v>
      </c>
      <c r="D25" s="386"/>
      <c r="E25" s="386">
        <f>REPROGRAMAÇÃO!J16</f>
        <v>230.25</v>
      </c>
      <c r="F25" s="386">
        <v>13.59</v>
      </c>
      <c r="G25" s="451"/>
      <c r="H25" s="575">
        <v>6.5041900000000004</v>
      </c>
      <c r="I25" s="576">
        <f t="shared" si="1"/>
        <v>3129.1</v>
      </c>
      <c r="J25" s="556"/>
      <c r="K25" s="576">
        <f t="shared" si="2"/>
        <v>1497.59</v>
      </c>
      <c r="L25" s="564">
        <f t="shared" si="0"/>
        <v>0.47860087565114567</v>
      </c>
    </row>
    <row r="26" spans="1:17" ht="25.5" x14ac:dyDescent="0.25">
      <c r="A26" s="554" t="str">
        <f>REPROGRAMAÇÃO!A17</f>
        <v>1.7</v>
      </c>
      <c r="B26" s="555" t="str">
        <f>REPROGRAMAÇÃO!B17</f>
        <v>DEMOLIÇÃO DE LAJES, DE FORMA MECANIZADA COM MARTELETE, SEM REAPROVEITAMENTO. AF_12/2017</v>
      </c>
      <c r="C26" s="554" t="str">
        <f>REPROGRAMAÇÃO!E17</f>
        <v>M3</v>
      </c>
      <c r="D26" s="386"/>
      <c r="E26" s="386">
        <f>REPROGRAMAÇÃO!J17</f>
        <v>97.97</v>
      </c>
      <c r="F26" s="386">
        <v>6.5299999999999994</v>
      </c>
      <c r="G26" s="451"/>
      <c r="H26" s="575">
        <v>9.76</v>
      </c>
      <c r="I26" s="576">
        <f t="shared" si="1"/>
        <v>639.74</v>
      </c>
      <c r="J26" s="556"/>
      <c r="K26" s="576">
        <f t="shared" si="2"/>
        <v>956.19</v>
      </c>
      <c r="L26" s="564">
        <f t="shared" si="0"/>
        <v>1.4946540782192765</v>
      </c>
    </row>
    <row r="27" spans="1:17" ht="25.5" x14ac:dyDescent="0.25">
      <c r="A27" s="554" t="str">
        <f>REPROGRAMAÇÃO!A18</f>
        <v>1.8</v>
      </c>
      <c r="B27" s="555" t="str">
        <f>REPROGRAMAÇÃO!B18</f>
        <v>Demolição de pavimentação em paralelepípedo ou pré-moldados de concreto c/ reaproveitamento</v>
      </c>
      <c r="C27" s="554" t="str">
        <f>REPROGRAMAÇÃO!E18</f>
        <v>m2</v>
      </c>
      <c r="D27" s="386"/>
      <c r="E27" s="386">
        <f>REPROGRAMAÇÃO!J18</f>
        <v>10.49</v>
      </c>
      <c r="F27" s="386">
        <v>564.30999999999995</v>
      </c>
      <c r="G27" s="451"/>
      <c r="H27" s="575">
        <v>564.30999999999995</v>
      </c>
      <c r="I27" s="576">
        <f t="shared" si="1"/>
        <v>5919.61</v>
      </c>
      <c r="J27" s="556"/>
      <c r="K27" s="576">
        <f t="shared" si="2"/>
        <v>5919.61</v>
      </c>
      <c r="L27" s="564">
        <f t="shared" si="0"/>
        <v>1</v>
      </c>
    </row>
    <row r="28" spans="1:17" x14ac:dyDescent="0.25">
      <c r="A28" s="554" t="str">
        <f>REPROGRAMAÇÃO!A19</f>
        <v>1.9</v>
      </c>
      <c r="B28" s="555" t="str">
        <f>REPROGRAMAÇÃO!B19</f>
        <v>DEMOLIÇÃO DE CONCRETO SIMPLES COM MARTELETE</v>
      </c>
      <c r="C28" s="554" t="str">
        <f>REPROGRAMAÇÃO!E19</f>
        <v>M3</v>
      </c>
      <c r="D28" s="386"/>
      <c r="E28" s="386">
        <f>REPROGRAMAÇÃO!J19</f>
        <v>79.61</v>
      </c>
      <c r="F28" s="386">
        <v>10.990000000001</v>
      </c>
      <c r="G28" s="451"/>
      <c r="H28" s="575">
        <v>6.5380000000000003</v>
      </c>
      <c r="I28" s="576">
        <f t="shared" si="1"/>
        <v>874.91</v>
      </c>
      <c r="J28" s="556"/>
      <c r="K28" s="576">
        <f t="shared" si="2"/>
        <v>520.49</v>
      </c>
      <c r="L28" s="564">
        <f t="shared" si="0"/>
        <v>0.5949069047101988</v>
      </c>
    </row>
    <row r="29" spans="1:17" x14ac:dyDescent="0.25">
      <c r="A29" s="554" t="str">
        <f>REPROGRAMAÇÃO!A20</f>
        <v>1.10</v>
      </c>
      <c r="B29" s="555" t="str">
        <f>REPROGRAMAÇÃO!B20</f>
        <v>LOCAÇÃO DA OBRA - EXECUÇÃO DE GABARITO</v>
      </c>
      <c r="C29" s="554" t="str">
        <f>REPROGRAMAÇÃO!E20</f>
        <v>M2</v>
      </c>
      <c r="D29" s="386"/>
      <c r="E29" s="386">
        <f>REPROGRAMAÇÃO!J20</f>
        <v>7.5600000000000005</v>
      </c>
      <c r="F29" s="386">
        <v>549</v>
      </c>
      <c r="G29" s="451"/>
      <c r="H29" s="575">
        <v>549</v>
      </c>
      <c r="I29" s="576">
        <f t="shared" si="1"/>
        <v>4150.4399999999996</v>
      </c>
      <c r="J29" s="556"/>
      <c r="K29" s="576">
        <f t="shared" si="2"/>
        <v>4150.4399999999996</v>
      </c>
      <c r="L29" s="564">
        <f t="shared" si="0"/>
        <v>1</v>
      </c>
    </row>
    <row r="30" spans="1:17" x14ac:dyDescent="0.25">
      <c r="A30" s="554" t="str">
        <f>REPROGRAMAÇÃO!A21</f>
        <v>1.11</v>
      </c>
      <c r="B30" s="555" t="str">
        <f>REPROGRAMAÇÃO!B21</f>
        <v>Placa de obra em chapa aço galvanizado, instalada</v>
      </c>
      <c r="C30" s="554" t="str">
        <f>REPROGRAMAÇÃO!E21</f>
        <v>m2</v>
      </c>
      <c r="D30" s="386"/>
      <c r="E30" s="386">
        <f>REPROGRAMAÇÃO!J21</f>
        <v>428.15</v>
      </c>
      <c r="F30" s="386">
        <v>6</v>
      </c>
      <c r="G30" s="451"/>
      <c r="H30" s="575">
        <v>6</v>
      </c>
      <c r="I30" s="576">
        <f t="shared" si="1"/>
        <v>2568.9</v>
      </c>
      <c r="J30" s="556"/>
      <c r="K30" s="576">
        <f t="shared" si="2"/>
        <v>2568.9</v>
      </c>
      <c r="L30" s="564">
        <f t="shared" si="0"/>
        <v>1</v>
      </c>
    </row>
    <row r="31" spans="1:17" x14ac:dyDescent="0.25">
      <c r="A31" s="871"/>
      <c r="B31" s="872"/>
      <c r="C31" s="872"/>
      <c r="D31" s="872"/>
      <c r="E31" s="872"/>
      <c r="F31" s="872"/>
      <c r="G31" s="872"/>
      <c r="H31" s="872"/>
      <c r="I31" s="872"/>
      <c r="J31" s="872"/>
      <c r="K31" s="872"/>
      <c r="L31" s="873"/>
    </row>
    <row r="32" spans="1:17" x14ac:dyDescent="0.25">
      <c r="A32" s="559">
        <f>REPROGRAMAÇÃO!A23</f>
        <v>2</v>
      </c>
      <c r="B32" s="560" t="str">
        <f>REPROGRAMAÇÃO!B23</f>
        <v>INFRAESTRUTURA</v>
      </c>
      <c r="C32" s="876"/>
      <c r="D32" s="877"/>
      <c r="E32" s="877"/>
      <c r="F32" s="877"/>
      <c r="G32" s="877"/>
      <c r="H32" s="878"/>
      <c r="I32" s="558">
        <f>SUM(I33:I42)</f>
        <v>93551.27</v>
      </c>
      <c r="J32" s="558"/>
      <c r="K32" s="558">
        <f t="shared" ref="K32" si="3">SUM(K33:K42)</f>
        <v>93340.37999999999</v>
      </c>
      <c r="L32" s="561"/>
    </row>
    <row r="33" spans="1:12" ht="25.5" x14ac:dyDescent="0.25">
      <c r="A33" s="554" t="str">
        <f>REPROGRAMAÇÃO!A24</f>
        <v>2.1</v>
      </c>
      <c r="B33" s="555" t="str">
        <f>REPROGRAMAÇÃO!B24</f>
        <v>ATERRO MANUAL DE VALAS COM SOLO ARGILO-ARENOSO E COMPACTAÇÃO MECANIZADA. AF_05/2016</v>
      </c>
      <c r="C33" s="554" t="str">
        <f>REPROGRAMAÇÃO!E24</f>
        <v>M3</v>
      </c>
      <c r="D33" s="386"/>
      <c r="E33" s="386">
        <f>REPROGRAMAÇÃO!J24</f>
        <v>40.650000000000006</v>
      </c>
      <c r="F33" s="386">
        <f>REPROGRAMAÇÃO!I24</f>
        <v>116.67</v>
      </c>
      <c r="G33" s="451"/>
      <c r="H33" s="575">
        <v>116.66999999999999</v>
      </c>
      <c r="I33" s="576">
        <f t="shared" si="1"/>
        <v>4742.6400000000003</v>
      </c>
      <c r="J33" s="556"/>
      <c r="K33" s="576">
        <f>ROUND(H33*E33,2)</f>
        <v>4742.6400000000003</v>
      </c>
      <c r="L33" s="564">
        <f t="shared" ref="L33:L42" si="4">K33/I33</f>
        <v>1</v>
      </c>
    </row>
    <row r="34" spans="1:12" ht="25.5" x14ac:dyDescent="0.25">
      <c r="A34" s="554" t="str">
        <f>REPROGRAMAÇÃO!A25</f>
        <v>2.2</v>
      </c>
      <c r="B34" s="555" t="str">
        <f>REPROGRAMAÇÃO!B25</f>
        <v>ESCAVAÇÃO MANUAL PARA BLOCO DE COROAMENTO OU SAPATA (INCLUINDO ESCAVAÇÃO PARA COLOCAÇÃO DE FÔRMAS). AF_06/2017</v>
      </c>
      <c r="C34" s="554" t="str">
        <f>REPROGRAMAÇÃO!E25</f>
        <v>M3</v>
      </c>
      <c r="D34" s="386"/>
      <c r="E34" s="386">
        <f>REPROGRAMAÇÃO!J25</f>
        <v>78.789999999999992</v>
      </c>
      <c r="F34" s="386">
        <f>REPROGRAMAÇÃO!I25</f>
        <v>93.140000000000029</v>
      </c>
      <c r="G34" s="451"/>
      <c r="H34" s="575">
        <v>93.14</v>
      </c>
      <c r="I34" s="576">
        <f t="shared" si="1"/>
        <v>7338.5</v>
      </c>
      <c r="J34" s="556"/>
      <c r="K34" s="576">
        <f t="shared" ref="K34:K42" si="5">ROUND(H34*E34,2)</f>
        <v>7338.5</v>
      </c>
      <c r="L34" s="564">
        <f t="shared" si="4"/>
        <v>1</v>
      </c>
    </row>
    <row r="35" spans="1:12" x14ac:dyDescent="0.25">
      <c r="A35" s="554" t="str">
        <f>REPROGRAMAÇÃO!A26</f>
        <v>2.3</v>
      </c>
      <c r="B35" s="555" t="str">
        <f>REPROGRAMAÇÃO!B26</f>
        <v>REATERRO MANUAL DE VALAS COM COMPACTAÇÃO MECANIZADA. AF_04/2016</v>
      </c>
      <c r="C35" s="554" t="str">
        <f>REPROGRAMAÇÃO!E26</f>
        <v>M3</v>
      </c>
      <c r="D35" s="386"/>
      <c r="E35" s="386">
        <f>REPROGRAMAÇÃO!J26</f>
        <v>25.67</v>
      </c>
      <c r="F35" s="386">
        <f>REPROGRAMAÇÃO!I26</f>
        <v>22.250000000000004</v>
      </c>
      <c r="G35" s="451"/>
      <c r="H35" s="575">
        <v>21.47</v>
      </c>
      <c r="I35" s="576">
        <f t="shared" si="1"/>
        <v>571.16</v>
      </c>
      <c r="J35" s="556"/>
      <c r="K35" s="576">
        <f t="shared" si="5"/>
        <v>551.13</v>
      </c>
      <c r="L35" s="564">
        <f t="shared" si="4"/>
        <v>0.96493101757826183</v>
      </c>
    </row>
    <row r="36" spans="1:12" ht="25.5" x14ac:dyDescent="0.25">
      <c r="A36" s="554" t="str">
        <f>REPROGRAMAÇÃO!A27</f>
        <v>2.4</v>
      </c>
      <c r="B36" s="555" t="str">
        <f>REPROGRAMAÇÃO!B27</f>
        <v>LASTRO DE CONCRETO MAGRO, APLICADO EM PISOS, LAJES SOBRE SOLO OU RADIERS, ESPESSURA DE 5 CM. AF_07/2016</v>
      </c>
      <c r="C36" s="554" t="str">
        <f>REPROGRAMAÇÃO!E27</f>
        <v>M2</v>
      </c>
      <c r="D36" s="386"/>
      <c r="E36" s="386">
        <f>REPROGRAMAÇÃO!J27</f>
        <v>27.130000000000003</v>
      </c>
      <c r="F36" s="386">
        <f>REPROGRAMAÇÃO!I27</f>
        <v>51.07</v>
      </c>
      <c r="G36" s="451"/>
      <c r="H36" s="575">
        <v>51.57</v>
      </c>
      <c r="I36" s="576">
        <f t="shared" si="1"/>
        <v>1385.53</v>
      </c>
      <c r="J36" s="556"/>
      <c r="K36" s="576">
        <f t="shared" si="5"/>
        <v>1399.09</v>
      </c>
      <c r="L36" s="564">
        <f t="shared" si="4"/>
        <v>1.0097868685629325</v>
      </c>
    </row>
    <row r="37" spans="1:12" ht="25.5" x14ac:dyDescent="0.25">
      <c r="A37" s="554" t="str">
        <f>REPROGRAMAÇÃO!A28</f>
        <v>2.5</v>
      </c>
      <c r="B37" s="555" t="str">
        <f>REPROGRAMAÇÃO!B28</f>
        <v>ALVENARIA DE EMBASAMENTO EM TIJOLO CERÂMICO FURADO C/ ARGAMASSA CIMENTO E AREIA 1:4</v>
      </c>
      <c r="C37" s="554" t="str">
        <f>REPROGRAMAÇÃO!E28</f>
        <v>M3</v>
      </c>
      <c r="D37" s="386"/>
      <c r="E37" s="386">
        <f>REPROGRAMAÇÃO!J28</f>
        <v>759.90000000000009</v>
      </c>
      <c r="F37" s="386">
        <f>REPROGRAMAÇÃO!I28</f>
        <v>25.459999999999997</v>
      </c>
      <c r="G37" s="451"/>
      <c r="H37" s="575">
        <v>25.46</v>
      </c>
      <c r="I37" s="576">
        <f t="shared" si="1"/>
        <v>19347.05</v>
      </c>
      <c r="J37" s="556"/>
      <c r="K37" s="576">
        <f t="shared" si="5"/>
        <v>19347.05</v>
      </c>
      <c r="L37" s="564">
        <f t="shared" si="4"/>
        <v>1</v>
      </c>
    </row>
    <row r="38" spans="1:12" x14ac:dyDescent="0.25">
      <c r="A38" s="554" t="str">
        <f>REPROGRAMAÇÃO!A29</f>
        <v>2.6</v>
      </c>
      <c r="B38" s="555" t="str">
        <f>REPROGRAMAÇÃO!B29</f>
        <v>Forma plana para fundações, em compensado resinado 12mm, 07 usos</v>
      </c>
      <c r="C38" s="554" t="str">
        <f>REPROGRAMAÇÃO!E29</f>
        <v>m2</v>
      </c>
      <c r="D38" s="386"/>
      <c r="E38" s="386">
        <f>REPROGRAMAÇÃO!J29</f>
        <v>82.64</v>
      </c>
      <c r="F38" s="386">
        <f>REPROGRAMAÇÃO!I29</f>
        <v>75.430000000000035</v>
      </c>
      <c r="G38" s="451"/>
      <c r="H38" s="575">
        <v>75.430000000000007</v>
      </c>
      <c r="I38" s="576">
        <f t="shared" si="1"/>
        <v>6233.54</v>
      </c>
      <c r="J38" s="556"/>
      <c r="K38" s="576">
        <f t="shared" si="5"/>
        <v>6233.54</v>
      </c>
      <c r="L38" s="564">
        <f t="shared" si="4"/>
        <v>1</v>
      </c>
    </row>
    <row r="39" spans="1:12" ht="25.5" x14ac:dyDescent="0.25">
      <c r="A39" s="554" t="str">
        <f>REPROGRAMAÇÃO!A30</f>
        <v>2.7</v>
      </c>
      <c r="B39" s="555" t="str">
        <f>REPROGRAMAÇÃO!B30</f>
        <v>ARMAÇÃO DE BLOCO, VIGA BALDRAME OU SAPATA UTILIZANDO AÇO CA-50 DE 10 MM - MONTAGEM. AF_06/2017</v>
      </c>
      <c r="C39" s="554" t="str">
        <f>REPROGRAMAÇÃO!E30</f>
        <v>KG</v>
      </c>
      <c r="D39" s="386"/>
      <c r="E39" s="386">
        <f>REPROGRAMAÇÃO!J30</f>
        <v>20.03</v>
      </c>
      <c r="F39" s="386">
        <f>REPROGRAMAÇÃO!I30</f>
        <v>1675.9100000000003</v>
      </c>
      <c r="G39" s="451"/>
      <c r="H39" s="575">
        <v>1675.91</v>
      </c>
      <c r="I39" s="576">
        <f t="shared" si="1"/>
        <v>33568.480000000003</v>
      </c>
      <c r="J39" s="556"/>
      <c r="K39" s="576">
        <f t="shared" si="5"/>
        <v>33568.480000000003</v>
      </c>
      <c r="L39" s="564">
        <f t="shared" si="4"/>
        <v>1</v>
      </c>
    </row>
    <row r="40" spans="1:12" ht="25.5" x14ac:dyDescent="0.25">
      <c r="A40" s="554" t="str">
        <f>REPROGRAMAÇÃO!A31</f>
        <v>2.8</v>
      </c>
      <c r="B40" s="555" t="str">
        <f>REPROGRAMAÇÃO!B31</f>
        <v>CONCRETO FCK = 25MPA, TRAÇO 1:2,3:2,7 (EM MASSA SECA DE CIMENTO/ AREIA MÉDIA/ BRITA 1) - PREPARO MECÂNICO COM BETONEIRA 400 L. AF_05/2021</v>
      </c>
      <c r="C40" s="554" t="str">
        <f>REPROGRAMAÇÃO!E31</f>
        <v>M3</v>
      </c>
      <c r="D40" s="386"/>
      <c r="E40" s="386">
        <f>REPROGRAMAÇÃO!J31</f>
        <v>444.59000000000003</v>
      </c>
      <c r="F40" s="386">
        <f>REPROGRAMAÇÃO!I31</f>
        <v>27.25</v>
      </c>
      <c r="G40" s="451"/>
      <c r="H40" s="575">
        <v>27.25</v>
      </c>
      <c r="I40" s="576">
        <f t="shared" si="1"/>
        <v>12115.08</v>
      </c>
      <c r="J40" s="556"/>
      <c r="K40" s="576">
        <f t="shared" si="5"/>
        <v>12115.08</v>
      </c>
      <c r="L40" s="564">
        <f t="shared" si="4"/>
        <v>1</v>
      </c>
    </row>
    <row r="41" spans="1:12" ht="25.5" x14ac:dyDescent="0.25">
      <c r="A41" s="554" t="str">
        <f>REPROGRAMAÇÃO!A32</f>
        <v>2.9</v>
      </c>
      <c r="B41" s="555" t="str">
        <f>REPROGRAMAÇÃO!B32</f>
        <v>LANÇAMENTO COM USO DE BALDES, ADENSAMENTO E ACABAMENTO DE CONCRETO EM ESTRUTURAS. AF_12/2015</v>
      </c>
      <c r="C41" s="554" t="str">
        <f>REPROGRAMAÇÃO!E32</f>
        <v>M3</v>
      </c>
      <c r="D41" s="386"/>
      <c r="E41" s="386">
        <f>REPROGRAMAÇÃO!J32</f>
        <v>177.76000000000002</v>
      </c>
      <c r="F41" s="386">
        <f>REPROGRAMAÇÃO!I32</f>
        <v>27.25</v>
      </c>
      <c r="G41" s="451"/>
      <c r="H41" s="575">
        <v>26.1</v>
      </c>
      <c r="I41" s="576">
        <f t="shared" si="1"/>
        <v>4843.96</v>
      </c>
      <c r="J41" s="556"/>
      <c r="K41" s="576">
        <f t="shared" si="5"/>
        <v>4639.54</v>
      </c>
      <c r="L41" s="564">
        <f t="shared" si="4"/>
        <v>0.95779899090826515</v>
      </c>
    </row>
    <row r="42" spans="1:12" ht="25.5" x14ac:dyDescent="0.25">
      <c r="A42" s="554" t="str">
        <f>REPROGRAMAÇÃO!A33</f>
        <v>2.10</v>
      </c>
      <c r="B42" s="555" t="str">
        <f>REPROGRAMAÇÃO!B33</f>
        <v>Impermeabilização de alicerce e viga baldrame com 2 demãos de tinta asfáltica tipo Neutrol da Vedacit ou similar, exceto argamassa impermeabilização</v>
      </c>
      <c r="C42" s="554" t="str">
        <f>REPROGRAMAÇÃO!E33</f>
        <v>m2</v>
      </c>
      <c r="D42" s="386"/>
      <c r="E42" s="386">
        <f>REPROGRAMAÇÃO!J33</f>
        <v>26.990000000000002</v>
      </c>
      <c r="F42" s="386">
        <f>REPROGRAMAÇÃO!I33</f>
        <v>126.17000000000002</v>
      </c>
      <c r="G42" s="451"/>
      <c r="H42" s="575">
        <v>126.17</v>
      </c>
      <c r="I42" s="576">
        <f t="shared" si="1"/>
        <v>3405.33</v>
      </c>
      <c r="J42" s="556"/>
      <c r="K42" s="576">
        <f t="shared" si="5"/>
        <v>3405.33</v>
      </c>
      <c r="L42" s="564">
        <f t="shared" si="4"/>
        <v>1</v>
      </c>
    </row>
    <row r="43" spans="1:12" x14ac:dyDescent="0.25">
      <c r="A43" s="871"/>
      <c r="B43" s="872"/>
      <c r="C43" s="872"/>
      <c r="D43" s="872"/>
      <c r="E43" s="872"/>
      <c r="F43" s="872"/>
      <c r="G43" s="872"/>
      <c r="H43" s="872"/>
      <c r="I43" s="872"/>
      <c r="J43" s="872"/>
      <c r="K43" s="872"/>
      <c r="L43" s="873"/>
    </row>
    <row r="44" spans="1:12" x14ac:dyDescent="0.25">
      <c r="A44" s="559">
        <f>REPROGRAMAÇÃO!A35</f>
        <v>3</v>
      </c>
      <c r="B44" s="560" t="str">
        <f>REPROGRAMAÇÃO!B35</f>
        <v>SUPERESTRUTURA</v>
      </c>
      <c r="C44" s="876"/>
      <c r="D44" s="877"/>
      <c r="E44" s="877"/>
      <c r="F44" s="877"/>
      <c r="G44" s="877"/>
      <c r="H44" s="878"/>
      <c r="I44" s="558">
        <f>SUM(I45+I53+I55)</f>
        <v>228332.07</v>
      </c>
      <c r="J44" s="561"/>
      <c r="K44" s="558">
        <f>SUM(K45+K53+K55)</f>
        <v>227411.46000000002</v>
      </c>
      <c r="L44" s="561"/>
    </row>
    <row r="45" spans="1:12" x14ac:dyDescent="0.25">
      <c r="A45" s="554" t="str">
        <f>REPROGRAMAÇÃO!A36</f>
        <v>3.1</v>
      </c>
      <c r="B45" s="555" t="str">
        <f>REPROGRAMAÇÃO!B36</f>
        <v>CONCRETO ARMADO (PILARES / VIGAS)</v>
      </c>
      <c r="C45" s="554"/>
      <c r="D45" s="386"/>
      <c r="E45" s="386"/>
      <c r="F45" s="386"/>
      <c r="G45" s="451"/>
      <c r="H45" s="575"/>
      <c r="I45" s="576">
        <f>SUM(I46:I52)</f>
        <v>206031.61000000002</v>
      </c>
      <c r="J45" s="556"/>
      <c r="K45" s="576">
        <f>SUM(K46:K52)</f>
        <v>206031.61000000002</v>
      </c>
      <c r="L45" s="564"/>
    </row>
    <row r="46" spans="1:12" ht="38.25" x14ac:dyDescent="0.25">
      <c r="A46" s="554" t="str">
        <f>REPROGRAMAÇÃO!A37</f>
        <v>3.1.1</v>
      </c>
      <c r="B46" s="555" t="str">
        <f>REPROGRAMAÇÃO!B37</f>
        <v>ARMAÇÃO DE PILAR OU VIGA DE UMA ESTRUTURA CONVENCIONAL DE CONCRETO ARMADO EM UMA EDIFICAÇÃO TÉRREA OU SOBRADO UTILIZANDO AÇO CA-60 DE 5,0 MM - MONTAGEM. AF_12/2015</v>
      </c>
      <c r="C46" s="554" t="str">
        <f>REPROGRAMAÇÃO!E37</f>
        <v>KG</v>
      </c>
      <c r="D46" s="386"/>
      <c r="E46" s="386">
        <f>REPROGRAMAÇÃO!J37</f>
        <v>23.39</v>
      </c>
      <c r="F46" s="386">
        <f>REPROGRAMAÇÃO!I37</f>
        <v>1624.6407000000002</v>
      </c>
      <c r="G46" s="451"/>
      <c r="H46" s="575">
        <v>1624.6407000000002</v>
      </c>
      <c r="I46" s="576">
        <f t="shared" si="1"/>
        <v>38000.35</v>
      </c>
      <c r="J46" s="556"/>
      <c r="K46" s="576">
        <f t="shared" ref="K46:K61" si="6">ROUND(H46*E46,2)</f>
        <v>38000.35</v>
      </c>
      <c r="L46" s="564">
        <f t="shared" ref="L46:L61" si="7">K46/I46</f>
        <v>1</v>
      </c>
    </row>
    <row r="47" spans="1:12" ht="38.25" x14ac:dyDescent="0.25">
      <c r="A47" s="554" t="str">
        <f>REPROGRAMAÇÃO!A38</f>
        <v>3.1.2</v>
      </c>
      <c r="B47" s="555" t="str">
        <f>REPROGRAMAÇÃO!B38</f>
        <v>ARMAÇÃO DE PILAR OU VIGA DE UMA ESTRUTURA CONVENCIONAL DE CONCRETO ARMADO EM UMA EDIFICAÇÃO TÉRREA OU SOBRADO UTILIZANDO AÇO CA-50 DE 6,3 MM - MONTAGEM. AF_12/2015</v>
      </c>
      <c r="C47" s="554" t="str">
        <f>REPROGRAMAÇÃO!E38</f>
        <v>KG</v>
      </c>
      <c r="D47" s="386"/>
      <c r="E47" s="386">
        <f>REPROGRAMAÇÃO!J38</f>
        <v>22.94</v>
      </c>
      <c r="F47" s="386">
        <f>REPROGRAMAÇÃO!I38</f>
        <v>323.702</v>
      </c>
      <c r="G47" s="451"/>
      <c r="H47" s="575">
        <v>323.702</v>
      </c>
      <c r="I47" s="576">
        <f t="shared" si="1"/>
        <v>7425.72</v>
      </c>
      <c r="J47" s="556"/>
      <c r="K47" s="576">
        <f t="shared" si="6"/>
        <v>7425.72</v>
      </c>
      <c r="L47" s="564">
        <f t="shared" si="7"/>
        <v>1</v>
      </c>
    </row>
    <row r="48" spans="1:12" ht="38.25" x14ac:dyDescent="0.25">
      <c r="A48" s="554" t="str">
        <f>REPROGRAMAÇÃO!A39</f>
        <v>3.1.3</v>
      </c>
      <c r="B48" s="555" t="str">
        <f>REPROGRAMAÇÃO!B39</f>
        <v>ARMAÇÃO DE PILAR OU VIGA DE UMA ESTRUTURA CONVENCIONAL DE CONCRETO ARMADO EM UMA EDIFICAÇÃO TÉRREA OU SOBRADO UTILIZANDO AÇO CA-50 DE 10,0 MM - MONTAGEM. AF_12/2015</v>
      </c>
      <c r="C48" s="554" t="str">
        <f>REPROGRAMAÇÃO!E39</f>
        <v>KG</v>
      </c>
      <c r="D48" s="386"/>
      <c r="E48" s="386">
        <f>REPROGRAMAÇÃO!J39</f>
        <v>19.98</v>
      </c>
      <c r="F48" s="386">
        <f>REPROGRAMAÇÃO!I39</f>
        <v>3227.1619999999998</v>
      </c>
      <c r="G48" s="451"/>
      <c r="H48" s="575">
        <v>3227.1619999999998</v>
      </c>
      <c r="I48" s="576">
        <f t="shared" si="1"/>
        <v>64478.7</v>
      </c>
      <c r="J48" s="556"/>
      <c r="K48" s="576">
        <f t="shared" si="6"/>
        <v>64478.7</v>
      </c>
      <c r="L48" s="564">
        <f t="shared" si="7"/>
        <v>1</v>
      </c>
    </row>
    <row r="49" spans="1:12" ht="38.25" x14ac:dyDescent="0.25">
      <c r="A49" s="554" t="str">
        <f>REPROGRAMAÇÃO!A40</f>
        <v>3.1.4</v>
      </c>
      <c r="B49" s="555" t="str">
        <f>REPROGRAMAÇÃO!B40</f>
        <v>ARMAÇÃO DE PILAR OU VIGA DE UMA ESTRUTURA CONVENCIONAL DE CONCRETO ARMADO EM UMA EDIFICAÇÃO TÉRREA OU SOBRADO UTILIZANDO AÇO CA-50 DE 12,5 MM - MONTAGEM. AF_12/2015</v>
      </c>
      <c r="C49" s="554" t="str">
        <f>REPROGRAMAÇÃO!E40</f>
        <v>KG</v>
      </c>
      <c r="D49" s="386"/>
      <c r="E49" s="386">
        <f>REPROGRAMAÇÃO!J40</f>
        <v>16.989999999999998</v>
      </c>
      <c r="F49" s="386">
        <f>REPROGRAMAÇÃO!I40</f>
        <v>749.97</v>
      </c>
      <c r="G49" s="451"/>
      <c r="H49" s="575">
        <v>749.97</v>
      </c>
      <c r="I49" s="576">
        <f t="shared" si="1"/>
        <v>12741.99</v>
      </c>
      <c r="J49" s="556"/>
      <c r="K49" s="576">
        <f t="shared" si="6"/>
        <v>12741.99</v>
      </c>
      <c r="L49" s="564">
        <f t="shared" si="7"/>
        <v>1</v>
      </c>
    </row>
    <row r="50" spans="1:12" ht="25.5" x14ac:dyDescent="0.25">
      <c r="A50" s="554" t="str">
        <f>REPROGRAMAÇÃO!A41</f>
        <v>3.1.5</v>
      </c>
      <c r="B50" s="555" t="str">
        <f>REPROGRAMAÇÃO!B41</f>
        <v>Forma plana para estruturas, em compensado plastificado de 12mm, 12 usos, inclusive escoramento - Revisada 07.2015</v>
      </c>
      <c r="C50" s="554" t="str">
        <f>REPROGRAMAÇÃO!E41</f>
        <v>m2</v>
      </c>
      <c r="D50" s="386"/>
      <c r="E50" s="386">
        <f>REPROGRAMAÇÃO!J41</f>
        <v>48.69</v>
      </c>
      <c r="F50" s="386">
        <f>REPROGRAMAÇÃO!I41</f>
        <v>863.21</v>
      </c>
      <c r="G50" s="451"/>
      <c r="H50" s="575">
        <v>863.21</v>
      </c>
      <c r="I50" s="576">
        <f t="shared" si="1"/>
        <v>42029.69</v>
      </c>
      <c r="J50" s="556"/>
      <c r="K50" s="576">
        <f t="shared" si="6"/>
        <v>42029.69</v>
      </c>
      <c r="L50" s="564">
        <f t="shared" si="7"/>
        <v>1</v>
      </c>
    </row>
    <row r="51" spans="1:12" ht="25.5" x14ac:dyDescent="0.25">
      <c r="A51" s="554" t="str">
        <f>REPROGRAMAÇÃO!A42</f>
        <v>3.1.6</v>
      </c>
      <c r="B51" s="555" t="str">
        <f>REPROGRAMAÇÃO!B42</f>
        <v>CONCRETO FCK = 25MPA, TRAÇO 1:2,3:2,7 (EM MASSA SECA DE CIMENTO/ AREIA MÉDIA/ BRITA 1) - PREPARO MECÂNICO COM BETONEIRA 400 L. AF_05/2021</v>
      </c>
      <c r="C51" s="554" t="str">
        <f>REPROGRAMAÇÃO!E42</f>
        <v>M3</v>
      </c>
      <c r="D51" s="386"/>
      <c r="E51" s="386">
        <f>REPROGRAMAÇÃO!J42</f>
        <v>444.59000000000003</v>
      </c>
      <c r="F51" s="386">
        <f>REPROGRAMAÇÃO!I42</f>
        <v>66.45</v>
      </c>
      <c r="G51" s="451"/>
      <c r="H51" s="575">
        <v>66.45</v>
      </c>
      <c r="I51" s="576">
        <f t="shared" si="1"/>
        <v>29543.01</v>
      </c>
      <c r="J51" s="556"/>
      <c r="K51" s="576">
        <f t="shared" si="6"/>
        <v>29543.01</v>
      </c>
      <c r="L51" s="564">
        <f t="shared" si="7"/>
        <v>1</v>
      </c>
    </row>
    <row r="52" spans="1:12" ht="25.5" x14ac:dyDescent="0.25">
      <c r="A52" s="554" t="str">
        <f>REPROGRAMAÇÃO!A43</f>
        <v>3.1.7</v>
      </c>
      <c r="B52" s="555" t="str">
        <f>REPROGRAMAÇÃO!B43</f>
        <v>LANÇAMENTO COM USO DE BALDES, ADENSAMENTO E ACABAMENTO DE CONCRETO EM ESTRUTURAS. AF_12/2015</v>
      </c>
      <c r="C52" s="554" t="str">
        <f>REPROGRAMAÇÃO!E43</f>
        <v>M3</v>
      </c>
      <c r="D52" s="386"/>
      <c r="E52" s="386">
        <f>REPROGRAMAÇÃO!J43</f>
        <v>177.76000000000002</v>
      </c>
      <c r="F52" s="386">
        <f>REPROGRAMAÇÃO!I43</f>
        <v>66.45</v>
      </c>
      <c r="G52" s="451"/>
      <c r="H52" s="575">
        <v>66.45</v>
      </c>
      <c r="I52" s="576">
        <f t="shared" si="1"/>
        <v>11812.15</v>
      </c>
      <c r="J52" s="556"/>
      <c r="K52" s="576">
        <f t="shared" si="6"/>
        <v>11812.15</v>
      </c>
      <c r="L52" s="564">
        <f t="shared" si="7"/>
        <v>1</v>
      </c>
    </row>
    <row r="53" spans="1:12" x14ac:dyDescent="0.25">
      <c r="A53" s="559" t="str">
        <f>REPROGRAMAÇÃO!A44</f>
        <v>3.2</v>
      </c>
      <c r="B53" s="560" t="str">
        <f>REPROGRAMAÇÃO!B44</f>
        <v>LAJE</v>
      </c>
      <c r="C53" s="554"/>
      <c r="D53" s="386"/>
      <c r="E53" s="386"/>
      <c r="F53" s="386"/>
      <c r="G53" s="451"/>
      <c r="H53" s="451"/>
      <c r="I53" s="576">
        <f>I54</f>
        <v>21379.85</v>
      </c>
      <c r="J53" s="556"/>
      <c r="K53" s="576">
        <f>K54</f>
        <v>21379.85</v>
      </c>
      <c r="L53" s="564">
        <f t="shared" si="7"/>
        <v>1</v>
      </c>
    </row>
    <row r="54" spans="1:12" ht="38.25" x14ac:dyDescent="0.25">
      <c r="A54" s="554" t="str">
        <f>REPROGRAMAÇÃO!A45</f>
        <v>3.2.1</v>
      </c>
      <c r="B54" s="555" t="str">
        <f>REPROGRAMAÇÃO!B45</f>
        <v>LAJE PRÉ-MOLDADA UNIDIRECIONAL, BIAPOIADA, PARA PISO, ENCHIMENTO EM CERÂMICA, VIGOTA CONVENCIONAL, ALTURA TOTAL DA LAJE (ENCHIMENTO+CAPA) = (8+4). AF_11/2020</v>
      </c>
      <c r="C54" s="554" t="str">
        <f>REPROGRAMAÇÃO!E45</f>
        <v>m²</v>
      </c>
      <c r="D54" s="386"/>
      <c r="E54" s="386">
        <f>REPROGRAMAÇÃO!J45</f>
        <v>190.06</v>
      </c>
      <c r="F54" s="386">
        <f>REPROGRAMAÇÃO!I45</f>
        <v>112.49</v>
      </c>
      <c r="G54" s="451"/>
      <c r="H54" s="575">
        <v>112.49</v>
      </c>
      <c r="I54" s="576">
        <f t="shared" si="1"/>
        <v>21379.85</v>
      </c>
      <c r="J54" s="556"/>
      <c r="K54" s="576">
        <f t="shared" si="6"/>
        <v>21379.85</v>
      </c>
      <c r="L54" s="564">
        <f t="shared" si="7"/>
        <v>1</v>
      </c>
    </row>
    <row r="55" spans="1:12" x14ac:dyDescent="0.25">
      <c r="A55" s="559" t="str">
        <f>REPROGRAMAÇÃO!A46</f>
        <v>3.3</v>
      </c>
      <c r="B55" s="560" t="str">
        <f>REPROGRAMAÇÃO!B46</f>
        <v>VERGAS E CONTRA VERGAS</v>
      </c>
      <c r="C55" s="554"/>
      <c r="D55" s="386"/>
      <c r="E55" s="386"/>
      <c r="F55" s="386"/>
      <c r="G55" s="451"/>
      <c r="H55" s="451"/>
      <c r="I55" s="576">
        <f>SUM(I56:I61)</f>
        <v>920.61000000000013</v>
      </c>
      <c r="J55" s="556"/>
      <c r="K55" s="576">
        <f>SUM(K56:K61)</f>
        <v>0</v>
      </c>
      <c r="L55" s="564">
        <f t="shared" si="7"/>
        <v>0</v>
      </c>
    </row>
    <row r="56" spans="1:12" x14ac:dyDescent="0.25">
      <c r="A56" s="554" t="str">
        <f>REPROGRAMAÇÃO!A47</f>
        <v>3.3.1</v>
      </c>
      <c r="B56" s="555" t="str">
        <f>REPROGRAMAÇÃO!B47</f>
        <v>VERGA PRÉ-MOLDADA PARA PORTAS COM ATÉ 1,5 M DE VÃO. AF_03/2016</v>
      </c>
      <c r="C56" s="554" t="str">
        <f>REPROGRAMAÇÃO!E47</f>
        <v>M</v>
      </c>
      <c r="D56" s="386"/>
      <c r="E56" s="386">
        <f>REPROGRAMAÇÃO!J47</f>
        <v>37.349999999999994</v>
      </c>
      <c r="F56" s="386">
        <f>REPROGRAMAÇÃO!I47</f>
        <v>10</v>
      </c>
      <c r="G56" s="451"/>
      <c r="H56" s="575">
        <v>0</v>
      </c>
      <c r="I56" s="576">
        <f t="shared" si="1"/>
        <v>373.5</v>
      </c>
      <c r="J56" s="556"/>
      <c r="K56" s="576">
        <f t="shared" si="6"/>
        <v>0</v>
      </c>
      <c r="L56" s="564">
        <f t="shared" si="7"/>
        <v>0</v>
      </c>
    </row>
    <row r="57" spans="1:12" x14ac:dyDescent="0.25">
      <c r="A57" s="554" t="str">
        <f>REPROGRAMAÇÃO!A48</f>
        <v>3.3.2</v>
      </c>
      <c r="B57" s="555" t="str">
        <f>REPROGRAMAÇÃO!B48</f>
        <v>VERGA PRÉ-MOLDADA PARA PORTAS COM MAIS DE 1,5 M DE VÃO. AF_03/2016</v>
      </c>
      <c r="C57" s="554" t="str">
        <f>REPROGRAMAÇÃO!E48</f>
        <v>M</v>
      </c>
      <c r="D57" s="386"/>
      <c r="E57" s="386">
        <f>REPROGRAMAÇÃO!J48</f>
        <v>65.989999999999995</v>
      </c>
      <c r="F57" s="386">
        <f>REPROGRAMAÇÃO!I48</f>
        <v>2</v>
      </c>
      <c r="G57" s="451"/>
      <c r="H57" s="575">
        <v>0</v>
      </c>
      <c r="I57" s="576">
        <f t="shared" si="1"/>
        <v>131.97999999999999</v>
      </c>
      <c r="J57" s="556"/>
      <c r="K57" s="576">
        <f t="shared" si="6"/>
        <v>0</v>
      </c>
      <c r="L57" s="564">
        <f t="shared" si="7"/>
        <v>0</v>
      </c>
    </row>
    <row r="58" spans="1:12" x14ac:dyDescent="0.25">
      <c r="A58" s="554" t="str">
        <f>REPROGRAMAÇÃO!A49</f>
        <v>3.3.3</v>
      </c>
      <c r="B58" s="555" t="str">
        <f>REPROGRAMAÇÃO!B49</f>
        <v>VERGA PRÉ-MOLDADA PARA JANELAS COM ATÉ 1,5 M DE VÃO. AF_03/2016</v>
      </c>
      <c r="C58" s="554" t="str">
        <f>REPROGRAMAÇÃO!E49</f>
        <v>M</v>
      </c>
      <c r="D58" s="386"/>
      <c r="E58" s="386">
        <f>REPROGRAMAÇÃO!J49</f>
        <v>51.26</v>
      </c>
      <c r="F58" s="386">
        <f>REPROGRAMAÇÃO!I49</f>
        <v>0.95</v>
      </c>
      <c r="G58" s="451"/>
      <c r="H58" s="575">
        <v>0</v>
      </c>
      <c r="I58" s="576">
        <f t="shared" si="1"/>
        <v>48.7</v>
      </c>
      <c r="J58" s="556"/>
      <c r="K58" s="576">
        <f t="shared" si="6"/>
        <v>0</v>
      </c>
      <c r="L58" s="564">
        <f t="shared" si="7"/>
        <v>0</v>
      </c>
    </row>
    <row r="59" spans="1:12" x14ac:dyDescent="0.25">
      <c r="A59" s="554" t="str">
        <f>REPROGRAMAÇÃO!A50</f>
        <v>3.3.4</v>
      </c>
      <c r="B59" s="555" t="str">
        <f>REPROGRAMAÇÃO!B50</f>
        <v>VERGA PRÉ-MOLDADA PARA JANELAS COM MAIS DE 1,5 M DE VÃO. AF_03/2016</v>
      </c>
      <c r="C59" s="554" t="str">
        <f>REPROGRAMAÇÃO!E50</f>
        <v>M</v>
      </c>
      <c r="D59" s="386"/>
      <c r="E59" s="386">
        <f>REPROGRAMAÇÃO!J50</f>
        <v>66.86</v>
      </c>
      <c r="F59" s="386">
        <f>REPROGRAMAÇÃO!I50</f>
        <v>2.5</v>
      </c>
      <c r="G59" s="451"/>
      <c r="H59" s="575">
        <v>0</v>
      </c>
      <c r="I59" s="576">
        <f t="shared" si="1"/>
        <v>167.15</v>
      </c>
      <c r="J59" s="556"/>
      <c r="K59" s="576">
        <f t="shared" si="6"/>
        <v>0</v>
      </c>
      <c r="L59" s="564">
        <f t="shared" si="7"/>
        <v>0</v>
      </c>
    </row>
    <row r="60" spans="1:12" ht="25.5" x14ac:dyDescent="0.25">
      <c r="A60" s="554" t="str">
        <f>REPROGRAMAÇÃO!A51</f>
        <v>3.3.5</v>
      </c>
      <c r="B60" s="555" t="str">
        <f>REPROGRAMAÇÃO!B51</f>
        <v>CONTRAVERGA PRÉ-MOLDADA PARA VÃOS DE ATÉ 1,5 M DE COMPRIMENTO. AF_03/2016</v>
      </c>
      <c r="C60" s="554" t="str">
        <f>REPROGRAMAÇÃO!E51</f>
        <v>M</v>
      </c>
      <c r="D60" s="386"/>
      <c r="E60" s="386">
        <f>REPROGRAMAÇÃO!J51</f>
        <v>50.24</v>
      </c>
      <c r="F60" s="386">
        <f>REPROGRAMAÇÃO!I51</f>
        <v>0.95</v>
      </c>
      <c r="G60" s="451"/>
      <c r="H60" s="575">
        <v>0</v>
      </c>
      <c r="I60" s="576">
        <f t="shared" si="1"/>
        <v>47.73</v>
      </c>
      <c r="J60" s="556"/>
      <c r="K60" s="576">
        <f t="shared" si="6"/>
        <v>0</v>
      </c>
      <c r="L60" s="564">
        <f t="shared" si="7"/>
        <v>0</v>
      </c>
    </row>
    <row r="61" spans="1:12" ht="25.5" x14ac:dyDescent="0.25">
      <c r="A61" s="554" t="str">
        <f>REPROGRAMAÇÃO!A52</f>
        <v>3.3.6</v>
      </c>
      <c r="B61" s="555" t="str">
        <f>REPROGRAMAÇÃO!B52</f>
        <v>CONTRAVERGA PRÉ-MOLDADA PARA VÃOS DE MAIS DE 1,5 M DE COMPRIMENTO. AF_03/2016</v>
      </c>
      <c r="C61" s="554" t="str">
        <f>REPROGRAMAÇÃO!E52</f>
        <v>M</v>
      </c>
      <c r="D61" s="386"/>
      <c r="E61" s="386">
        <f>REPROGRAMAÇÃO!J52</f>
        <v>60.620000000000005</v>
      </c>
      <c r="F61" s="386">
        <f>REPROGRAMAÇÃO!I52</f>
        <v>2.5</v>
      </c>
      <c r="G61" s="451"/>
      <c r="H61" s="575">
        <v>0</v>
      </c>
      <c r="I61" s="576">
        <f t="shared" si="1"/>
        <v>151.55000000000001</v>
      </c>
      <c r="J61" s="556"/>
      <c r="K61" s="576">
        <f t="shared" si="6"/>
        <v>0</v>
      </c>
      <c r="L61" s="564">
        <f t="shared" si="7"/>
        <v>0</v>
      </c>
    </row>
    <row r="62" spans="1:12" x14ac:dyDescent="0.25">
      <c r="A62" s="871"/>
      <c r="B62" s="872"/>
      <c r="C62" s="872"/>
      <c r="D62" s="872"/>
      <c r="E62" s="872"/>
      <c r="F62" s="872"/>
      <c r="G62" s="872"/>
      <c r="H62" s="872"/>
      <c r="I62" s="872"/>
      <c r="J62" s="872"/>
      <c r="K62" s="872"/>
      <c r="L62" s="873"/>
    </row>
    <row r="63" spans="1:12" x14ac:dyDescent="0.25">
      <c r="A63" s="559">
        <f>REPROGRAMAÇÃO!A54</f>
        <v>4</v>
      </c>
      <c r="B63" s="560" t="str">
        <f>REPROGRAMAÇÃO!B54</f>
        <v>PAREDES E FECHAMENTOS</v>
      </c>
      <c r="C63" s="871"/>
      <c r="D63" s="872"/>
      <c r="E63" s="872"/>
      <c r="F63" s="872"/>
      <c r="G63" s="872"/>
      <c r="H63" s="873"/>
      <c r="I63" s="558">
        <f>SUM(I64:I65)</f>
        <v>35376.71</v>
      </c>
      <c r="J63" s="556"/>
      <c r="K63" s="558">
        <f>SUM(K64:K65)</f>
        <v>35376.71</v>
      </c>
      <c r="L63" s="556"/>
    </row>
    <row r="64" spans="1:12" ht="51" x14ac:dyDescent="0.25">
      <c r="A64" s="554" t="str">
        <f>REPROGRAMAÇÃO!A55</f>
        <v>4.1</v>
      </c>
      <c r="B64" s="555" t="str">
        <f>REPROGRAMAÇÃO!B55</f>
        <v>ALVENARIA DE VEDAÇÃO DE BLOCOS CERÂMICOS FURADOS NA HORIZONTAL DE 9X19X19CM (ESPESSURA 9CM) DE PAREDES COM ÁREA LÍQUIDA MAIOR OU IGUAL A 6M² SEM VÃOS E ARGAMASSA DE ASSENTAMENTO COM PREPARO EM BETONEIRA. AF_06/2014</v>
      </c>
      <c r="C64" s="554" t="str">
        <f>REPROGRAMAÇÃO!E55</f>
        <v>M2</v>
      </c>
      <c r="D64" s="386"/>
      <c r="E64" s="386">
        <f>REPROGRAMAÇÃO!J55</f>
        <v>70.34</v>
      </c>
      <c r="F64" s="386">
        <f>REPROGRAMAÇÃO!I55</f>
        <v>435.57</v>
      </c>
      <c r="G64" s="451"/>
      <c r="H64" s="575">
        <f>413.98+21.59</f>
        <v>435.57</v>
      </c>
      <c r="I64" s="576">
        <f t="shared" si="1"/>
        <v>30637.99</v>
      </c>
      <c r="J64" s="556"/>
      <c r="K64" s="576">
        <f t="shared" ref="K64" si="8">ROUND(H64*E64,2)</f>
        <v>30637.99</v>
      </c>
      <c r="L64" s="564">
        <f t="shared" ref="L64:L65" si="9">K64/I64</f>
        <v>1</v>
      </c>
    </row>
    <row r="65" spans="1:12" ht="38.25" x14ac:dyDescent="0.25">
      <c r="A65" s="554" t="str">
        <f>REPROGRAMAÇÃO!A56</f>
        <v>4.2</v>
      </c>
      <c r="B65" s="555" t="str">
        <f>REPROGRAMAÇÃO!B56</f>
        <v>ALVENARIA DE VEDAÇÃO DE BLOCOS CERÂMICOS FURADOS 9x19x19 CM (ESPESSURA 19CM) E ARGAMASSA DE ASSENTAMENTO COM PREPARO EM BETONEIRA</v>
      </c>
      <c r="C65" s="554" t="str">
        <f>REPROGRAMAÇÃO!E56</f>
        <v>M2</v>
      </c>
      <c r="D65" s="386"/>
      <c r="E65" s="386">
        <f>REPROGRAMAÇÃO!J56</f>
        <v>89.97</v>
      </c>
      <c r="F65" s="386">
        <f>REPROGRAMAÇÃO!I56</f>
        <v>52.67</v>
      </c>
      <c r="G65" s="451"/>
      <c r="H65" s="575">
        <v>52.67</v>
      </c>
      <c r="I65" s="576">
        <f t="shared" si="1"/>
        <v>4738.72</v>
      </c>
      <c r="J65" s="556"/>
      <c r="K65" s="576">
        <f t="shared" ref="K65" si="10">ROUND(H65*E65,2)</f>
        <v>4738.72</v>
      </c>
      <c r="L65" s="564">
        <f t="shared" si="9"/>
        <v>1</v>
      </c>
    </row>
    <row r="66" spans="1:12" x14ac:dyDescent="0.25">
      <c r="A66" s="871"/>
      <c r="B66" s="872"/>
      <c r="C66" s="872"/>
      <c r="D66" s="872"/>
      <c r="E66" s="872"/>
      <c r="F66" s="872"/>
      <c r="G66" s="872"/>
      <c r="H66" s="872"/>
      <c r="I66" s="872"/>
      <c r="J66" s="872"/>
      <c r="K66" s="872"/>
      <c r="L66" s="873"/>
    </row>
    <row r="67" spans="1:12" x14ac:dyDescent="0.25">
      <c r="A67" s="559">
        <f>REPROGRAMAÇÃO!A58</f>
        <v>5</v>
      </c>
      <c r="B67" s="560" t="str">
        <f>REPROGRAMAÇÃO!B58</f>
        <v>COBERTURA</v>
      </c>
      <c r="C67" s="871"/>
      <c r="D67" s="872"/>
      <c r="E67" s="872"/>
      <c r="F67" s="872"/>
      <c r="G67" s="872"/>
      <c r="H67" s="873"/>
      <c r="I67" s="558">
        <f>SUM(I68:I84)</f>
        <v>191932.88999999996</v>
      </c>
      <c r="J67" s="556"/>
      <c r="K67" s="558">
        <f>SUM(K68:K84)</f>
        <v>159401.21</v>
      </c>
      <c r="L67" s="556"/>
    </row>
    <row r="68" spans="1:12" x14ac:dyDescent="0.25">
      <c r="A68" s="554" t="str">
        <f>REPROGRAMAÇÃO!A59</f>
        <v>5.1</v>
      </c>
      <c r="B68" s="555" t="str">
        <f>REPROGRAMAÇÃO!B59</f>
        <v>ESTRUTURA METÁLICA P/ COBERTURA C/ VIGAS - TRELIÇADAS E TERÇAS</v>
      </c>
      <c r="C68" s="554" t="str">
        <f>REPROGRAMAÇÃO!E59</f>
        <v>M2</v>
      </c>
      <c r="D68" s="386"/>
      <c r="E68" s="386">
        <f>REPROGRAMAÇÃO!J59</f>
        <v>143.84</v>
      </c>
      <c r="F68" s="386">
        <f>REPROGRAMAÇÃO!I59</f>
        <v>0</v>
      </c>
      <c r="G68" s="451"/>
      <c r="H68" s="575">
        <v>0</v>
      </c>
      <c r="I68" s="556"/>
      <c r="J68" s="556"/>
      <c r="K68" s="557"/>
      <c r="L68" s="564"/>
    </row>
    <row r="69" spans="1:12" x14ac:dyDescent="0.25">
      <c r="A69" s="554" t="str">
        <f>REPROGRAMAÇÃO!A60</f>
        <v>5.2</v>
      </c>
      <c r="B69" s="555" t="str">
        <f>REPROGRAMAÇÃO!B60</f>
        <v>TELHA TERMOACÚSTICA TRAPEZOIDAL INCLINAÇÃO 17.6%</v>
      </c>
      <c r="C69" s="554" t="str">
        <f>REPROGRAMAÇÃO!E60</f>
        <v>M2</v>
      </c>
      <c r="D69" s="386"/>
      <c r="E69" s="386">
        <f>REPROGRAMAÇÃO!J60</f>
        <v>161.29000000000002</v>
      </c>
      <c r="F69" s="386">
        <f>REPROGRAMAÇÃO!I60</f>
        <v>187.92000000000002</v>
      </c>
      <c r="G69" s="451"/>
      <c r="H69" s="575">
        <v>167.97</v>
      </c>
      <c r="I69" s="576">
        <f t="shared" si="1"/>
        <v>30309.62</v>
      </c>
      <c r="J69" s="556"/>
      <c r="K69" s="576">
        <f t="shared" ref="K69:K84" si="11">ROUND(H69*E69,2)</f>
        <v>27091.88</v>
      </c>
      <c r="L69" s="564">
        <f t="shared" ref="L69:L84" si="12">K69/I69</f>
        <v>0.89383766606113846</v>
      </c>
    </row>
    <row r="70" spans="1:12" ht="25.5" x14ac:dyDescent="0.25">
      <c r="A70" s="554" t="str">
        <f>REPROGRAMAÇÃO!A61</f>
        <v>5.3</v>
      </c>
      <c r="B70" s="555" t="str">
        <f>REPROGRAMAÇÃO!B61</f>
        <v>TELHAMENTO COM TELHA DE AÇO/ALUMÍNIO E = 0,5 MM, COM ATÉ 2 ÁGUAS, INCL M2 USO IÇAMENTO. AF_07/2019</v>
      </c>
      <c r="C70" s="554" t="str">
        <f>REPROGRAMAÇÃO!E61</f>
        <v>M2</v>
      </c>
      <c r="D70" s="386"/>
      <c r="E70" s="386">
        <f>REPROGRAMAÇÃO!J61</f>
        <v>75.849999999999994</v>
      </c>
      <c r="F70" s="386">
        <f>REPROGRAMAÇÃO!I61</f>
        <v>308.33999999999997</v>
      </c>
      <c r="G70" s="451"/>
      <c r="H70" s="575">
        <v>308.33999999999997</v>
      </c>
      <c r="I70" s="576">
        <f t="shared" si="1"/>
        <v>23387.59</v>
      </c>
      <c r="J70" s="556"/>
      <c r="K70" s="576">
        <f t="shared" si="11"/>
        <v>23387.59</v>
      </c>
      <c r="L70" s="564">
        <f t="shared" si="12"/>
        <v>1</v>
      </c>
    </row>
    <row r="71" spans="1:12" ht="25.5" x14ac:dyDescent="0.25">
      <c r="A71" s="554" t="str">
        <f>REPROGRAMAÇÃO!A62</f>
        <v>5.4</v>
      </c>
      <c r="B71" s="555" t="str">
        <f>REPROGRAMAÇÃO!B62</f>
        <v>TELHAMENTO COM TELHA CERÂMICA CAPA-CANAL, TIPO COLONIAL, COM ATÉ 2 ÁGUAS, INCLUSO TRANSPORTE VERTICAL. AF_07/2019</v>
      </c>
      <c r="C71" s="554" t="str">
        <f>REPROGRAMAÇÃO!E62</f>
        <v>M2</v>
      </c>
      <c r="D71" s="386"/>
      <c r="E71" s="386">
        <f>REPROGRAMAÇÃO!J62</f>
        <v>36.22</v>
      </c>
      <c r="F71" s="386">
        <f>REPROGRAMAÇÃO!I62</f>
        <v>28.5</v>
      </c>
      <c r="G71" s="451"/>
      <c r="H71" s="575">
        <v>28.5</v>
      </c>
      <c r="I71" s="576">
        <f t="shared" si="1"/>
        <v>1032.27</v>
      </c>
      <c r="J71" s="556"/>
      <c r="K71" s="576">
        <f t="shared" si="11"/>
        <v>1032.27</v>
      </c>
      <c r="L71" s="564">
        <f t="shared" si="12"/>
        <v>1</v>
      </c>
    </row>
    <row r="72" spans="1:12" x14ac:dyDescent="0.25">
      <c r="A72" s="554" t="str">
        <f>REPROGRAMAÇÃO!A63</f>
        <v>5.5</v>
      </c>
      <c r="B72" s="555" t="str">
        <f>REPROGRAMAÇÃO!B63</f>
        <v>Cumeeira em alumínio - 30cm de cada lado, e= 0,8mm</v>
      </c>
      <c r="C72" s="554" t="str">
        <f>REPROGRAMAÇÃO!E63</f>
        <v>m</v>
      </c>
      <c r="D72" s="386"/>
      <c r="E72" s="386">
        <f>REPROGRAMAÇÃO!J63</f>
        <v>110</v>
      </c>
      <c r="F72" s="386">
        <f>REPROGRAMAÇÃO!I63</f>
        <v>27</v>
      </c>
      <c r="G72" s="451"/>
      <c r="H72" s="575">
        <v>27</v>
      </c>
      <c r="I72" s="576">
        <f t="shared" si="1"/>
        <v>2970</v>
      </c>
      <c r="J72" s="556"/>
      <c r="K72" s="576">
        <f t="shared" si="11"/>
        <v>2970</v>
      </c>
      <c r="L72" s="564">
        <f t="shared" si="12"/>
        <v>1</v>
      </c>
    </row>
    <row r="73" spans="1:12" x14ac:dyDescent="0.25">
      <c r="A73" s="554" t="str">
        <f>REPROGRAMAÇÃO!A64</f>
        <v>5.6</v>
      </c>
      <c r="B73" s="555" t="str">
        <f>REPROGRAMAÇÃO!B64</f>
        <v>CUMEEIRA TERMOACÚSTICA</v>
      </c>
      <c r="C73" s="554" t="str">
        <f>REPROGRAMAÇÃO!E64</f>
        <v>M</v>
      </c>
      <c r="D73" s="386"/>
      <c r="E73" s="386">
        <f>REPROGRAMAÇÃO!J64</f>
        <v>76.19</v>
      </c>
      <c r="F73" s="386">
        <f>REPROGRAMAÇÃO!I64</f>
        <v>24</v>
      </c>
      <c r="G73" s="451"/>
      <c r="H73" s="575">
        <v>24</v>
      </c>
      <c r="I73" s="576">
        <f t="shared" si="1"/>
        <v>1828.56</v>
      </c>
      <c r="J73" s="556"/>
      <c r="K73" s="576">
        <f t="shared" si="11"/>
        <v>1828.56</v>
      </c>
      <c r="L73" s="564">
        <f t="shared" si="12"/>
        <v>1</v>
      </c>
    </row>
    <row r="74" spans="1:12" x14ac:dyDescent="0.25">
      <c r="A74" s="554" t="str">
        <f>REPROGRAMAÇÃO!A65</f>
        <v>5.7</v>
      </c>
      <c r="B74" s="555" t="str">
        <f>REPROGRAMAÇÃO!B65</f>
        <v>Rufo de concreto armado fck=20mpa l=30cm e h=5cm</v>
      </c>
      <c r="C74" s="554" t="str">
        <f>REPROGRAMAÇÃO!E65</f>
        <v>m</v>
      </c>
      <c r="D74" s="386"/>
      <c r="E74" s="386">
        <f>REPROGRAMAÇÃO!J65</f>
        <v>44.650000000000006</v>
      </c>
      <c r="F74" s="386">
        <f>REPROGRAMAÇÃO!I65</f>
        <v>42.03</v>
      </c>
      <c r="G74" s="451"/>
      <c r="H74" s="575">
        <v>0</v>
      </c>
      <c r="I74" s="576">
        <f t="shared" si="1"/>
        <v>1876.64</v>
      </c>
      <c r="J74" s="556"/>
      <c r="K74" s="576">
        <f t="shared" si="11"/>
        <v>0</v>
      </c>
      <c r="L74" s="564">
        <f t="shared" si="12"/>
        <v>0</v>
      </c>
    </row>
    <row r="75" spans="1:12" ht="25.5" x14ac:dyDescent="0.25">
      <c r="A75" s="554" t="str">
        <f>REPROGRAMAÇÃO!A66</f>
        <v>5.8</v>
      </c>
      <c r="B75" s="555" t="str">
        <f>REPROGRAMAÇÃO!B66</f>
        <v>RUFO EXTERNO/INTERNO EM CHAPA DE AÇO GALVANIZADO NÚMERO 26, CORTE DE 33 CM, INCLUSO IÇAMENTO. AF_07/2019</v>
      </c>
      <c r="C75" s="554" t="str">
        <f>REPROGRAMAÇÃO!E66</f>
        <v>M</v>
      </c>
      <c r="D75" s="386"/>
      <c r="E75" s="386">
        <f>REPROGRAMAÇÃO!J66</f>
        <v>69.760000000000005</v>
      </c>
      <c r="F75" s="386">
        <f>REPROGRAMAÇÃO!I66</f>
        <v>52.8</v>
      </c>
      <c r="G75" s="451"/>
      <c r="H75" s="575">
        <v>52.8</v>
      </c>
      <c r="I75" s="576">
        <f t="shared" si="1"/>
        <v>3683.33</v>
      </c>
      <c r="J75" s="556"/>
      <c r="K75" s="576">
        <f t="shared" si="11"/>
        <v>3683.33</v>
      </c>
      <c r="L75" s="564">
        <f t="shared" si="12"/>
        <v>1</v>
      </c>
    </row>
    <row r="76" spans="1:12" ht="25.5" x14ac:dyDescent="0.25">
      <c r="A76" s="554" t="str">
        <f>REPROGRAMAÇÃO!A67</f>
        <v>5.9</v>
      </c>
      <c r="B76" s="555" t="str">
        <f>REPROGRAMAÇÃO!B67</f>
        <v>CALHA EM CHAPA DE AÇO GALVANIZADO NÚMERO 24, DESENVOLVIMENTO DE 100 CM, INCLUSO TRANSPORTE VERTICAL. AF_07/2019</v>
      </c>
      <c r="C76" s="554" t="str">
        <f>REPROGRAMAÇÃO!E67</f>
        <v>M</v>
      </c>
      <c r="D76" s="386"/>
      <c r="E76" s="386">
        <f>REPROGRAMAÇÃO!J67</f>
        <v>201.91000000000003</v>
      </c>
      <c r="F76" s="386">
        <f>REPROGRAMAÇÃO!I67</f>
        <v>0</v>
      </c>
      <c r="G76" s="451"/>
      <c r="H76" s="575">
        <v>0</v>
      </c>
      <c r="I76" s="576">
        <f t="shared" si="1"/>
        <v>0</v>
      </c>
      <c r="J76" s="556"/>
      <c r="K76" s="576">
        <f t="shared" si="11"/>
        <v>0</v>
      </c>
      <c r="L76" s="564" t="e">
        <f t="shared" si="12"/>
        <v>#DIV/0!</v>
      </c>
    </row>
    <row r="77" spans="1:12" ht="25.5" x14ac:dyDescent="0.25">
      <c r="A77" s="554" t="str">
        <f>REPROGRAMAÇÃO!A68</f>
        <v>5.10</v>
      </c>
      <c r="B77" s="555" t="str">
        <f>REPROGRAMAÇÃO!B68</f>
        <v>FORRO EM DRYWALL, PARA AMBIENTES COMERCIAIS, INCLUSIVE ESTRUTURA DE FIXAÇÃO. AF_05/2017_P</v>
      </c>
      <c r="C77" s="554" t="str">
        <f>REPROGRAMAÇÃO!E68</f>
        <v>M2</v>
      </c>
      <c r="D77" s="386"/>
      <c r="E77" s="386">
        <f>REPROGRAMAÇÃO!J68</f>
        <v>88.25</v>
      </c>
      <c r="F77" s="386">
        <f>REPROGRAMAÇÃO!I68</f>
        <v>184.7175</v>
      </c>
      <c r="G77" s="451"/>
      <c r="H77" s="575">
        <v>0</v>
      </c>
      <c r="I77" s="576">
        <f t="shared" si="1"/>
        <v>16301.32</v>
      </c>
      <c r="J77" s="556"/>
      <c r="K77" s="576">
        <f t="shared" si="11"/>
        <v>0</v>
      </c>
      <c r="L77" s="564">
        <f t="shared" si="12"/>
        <v>0</v>
      </c>
    </row>
    <row r="78" spans="1:12" ht="25.5" x14ac:dyDescent="0.25">
      <c r="A78" s="554" t="str">
        <f>REPROGRAMAÇÃO!A69</f>
        <v>5.11</v>
      </c>
      <c r="B78" s="555" t="str">
        <f>REPROGRAMAÇÃO!B69</f>
        <v>IMPERMEABILIZAÇÃO DE SUPERFÍCIE COM MANTA ASFÁLTICA, DUAS CAMADAS, INCLUSIVE APLICAÇÃO DE PRIMER ASFÁLTICO, E=3MM E E=4MM. AF_06/2018</v>
      </c>
      <c r="C78" s="554" t="str">
        <f>REPROGRAMAÇÃO!E69</f>
        <v>M2</v>
      </c>
      <c r="D78" s="386"/>
      <c r="E78" s="386">
        <f>REPROGRAMAÇÃO!J69</f>
        <v>172.1</v>
      </c>
      <c r="F78" s="386">
        <f>REPROGRAMAÇÃO!I69</f>
        <v>0</v>
      </c>
      <c r="G78" s="451"/>
      <c r="H78" s="575">
        <v>0</v>
      </c>
      <c r="I78" s="576">
        <f t="shared" si="1"/>
        <v>0</v>
      </c>
      <c r="J78" s="556"/>
      <c r="K78" s="576">
        <f t="shared" si="11"/>
        <v>0</v>
      </c>
      <c r="L78" s="564" t="e">
        <f t="shared" si="12"/>
        <v>#DIV/0!</v>
      </c>
    </row>
    <row r="79" spans="1:12" ht="38.25" x14ac:dyDescent="0.25">
      <c r="A79" s="554" t="str">
        <f>REPROGRAMAÇÃO!A70</f>
        <v>5.12</v>
      </c>
      <c r="B79" s="555" t="str">
        <f>REPROGRAMAÇÃO!B70</f>
        <v>TRAMA DE MADEIRA COMPOSTA POR RIPAS, CAIBROS E TERÇAS PARA TELHADOS DE ATÉ 2 ÁGUAS PARA TELHA CERÂMICA CAPA-CANAL, INCLUSO TRANSPORTE VERTICAL. AF_07/2019</v>
      </c>
      <c r="C79" s="554" t="str">
        <f>REPROGRAMAÇÃO!E70</f>
        <v>M2</v>
      </c>
      <c r="D79" s="386"/>
      <c r="E79" s="386">
        <f>REPROGRAMAÇÃO!J70</f>
        <v>77.97</v>
      </c>
      <c r="F79" s="386">
        <f>REPROGRAMAÇÃO!I70</f>
        <v>33.25</v>
      </c>
      <c r="G79" s="451"/>
      <c r="H79" s="575">
        <v>0</v>
      </c>
      <c r="I79" s="576">
        <f t="shared" si="1"/>
        <v>2592.5</v>
      </c>
      <c r="J79" s="556"/>
      <c r="K79" s="576">
        <f t="shared" si="11"/>
        <v>0</v>
      </c>
      <c r="L79" s="564">
        <f t="shared" si="12"/>
        <v>0</v>
      </c>
    </row>
    <row r="80" spans="1:12" x14ac:dyDescent="0.25">
      <c r="A80" s="554" t="str">
        <f>REPROGRAMAÇÃO!A71</f>
        <v>5.13</v>
      </c>
      <c r="B80" s="555" t="str">
        <f>REPROGRAMAÇÃO!B71</f>
        <v>Estrutura Metálica p/ Cobertura c/Vigas-Treliça e terças na garagem</v>
      </c>
      <c r="C80" s="554" t="str">
        <f>REPROGRAMAÇÃO!E71</f>
        <v>M2</v>
      </c>
      <c r="D80" s="386"/>
      <c r="E80" s="386">
        <f>REPROGRAMAÇÃO!J71</f>
        <v>119.18</v>
      </c>
      <c r="F80" s="386">
        <f>REPROGRAMAÇÃO!I71</f>
        <v>515.55999999999995</v>
      </c>
      <c r="G80" s="451"/>
      <c r="H80" s="575">
        <v>515.55999999999995</v>
      </c>
      <c r="I80" s="576">
        <f t="shared" si="1"/>
        <v>61444.44</v>
      </c>
      <c r="J80" s="556"/>
      <c r="K80" s="576">
        <f t="shared" si="11"/>
        <v>61444.44</v>
      </c>
      <c r="L80" s="564">
        <f t="shared" si="12"/>
        <v>1</v>
      </c>
    </row>
    <row r="81" spans="1:12" x14ac:dyDescent="0.25">
      <c r="A81" s="554" t="str">
        <f>REPROGRAMAÇÃO!A72</f>
        <v>5.14</v>
      </c>
      <c r="B81" s="555" t="str">
        <f>REPROGRAMAÇÃO!B72</f>
        <v>PINTURA ANTICORROSIVA DE DUTO METÁLICO. AF_04/2018</v>
      </c>
      <c r="C81" s="554" t="str">
        <f>REPROGRAMAÇÃO!E72</f>
        <v>M2</v>
      </c>
      <c r="D81" s="386"/>
      <c r="E81" s="386">
        <f>REPROGRAMAÇÃO!J72</f>
        <v>10.43</v>
      </c>
      <c r="F81" s="386">
        <f>REPROGRAMAÇÃO!I72</f>
        <v>150.46</v>
      </c>
      <c r="G81" s="451"/>
      <c r="H81" s="575">
        <v>0</v>
      </c>
      <c r="I81" s="576">
        <f t="shared" si="1"/>
        <v>1569.3</v>
      </c>
      <c r="J81" s="556"/>
      <c r="K81" s="576">
        <f t="shared" si="11"/>
        <v>0</v>
      </c>
      <c r="L81" s="564">
        <f t="shared" si="12"/>
        <v>0</v>
      </c>
    </row>
    <row r="82" spans="1:12" ht="38.25" x14ac:dyDescent="0.25">
      <c r="A82" s="554" t="str">
        <f>REPROGRAMAÇÃO!A73</f>
        <v>5.15</v>
      </c>
      <c r="B82" s="555" t="str">
        <f>REPROGRAMAÇÃO!B73</f>
        <v>PINTURA COM TINTA ALQUÍDICA DE ACABAMENTO (ESMALTE SINTÉTICO
ACETINADO) APLICADA A ROLO OU PINCEL SOBRE SUPERFÍCIES METÁLICAS
(EXCETO PERFIL) EXECUTADO EM OBRA (POR DEMÃO). AF_01/2020</v>
      </c>
      <c r="C82" s="554" t="str">
        <f>REPROGRAMAÇÃO!E73</f>
        <v>M2</v>
      </c>
      <c r="D82" s="386"/>
      <c r="E82" s="386">
        <f>REPROGRAMAÇÃO!J73</f>
        <v>20.05</v>
      </c>
      <c r="F82" s="386">
        <f>REPROGRAMAÇÃO!I73</f>
        <v>150.46</v>
      </c>
      <c r="G82" s="451"/>
      <c r="H82" s="575">
        <v>0</v>
      </c>
      <c r="I82" s="576">
        <f t="shared" si="1"/>
        <v>3016.72</v>
      </c>
      <c r="J82" s="556"/>
      <c r="K82" s="576">
        <f t="shared" si="11"/>
        <v>0</v>
      </c>
      <c r="L82" s="564">
        <f t="shared" si="12"/>
        <v>0</v>
      </c>
    </row>
    <row r="83" spans="1:12" ht="25.5" x14ac:dyDescent="0.25">
      <c r="A83" s="554" t="str">
        <f>REPROGRAMAÇÃO!A74</f>
        <v>5.16</v>
      </c>
      <c r="B83" s="555" t="str">
        <f>REPROGRAMAÇÃO!B74</f>
        <v>Calha em chapa de aço galvanizado nº 26, desenvolvimento 86 cm (fundo=32 cm, laterais=15 cm, bordas=12cm)</v>
      </c>
      <c r="C83" s="554" t="str">
        <f>REPROGRAMAÇÃO!E74</f>
        <v>M</v>
      </c>
      <c r="D83" s="386"/>
      <c r="E83" s="386">
        <f>REPROGRAMAÇÃO!J74</f>
        <v>196.44</v>
      </c>
      <c r="F83" s="386">
        <f>REPROGRAMAÇÃO!I74</f>
        <v>171.5</v>
      </c>
      <c r="G83" s="451"/>
      <c r="H83" s="575">
        <v>156.5</v>
      </c>
      <c r="I83" s="576">
        <f t="shared" si="1"/>
        <v>33689.46</v>
      </c>
      <c r="J83" s="556"/>
      <c r="K83" s="576">
        <f t="shared" si="11"/>
        <v>30742.86</v>
      </c>
      <c r="L83" s="564">
        <f t="shared" si="12"/>
        <v>0.91253644314868809</v>
      </c>
    </row>
    <row r="84" spans="1:12" x14ac:dyDescent="0.25">
      <c r="A84" s="554" t="str">
        <f>REPROGRAMAÇÃO!A75</f>
        <v>5.17</v>
      </c>
      <c r="B84" s="555" t="str">
        <f>REPROGRAMAÇÃO!B75</f>
        <v>FORRO EM PLACAS DE GESSO, PARA AMBIENTES COMERCIAIS. AF_05/2017_P</v>
      </c>
      <c r="C84" s="554" t="str">
        <f>REPROGRAMAÇÃO!E75</f>
        <v>M2</v>
      </c>
      <c r="D84" s="386"/>
      <c r="E84" s="386">
        <f>REPROGRAMAÇÃO!J75</f>
        <v>37.86</v>
      </c>
      <c r="F84" s="386">
        <f>REPROGRAMAÇÃO!I75</f>
        <v>217.41000000000003</v>
      </c>
      <c r="G84" s="451"/>
      <c r="H84" s="451">
        <f>47.2+143.51</f>
        <v>190.70999999999998</v>
      </c>
      <c r="I84" s="576">
        <f t="shared" si="1"/>
        <v>8231.14</v>
      </c>
      <c r="J84" s="576">
        <f t="shared" ref="J84" si="13">ROUND(E84*G84,2)</f>
        <v>0</v>
      </c>
      <c r="K84" s="576">
        <f t="shared" si="11"/>
        <v>7220.28</v>
      </c>
      <c r="L84" s="564">
        <f t="shared" si="12"/>
        <v>0.87719076579914812</v>
      </c>
    </row>
    <row r="85" spans="1:12" x14ac:dyDescent="0.25">
      <c r="A85" s="871"/>
      <c r="B85" s="872"/>
      <c r="C85" s="872"/>
      <c r="D85" s="872"/>
      <c r="E85" s="872"/>
      <c r="F85" s="872"/>
      <c r="G85" s="872"/>
      <c r="H85" s="872"/>
      <c r="I85" s="872"/>
      <c r="J85" s="872"/>
      <c r="K85" s="872"/>
      <c r="L85" s="873"/>
    </row>
    <row r="86" spans="1:12" x14ac:dyDescent="0.25">
      <c r="A86" s="559">
        <f>REPROGRAMAÇÃO!A77</f>
        <v>6</v>
      </c>
      <c r="B86" s="560" t="str">
        <f>REPROGRAMAÇÃO!B77</f>
        <v>PAVIMENTAÇÃO</v>
      </c>
      <c r="C86" s="871"/>
      <c r="D86" s="872"/>
      <c r="E86" s="872"/>
      <c r="F86" s="872"/>
      <c r="G86" s="872"/>
      <c r="H86" s="873"/>
      <c r="I86" s="558">
        <f>SUM(I87+I101)</f>
        <v>171891.02000000002</v>
      </c>
      <c r="J86" s="558">
        <f t="shared" ref="J86:K86" si="14">SUM(J87+J101)</f>
        <v>1391.88</v>
      </c>
      <c r="K86" s="558">
        <f t="shared" si="14"/>
        <v>138132.53</v>
      </c>
      <c r="L86" s="556"/>
    </row>
    <row r="87" spans="1:12" x14ac:dyDescent="0.25">
      <c r="A87" s="559" t="str">
        <f>REPROGRAMAÇÃO!A78</f>
        <v>6.1</v>
      </c>
      <c r="B87" s="560" t="str">
        <f>REPROGRAMAÇÃO!B78</f>
        <v>ÁREA EXTERNA</v>
      </c>
      <c r="C87" s="554"/>
      <c r="D87" s="386"/>
      <c r="E87" s="386"/>
      <c r="F87" s="386"/>
      <c r="G87" s="451"/>
      <c r="H87" s="451"/>
      <c r="I87" s="576">
        <f>SUM(I88:I99)</f>
        <v>95307.16</v>
      </c>
      <c r="J87" s="576">
        <f>SUM(J88:J99)</f>
        <v>1391.88</v>
      </c>
      <c r="K87" s="576">
        <f>SUM(K88:K99)</f>
        <v>94244.49</v>
      </c>
      <c r="L87" s="564">
        <f t="shared" ref="L87:L110" si="15">K87/I87</f>
        <v>0.9888500507202187</v>
      </c>
    </row>
    <row r="88" spans="1:12" ht="25.5" x14ac:dyDescent="0.25">
      <c r="A88" s="554" t="str">
        <f>REPROGRAMAÇÃO!A79</f>
        <v>6.1.1</v>
      </c>
      <c r="B88" s="555" t="str">
        <f>REPROGRAMAÇÃO!B79</f>
        <v>EXECUÇÃO DE PÁTIO/ESTACIONAMENTO EM PISO INTERTRAVADO, COM BLOCO RETANGULAR COLORIDO DE 20 X 10 CM, ESPESSURA 6 CM. AF_12/2015</v>
      </c>
      <c r="C88" s="554" t="str">
        <f>REPROGRAMAÇÃO!E79</f>
        <v>M2</v>
      </c>
      <c r="D88" s="386"/>
      <c r="E88" s="386">
        <f>REPROGRAMAÇÃO!J79</f>
        <v>56.470000000000006</v>
      </c>
      <c r="F88" s="386">
        <f>REPROGRAMAÇÃO!I79</f>
        <v>62.705399999999997</v>
      </c>
      <c r="G88" s="451"/>
      <c r="H88" s="575">
        <v>62.71</v>
      </c>
      <c r="I88" s="576">
        <f t="shared" ref="I88:I148" si="16">ROUND(E88*F88,2)</f>
        <v>3540.97</v>
      </c>
      <c r="J88" s="576">
        <f t="shared" ref="J88:J99" si="17">ROUND(E88*G88,2)</f>
        <v>0</v>
      </c>
      <c r="K88" s="576">
        <f t="shared" ref="K88:K99" si="18">ROUND(H88*E88,2)</f>
        <v>3541.23</v>
      </c>
      <c r="L88" s="564">
        <f t="shared" si="15"/>
        <v>1.000073426208073</v>
      </c>
    </row>
    <row r="89" spans="1:12" ht="25.5" x14ac:dyDescent="0.25">
      <c r="A89" s="554" t="str">
        <f>REPROGRAMAÇÃO!A80</f>
        <v>6.1.2</v>
      </c>
      <c r="B89" s="555" t="str">
        <f>REPROGRAMAÇÃO!B80</f>
        <v>EXECUÇÃO DE PÁTIO/ESTACIONAMENTO EM PISO INTERTRAVADO, COM BLOCO RETANGULAR COR NATURAL DE 20 X 10 CM, ESPESSURA 6 CM. AF_12/2015</v>
      </c>
      <c r="C89" s="554" t="str">
        <f>REPROGRAMAÇÃO!E80</f>
        <v>M2</v>
      </c>
      <c r="D89" s="386"/>
      <c r="E89" s="386">
        <f>REPROGRAMAÇÃO!J80</f>
        <v>50.55</v>
      </c>
      <c r="F89" s="386">
        <f>REPROGRAMAÇÃO!I80</f>
        <v>63.055000000000007</v>
      </c>
      <c r="G89" s="451"/>
      <c r="H89" s="575">
        <v>63.05</v>
      </c>
      <c r="I89" s="576">
        <f t="shared" si="16"/>
        <v>3187.43</v>
      </c>
      <c r="J89" s="576">
        <f t="shared" si="17"/>
        <v>0</v>
      </c>
      <c r="K89" s="576">
        <f t="shared" si="18"/>
        <v>3187.18</v>
      </c>
      <c r="L89" s="564">
        <f t="shared" si="15"/>
        <v>0.99992156690499867</v>
      </c>
    </row>
    <row r="90" spans="1:12" ht="25.5" x14ac:dyDescent="0.25">
      <c r="A90" s="554" t="str">
        <f>REPROGRAMAÇÃO!A81</f>
        <v>6.1.3</v>
      </c>
      <c r="B90" s="555" t="str">
        <f>REPROGRAMAÇÃO!B81</f>
        <v>EXECUÇÃO DE PAVIMENTO EM PISO INTERTRAVADO, COM BLOCO SEXTAVADO DE 25 X 25 CM, ESPESSURA 8 CM. AF_12/2015</v>
      </c>
      <c r="C90" s="554" t="str">
        <f>REPROGRAMAÇÃO!E81</f>
        <v>M2</v>
      </c>
      <c r="D90" s="386"/>
      <c r="E90" s="386">
        <f>REPROGRAMAÇÃO!J81</f>
        <v>62.58</v>
      </c>
      <c r="F90" s="386">
        <f>REPROGRAMAÇÃO!I81</f>
        <v>0</v>
      </c>
      <c r="G90" s="451"/>
      <c r="H90" s="575">
        <f t="shared" ref="H90:H94" si="19">G90</f>
        <v>0</v>
      </c>
      <c r="I90" s="576">
        <f t="shared" si="16"/>
        <v>0</v>
      </c>
      <c r="J90" s="576">
        <f t="shared" si="17"/>
        <v>0</v>
      </c>
      <c r="K90" s="576">
        <f t="shared" si="18"/>
        <v>0</v>
      </c>
      <c r="L90" s="564" t="e">
        <f t="shared" si="15"/>
        <v>#DIV/0!</v>
      </c>
    </row>
    <row r="91" spans="1:12" ht="38.25" x14ac:dyDescent="0.25">
      <c r="A91" s="554" t="str">
        <f>REPROGRAMAÇÃO!A82</f>
        <v>6.1.4</v>
      </c>
      <c r="B91" s="555" t="str">
        <f>REPROGRAMAÇÃO!B82</f>
        <v>Piso em pedra calcárea, cortada, aparelhada e com face aparente lisa e polida, esp=8cm, assentado com argamassa de cimento e areia (1:3) na esp=5cm, esclusive lastro de regularização em concreto simples</v>
      </c>
      <c r="C91" s="554" t="str">
        <f>REPROGRAMAÇÃO!E82</f>
        <v>m2</v>
      </c>
      <c r="D91" s="386"/>
      <c r="E91" s="386">
        <f>REPROGRAMAÇÃO!J82</f>
        <v>176.98999999999998</v>
      </c>
      <c r="F91" s="386">
        <f>REPROGRAMAÇÃO!I82</f>
        <v>107.170000000001</v>
      </c>
      <c r="G91" s="451"/>
      <c r="H91" s="575">
        <v>104.89</v>
      </c>
      <c r="I91" s="576">
        <f t="shared" si="16"/>
        <v>18968.02</v>
      </c>
      <c r="J91" s="576">
        <f t="shared" si="17"/>
        <v>0</v>
      </c>
      <c r="K91" s="576">
        <f t="shared" si="18"/>
        <v>18564.48</v>
      </c>
      <c r="L91" s="564">
        <f t="shared" si="15"/>
        <v>0.97872524385781956</v>
      </c>
    </row>
    <row r="92" spans="1:12" x14ac:dyDescent="0.25">
      <c r="A92" s="554" t="str">
        <f>REPROGRAMAÇÃO!A83</f>
        <v>6.1.5</v>
      </c>
      <c r="B92" s="555" t="str">
        <f>REPROGRAMAÇÃO!B83</f>
        <v>PLANTIO DE GRAMA EM PLACAS. AF_05/2018</v>
      </c>
      <c r="C92" s="554" t="str">
        <f>REPROGRAMAÇÃO!E83</f>
        <v>M2</v>
      </c>
      <c r="D92" s="386"/>
      <c r="E92" s="386">
        <f>REPROGRAMAÇÃO!J83</f>
        <v>15.5</v>
      </c>
      <c r="F92" s="386">
        <f>REPROGRAMAÇÃO!I83</f>
        <v>9.9475983006414026E-13</v>
      </c>
      <c r="G92" s="451"/>
      <c r="H92" s="575">
        <f t="shared" si="19"/>
        <v>0</v>
      </c>
      <c r="I92" s="576">
        <f t="shared" si="16"/>
        <v>0</v>
      </c>
      <c r="J92" s="576">
        <f t="shared" si="17"/>
        <v>0</v>
      </c>
      <c r="K92" s="576">
        <f t="shared" si="18"/>
        <v>0</v>
      </c>
      <c r="L92" s="564" t="e">
        <f t="shared" si="15"/>
        <v>#DIV/0!</v>
      </c>
    </row>
    <row r="93" spans="1:12" ht="38.25" x14ac:dyDescent="0.25">
      <c r="A93" s="554" t="str">
        <f>REPROGRAMAÇÃO!A84</f>
        <v>6.1.6</v>
      </c>
      <c r="B93" s="555" t="str">
        <f>REPROGRAMAÇÃO!B84</f>
        <v>Piso tátil direcional e/ou alerta, de concreto, na cor natural, p/deficientes visuais, dimensões 25x25cm, aplicado com argamassa industrializada ac-ii, rejuntado, exclusive regularização de base</v>
      </c>
      <c r="C93" s="554" t="str">
        <f>REPROGRAMAÇÃO!E84</f>
        <v>m2</v>
      </c>
      <c r="D93" s="386"/>
      <c r="E93" s="386">
        <f>REPROGRAMAÇÃO!J84</f>
        <v>102.24000000000001</v>
      </c>
      <c r="F93" s="386">
        <f>REPROGRAMAÇÃO!I84</f>
        <v>46.04</v>
      </c>
      <c r="G93" s="451"/>
      <c r="H93" s="575">
        <v>44.39</v>
      </c>
      <c r="I93" s="576">
        <f t="shared" si="16"/>
        <v>4707.13</v>
      </c>
      <c r="J93" s="576">
        <f t="shared" si="17"/>
        <v>0</v>
      </c>
      <c r="K93" s="576">
        <f t="shared" si="18"/>
        <v>4538.43</v>
      </c>
      <c r="L93" s="564">
        <f t="shared" si="15"/>
        <v>0.96416075188065764</v>
      </c>
    </row>
    <row r="94" spans="1:12" ht="25.5" x14ac:dyDescent="0.25">
      <c r="A94" s="554" t="str">
        <f>REPROGRAMAÇÃO!A85</f>
        <v>6.1.7</v>
      </c>
      <c r="B94" s="555" t="str">
        <f>REPROGRAMAÇÃO!B85</f>
        <v>Rampa padrão para acesso de deficientes a passeio público, em concreto simples Fck=25MPa, desempolada, pintada em novacor, 02 demãos e piso tátil de alerta/direcional.</v>
      </c>
      <c r="C94" s="554" t="str">
        <f>REPROGRAMAÇÃO!E85</f>
        <v>un</v>
      </c>
      <c r="D94" s="386"/>
      <c r="E94" s="386">
        <f>REPROGRAMAÇÃO!J85</f>
        <v>463.96</v>
      </c>
      <c r="F94" s="386">
        <f>REPROGRAMAÇÃO!I85</f>
        <v>3</v>
      </c>
      <c r="G94" s="451">
        <v>3</v>
      </c>
      <c r="H94" s="575">
        <f t="shared" si="19"/>
        <v>3</v>
      </c>
      <c r="I94" s="576">
        <f t="shared" si="16"/>
        <v>1391.88</v>
      </c>
      <c r="J94" s="576">
        <f t="shared" si="17"/>
        <v>1391.88</v>
      </c>
      <c r="K94" s="576">
        <f t="shared" si="18"/>
        <v>1391.88</v>
      </c>
      <c r="L94" s="564">
        <f t="shared" si="15"/>
        <v>1</v>
      </c>
    </row>
    <row r="95" spans="1:12" ht="51" x14ac:dyDescent="0.25">
      <c r="A95" s="554" t="str">
        <f>REPROGRAMAÇÃO!A86</f>
        <v>6.1.8</v>
      </c>
      <c r="B95" s="555" t="str">
        <f>REPROGRAMAÇÃO!B86</f>
        <v>ASSENTAMENTO DE GUIA (MEIO-FIO) EM TRECHO RETO, CONFECCIONADA EM CONCRETO PRÉ-FABRICADO, DIMENSÕES 100X15X13X30 CM (COMPRIMENTO X BASE INFERIOR X BASE SUPERIOR X ALTURA), PARA VIAS URBANAS (USO VIÁRIO). AF_06/2016</v>
      </c>
      <c r="C95" s="554" t="str">
        <f>REPROGRAMAÇÃO!E86</f>
        <v>M</v>
      </c>
      <c r="D95" s="386"/>
      <c r="E95" s="386">
        <f>REPROGRAMAÇÃO!J86</f>
        <v>58.480000000000004</v>
      </c>
      <c r="F95" s="386">
        <f>REPROGRAMAÇÃO!I86</f>
        <v>199.29999999999998</v>
      </c>
      <c r="G95" s="451"/>
      <c r="H95" s="575">
        <v>199.3</v>
      </c>
      <c r="I95" s="576">
        <f t="shared" si="16"/>
        <v>11655.06</v>
      </c>
      <c r="J95" s="576">
        <f t="shared" si="17"/>
        <v>0</v>
      </c>
      <c r="K95" s="576">
        <f t="shared" si="18"/>
        <v>11655.06</v>
      </c>
      <c r="L95" s="564">
        <f t="shared" si="15"/>
        <v>1</v>
      </c>
    </row>
    <row r="96" spans="1:12" ht="38.25" x14ac:dyDescent="0.25">
      <c r="A96" s="554" t="str">
        <f>REPROGRAMAÇÃO!A87</f>
        <v>6.1.9</v>
      </c>
      <c r="B96" s="555" t="str">
        <f>REPROGRAMAÇÃO!B87</f>
        <v>EXECUÇÃO DE PASSEIO (CALÇADA) OU PISO DE CONCRETO COM CONCRETO MOLDADO IN LOCO, FEITO EM OBRA, ACABAMENTO CONVENCIONAL, NÃO ARMADO. AF_07/2016</v>
      </c>
      <c r="C96" s="554" t="str">
        <f>REPROGRAMAÇÃO!E87</f>
        <v>M3</v>
      </c>
      <c r="D96" s="386"/>
      <c r="E96" s="386">
        <f>REPROGRAMAÇÃO!J87</f>
        <v>717.24</v>
      </c>
      <c r="F96" s="386">
        <f>REPROGRAMAÇÃO!I87</f>
        <v>9.0304000000000002</v>
      </c>
      <c r="G96" s="451"/>
      <c r="H96" s="575">
        <v>9.0299999999999994</v>
      </c>
      <c r="I96" s="576">
        <f t="shared" si="16"/>
        <v>6476.96</v>
      </c>
      <c r="J96" s="576">
        <f t="shared" si="17"/>
        <v>0</v>
      </c>
      <c r="K96" s="576">
        <f t="shared" si="18"/>
        <v>6476.68</v>
      </c>
      <c r="L96" s="564">
        <f t="shared" si="15"/>
        <v>0.99995676984264226</v>
      </c>
    </row>
    <row r="97" spans="1:12" ht="25.5" x14ac:dyDescent="0.25">
      <c r="A97" s="554" t="str">
        <f>REPROGRAMAÇÃO!A88</f>
        <v>6.1.10</v>
      </c>
      <c r="B97" s="555" t="str">
        <f>REPROGRAMAÇÃO!B88</f>
        <v>LASTRO DE CONCRETO MAGRO, APLICADO EM PISOS, LAJES SOBRE SOLO OU RADIERS, ESPESSURA DE 5 CM. AF_07/2016</v>
      </c>
      <c r="C97" s="554" t="str">
        <f>REPROGRAMAÇÃO!E88</f>
        <v>M2</v>
      </c>
      <c r="D97" s="386"/>
      <c r="E97" s="386">
        <f>REPROGRAMAÇÃO!J88</f>
        <v>27.130000000000003</v>
      </c>
      <c r="F97" s="386">
        <f>REPROGRAMAÇÃO!I88</f>
        <v>157.1919</v>
      </c>
      <c r="G97" s="451"/>
      <c r="H97" s="575">
        <v>157.19</v>
      </c>
      <c r="I97" s="576">
        <f t="shared" si="16"/>
        <v>4264.62</v>
      </c>
      <c r="J97" s="576">
        <f t="shared" si="17"/>
        <v>0</v>
      </c>
      <c r="K97" s="576">
        <f t="shared" si="18"/>
        <v>4264.5600000000004</v>
      </c>
      <c r="L97" s="564">
        <f t="shared" si="15"/>
        <v>0.99998593075115727</v>
      </c>
    </row>
    <row r="98" spans="1:12" ht="25.5" x14ac:dyDescent="0.25">
      <c r="A98" s="554" t="str">
        <f>REPROGRAMAÇÃO!A89</f>
        <v>6.1.11</v>
      </c>
      <c r="B98" s="555" t="str">
        <f>REPROGRAMAÇÃO!B89</f>
        <v>Fornecimento e instalação de tela aço soldada nervurada CA-60, Q-92, malha 15x15cm, ferro 4.2mm (1.48 kg/m2), painel 2,45x6,0m, Telcon ou similar</v>
      </c>
      <c r="C98" s="554" t="str">
        <f>REPROGRAMAÇÃO!E89</f>
        <v>m2</v>
      </c>
      <c r="D98" s="386"/>
      <c r="E98" s="386">
        <f>REPROGRAMAÇÃO!J89</f>
        <v>44.04</v>
      </c>
      <c r="F98" s="386">
        <f>REPROGRAMAÇÃO!I89</f>
        <v>96.800000000000011</v>
      </c>
      <c r="G98" s="451"/>
      <c r="H98" s="575">
        <v>85.67</v>
      </c>
      <c r="I98" s="576">
        <f t="shared" si="16"/>
        <v>4263.07</v>
      </c>
      <c r="J98" s="576">
        <f t="shared" si="17"/>
        <v>0</v>
      </c>
      <c r="K98" s="576">
        <f t="shared" si="18"/>
        <v>3772.91</v>
      </c>
      <c r="L98" s="564">
        <f t="shared" si="15"/>
        <v>0.88502182699322318</v>
      </c>
    </row>
    <row r="99" spans="1:12" ht="25.5" x14ac:dyDescent="0.25">
      <c r="A99" s="554" t="str">
        <f>REPROGRAMAÇÃO!A90</f>
        <v>6.1.12</v>
      </c>
      <c r="B99" s="555" t="str">
        <f>REPROGRAMAÇÃO!B90</f>
        <v>EXECUÇÃO DE PÁTIO/ESTACIONAMENTO EM PISO INTERTRAVADO, COM BLOCO
RETANGULAR COR NATURAL DE 20 X 10 CM, ESPESSURA 8 CM. AF_12/2015</v>
      </c>
      <c r="C99" s="554" t="str">
        <f>REPROGRAMAÇÃO!E90</f>
        <v>m2</v>
      </c>
      <c r="D99" s="386"/>
      <c r="E99" s="386">
        <f>REPROGRAMAÇÃO!J90</f>
        <v>64.33</v>
      </c>
      <c r="F99" s="386">
        <f>REPROGRAMAÇÃO!I90</f>
        <v>572.85900000000004</v>
      </c>
      <c r="G99" s="451"/>
      <c r="H99" s="575">
        <v>572.86</v>
      </c>
      <c r="I99" s="576">
        <f t="shared" si="16"/>
        <v>36852.019999999997</v>
      </c>
      <c r="J99" s="576">
        <f t="shared" si="17"/>
        <v>0</v>
      </c>
      <c r="K99" s="576">
        <f t="shared" si="18"/>
        <v>36852.080000000002</v>
      </c>
      <c r="L99" s="564">
        <f t="shared" si="15"/>
        <v>1.0000016281332749</v>
      </c>
    </row>
    <row r="100" spans="1:12" x14ac:dyDescent="0.25">
      <c r="A100" s="554"/>
      <c r="B100" s="555"/>
      <c r="C100" s="554"/>
      <c r="D100" s="386"/>
      <c r="E100" s="386"/>
      <c r="F100" s="386"/>
      <c r="G100" s="451"/>
      <c r="H100" s="451"/>
      <c r="I100" s="556"/>
      <c r="J100" s="556"/>
      <c r="K100" s="556"/>
      <c r="L100" s="556"/>
    </row>
    <row r="101" spans="1:12" x14ac:dyDescent="0.25">
      <c r="A101" s="559" t="str">
        <f>REPROGRAMAÇÃO!A92</f>
        <v>6.2</v>
      </c>
      <c r="B101" s="560" t="str">
        <f>REPROGRAMAÇÃO!B92</f>
        <v>ÁREA INTERNA</v>
      </c>
      <c r="C101" s="554"/>
      <c r="D101" s="386"/>
      <c r="E101" s="386"/>
      <c r="F101" s="386"/>
      <c r="G101" s="451"/>
      <c r="H101" s="451"/>
      <c r="I101" s="576">
        <f>SUM(I102:I110)</f>
        <v>76583.86</v>
      </c>
      <c r="J101" s="576">
        <f t="shared" ref="J101:K101" si="20">SUM(J102:J110)</f>
        <v>0</v>
      </c>
      <c r="K101" s="576">
        <f t="shared" si="20"/>
        <v>43888.04</v>
      </c>
      <c r="L101" s="564">
        <f t="shared" si="15"/>
        <v>0.57307166288040323</v>
      </c>
    </row>
    <row r="102" spans="1:12" ht="25.5" x14ac:dyDescent="0.25">
      <c r="A102" s="554" t="str">
        <f>REPROGRAMAÇÃO!A93</f>
        <v>6.2.1</v>
      </c>
      <c r="B102" s="555" t="str">
        <f>REPROGRAMAÇÃO!B93</f>
        <v>CAMADA SEPARADORA PARA EXECUÇÃO DE RADIER, PISO DE CONCRETO OU LAJE SOBRE SOLO, EM LONA PLÁSTICA. AF_09/2021</v>
      </c>
      <c r="C102" s="554" t="str">
        <f>REPROGRAMAÇÃO!E93</f>
        <v>M2</v>
      </c>
      <c r="D102" s="386"/>
      <c r="E102" s="386">
        <f>REPROGRAMAÇÃO!J93</f>
        <v>2.83</v>
      </c>
      <c r="F102" s="386">
        <f>REPROGRAMAÇÃO!I93</f>
        <v>204.98750000000001</v>
      </c>
      <c r="G102" s="451"/>
      <c r="H102" s="575">
        <v>204.99</v>
      </c>
      <c r="I102" s="576">
        <f t="shared" si="16"/>
        <v>580.11</v>
      </c>
      <c r="J102" s="576">
        <f t="shared" ref="J102:J110" si="21">ROUND(E102*G102,2)</f>
        <v>0</v>
      </c>
      <c r="K102" s="576">
        <f t="shared" ref="K102:K110" si="22">ROUND(H102*E102,2)</f>
        <v>580.12</v>
      </c>
      <c r="L102" s="564">
        <f t="shared" si="15"/>
        <v>1.0000172381100136</v>
      </c>
    </row>
    <row r="103" spans="1:12" ht="25.5" x14ac:dyDescent="0.25">
      <c r="A103" s="554" t="str">
        <f>REPROGRAMAÇÃO!A94</f>
        <v>6.2.2</v>
      </c>
      <c r="B103" s="555" t="str">
        <f>REPROGRAMAÇÃO!B94</f>
        <v>LASTRO DE CONCRETO MAGRO, APLICADO EM PISOS, LAJES SOBRE SOLO OU RADIERS, ESPESSURA DE 5 CM. AF_07/2016</v>
      </c>
      <c r="C103" s="554" t="str">
        <f>REPROGRAMAÇÃO!E94</f>
        <v>M2</v>
      </c>
      <c r="D103" s="386"/>
      <c r="E103" s="386">
        <f>REPROGRAMAÇÃO!J94</f>
        <v>27.130000000000003</v>
      </c>
      <c r="F103" s="386">
        <f>REPROGRAMAÇÃO!I94</f>
        <v>425.16989999999993</v>
      </c>
      <c r="G103" s="451"/>
      <c r="H103" s="575">
        <v>306.62</v>
      </c>
      <c r="I103" s="576">
        <f t="shared" si="16"/>
        <v>11534.86</v>
      </c>
      <c r="J103" s="576">
        <f t="shared" si="21"/>
        <v>0</v>
      </c>
      <c r="K103" s="576">
        <f t="shared" si="22"/>
        <v>8318.6</v>
      </c>
      <c r="L103" s="564">
        <f t="shared" si="15"/>
        <v>0.72117043466500674</v>
      </c>
    </row>
    <row r="104" spans="1:12" ht="25.5" x14ac:dyDescent="0.25">
      <c r="A104" s="554" t="str">
        <f>REPROGRAMAÇÃO!A95</f>
        <v>6.2.3</v>
      </c>
      <c r="B104" s="555" t="str">
        <f>REPROGRAMAÇÃO!B95</f>
        <v>Fornecimento e instalação de tela aço soldada nervurada CA-60, Q-92, malha 15x15cm, ferro 4.2mm (1.48 kg/m2), painel 2,45x6,0m, Telcon ou similar</v>
      </c>
      <c r="C104" s="554" t="str">
        <f>REPROGRAMAÇÃO!E95</f>
        <v>m2</v>
      </c>
      <c r="D104" s="386"/>
      <c r="E104" s="386">
        <f>REPROGRAMAÇÃO!J95</f>
        <v>44.04</v>
      </c>
      <c r="F104" s="386">
        <f>REPROGRAMAÇÃO!I95</f>
        <v>204.98750000000001</v>
      </c>
      <c r="G104" s="451"/>
      <c r="H104" s="575">
        <v>204.99</v>
      </c>
      <c r="I104" s="576">
        <f t="shared" si="16"/>
        <v>9027.65</v>
      </c>
      <c r="J104" s="576">
        <f t="shared" si="21"/>
        <v>0</v>
      </c>
      <c r="K104" s="576">
        <f t="shared" si="22"/>
        <v>9027.76</v>
      </c>
      <c r="L104" s="564">
        <f t="shared" si="15"/>
        <v>1.0000121847878463</v>
      </c>
    </row>
    <row r="105" spans="1:12" ht="38.25" x14ac:dyDescent="0.25">
      <c r="A105" s="554" t="str">
        <f>REPROGRAMAÇÃO!A96</f>
        <v>6.2.4</v>
      </c>
      <c r="B105" s="555" t="str">
        <f>REPROGRAMAÇÃO!B96</f>
        <v>CONTRAPISO EM ARGAMASSA TRAÇO 1:4 (CIMENTO E AREIA), PREPARO MECÂNICO COM BETONEIRA 400 L, APLICADO EM ÁREAS SECAS SOBRE LAJE, ADERIDO, ACABAMENTO NÃO REFORÇADO, ESPESSURA 3CM. AF_07/2021</v>
      </c>
      <c r="C105" s="554" t="str">
        <f>REPROGRAMAÇÃO!E96</f>
        <v>M2</v>
      </c>
      <c r="D105" s="386"/>
      <c r="E105" s="386">
        <f>REPROGRAMAÇÃO!J96</f>
        <v>33.369999999999997</v>
      </c>
      <c r="F105" s="386">
        <f>REPROGRAMAÇÃO!I96</f>
        <v>463.3223999999999</v>
      </c>
      <c r="G105" s="451"/>
      <c r="H105" s="575">
        <v>425.17</v>
      </c>
      <c r="I105" s="576">
        <f t="shared" si="16"/>
        <v>15461.07</v>
      </c>
      <c r="J105" s="576">
        <f t="shared" si="21"/>
        <v>0</v>
      </c>
      <c r="K105" s="576">
        <f t="shared" si="22"/>
        <v>14187.92</v>
      </c>
      <c r="L105" s="564">
        <f t="shared" si="15"/>
        <v>0.91765447022748103</v>
      </c>
    </row>
    <row r="106" spans="1:12" ht="25.5" x14ac:dyDescent="0.25">
      <c r="A106" s="554" t="str">
        <f>REPROGRAMAÇÃO!A97</f>
        <v>6.2.5</v>
      </c>
      <c r="B106" s="555" t="str">
        <f>REPROGRAMAÇÃO!B97</f>
        <v>REVESTIMENTO CERÂMICA PARA PISO COM PLACAS TIPO ESMALTADA EXTRA DE DIMENSÕES 60X60CM, NA COR BRANCA PEI 5</v>
      </c>
      <c r="C106" s="554" t="str">
        <f>REPROGRAMAÇÃO!E97</f>
        <v>M2</v>
      </c>
      <c r="D106" s="386"/>
      <c r="E106" s="386">
        <f>REPROGRAMAÇÃO!J97</f>
        <v>76.56</v>
      </c>
      <c r="F106" s="386">
        <f>REPROGRAMAÇÃO!I97</f>
        <v>84.764999999999986</v>
      </c>
      <c r="G106" s="451"/>
      <c r="H106" s="575">
        <v>46.61</v>
      </c>
      <c r="I106" s="576">
        <f t="shared" si="16"/>
        <v>6489.61</v>
      </c>
      <c r="J106" s="576">
        <f t="shared" si="21"/>
        <v>0</v>
      </c>
      <c r="K106" s="576">
        <f t="shared" si="22"/>
        <v>3568.46</v>
      </c>
      <c r="L106" s="564">
        <f t="shared" si="15"/>
        <v>0.54987279667037003</v>
      </c>
    </row>
    <row r="107" spans="1:12" ht="25.5" x14ac:dyDescent="0.25">
      <c r="A107" s="554" t="str">
        <f>REPROGRAMAÇÃO!A98</f>
        <v>6.2.6</v>
      </c>
      <c r="B107" s="555" t="str">
        <f>REPROGRAMAÇÃO!B98</f>
        <v>RODAPÉ CERÂMICO DE 7CM DE ALTURA COM PLACAS TIPO ESMALTADA EXTRA DE DIMENSÕES 60X60CM. AF_06/2014</v>
      </c>
      <c r="C107" s="554" t="str">
        <f>REPROGRAMAÇÃO!E98</f>
        <v>M</v>
      </c>
      <c r="D107" s="386"/>
      <c r="E107" s="386">
        <f>REPROGRAMAÇÃO!J98</f>
        <v>20.3</v>
      </c>
      <c r="F107" s="386">
        <f>REPROGRAMAÇÃO!I98</f>
        <v>75</v>
      </c>
      <c r="G107" s="451"/>
      <c r="H107" s="575">
        <v>39.78</v>
      </c>
      <c r="I107" s="576">
        <f t="shared" si="16"/>
        <v>1522.5</v>
      </c>
      <c r="J107" s="576">
        <f t="shared" si="21"/>
        <v>0</v>
      </c>
      <c r="K107" s="576">
        <f t="shared" si="22"/>
        <v>807.53</v>
      </c>
      <c r="L107" s="564">
        <f t="shared" si="15"/>
        <v>0.53039737274220033</v>
      </c>
    </row>
    <row r="108" spans="1:12" x14ac:dyDescent="0.25">
      <c r="A108" s="554" t="str">
        <f>REPROGRAMAÇÃO!A99</f>
        <v>6.2.7</v>
      </c>
      <c r="B108" s="555" t="str">
        <f>REPROGRAMAÇÃO!B99</f>
        <v>SOLEIRA EM GRANITO, LARGURA 15 CM, ESPESSURA 2,0 CM. AF_09/2020</v>
      </c>
      <c r="C108" s="554" t="str">
        <f>REPROGRAMAÇÃO!E99</f>
        <v>M</v>
      </c>
      <c r="D108" s="386"/>
      <c r="E108" s="386">
        <f>REPROGRAMAÇÃO!J99</f>
        <v>92.240000000000009</v>
      </c>
      <c r="F108" s="386">
        <f>REPROGRAMAÇÃO!I99</f>
        <v>77.7</v>
      </c>
      <c r="G108" s="451"/>
      <c r="H108" s="575">
        <f>77.7+2.5</f>
        <v>80.2</v>
      </c>
      <c r="I108" s="576">
        <f t="shared" si="16"/>
        <v>7167.05</v>
      </c>
      <c r="J108" s="576">
        <f t="shared" si="21"/>
        <v>0</v>
      </c>
      <c r="K108" s="576">
        <f t="shared" si="22"/>
        <v>7397.65</v>
      </c>
      <c r="L108" s="564">
        <f t="shared" si="15"/>
        <v>1.0321750231964335</v>
      </c>
    </row>
    <row r="109" spans="1:12" x14ac:dyDescent="0.25">
      <c r="A109" s="554" t="str">
        <f>REPROGRAMAÇÃO!A100</f>
        <v>6.2.8</v>
      </c>
      <c r="B109" s="555" t="str">
        <f>REPROGRAMAÇÃO!B100</f>
        <v>PISO EM GRANITO APLICADO EM CALÇADAS OU PISOS EXTERNOS. AF_05/2020</v>
      </c>
      <c r="C109" s="554" t="str">
        <f>REPROGRAMAÇÃO!E100</f>
        <v>M2</v>
      </c>
      <c r="D109" s="386"/>
      <c r="E109" s="386">
        <f>REPROGRAMAÇÃO!J100</f>
        <v>365.47</v>
      </c>
      <c r="F109" s="386">
        <f>REPROGRAMAÇÃO!I100</f>
        <v>1.000088900582341E-12</v>
      </c>
      <c r="G109" s="451"/>
      <c r="H109" s="575">
        <v>0</v>
      </c>
      <c r="I109" s="576">
        <f t="shared" si="16"/>
        <v>0</v>
      </c>
      <c r="J109" s="576">
        <f t="shared" si="21"/>
        <v>0</v>
      </c>
      <c r="K109" s="576">
        <f t="shared" si="22"/>
        <v>0</v>
      </c>
      <c r="L109" s="564" t="e">
        <f t="shared" si="15"/>
        <v>#DIV/0!</v>
      </c>
    </row>
    <row r="110" spans="1:12" x14ac:dyDescent="0.25">
      <c r="A110" s="554" t="str">
        <f>REPROGRAMAÇÃO!A101</f>
        <v>6.2.9</v>
      </c>
      <c r="B110" s="555" t="str">
        <f>REPROGRAMAÇÃO!B101</f>
        <v>PISO TÊXTIL (CARPETE) EM MANTA (ROLO) E = 6 A 7 MM. AF_09/2020</v>
      </c>
      <c r="C110" s="554" t="str">
        <f>REPROGRAMAÇÃO!E101</f>
        <v>M2</v>
      </c>
      <c r="D110" s="386"/>
      <c r="E110" s="386">
        <f>REPROGRAMAÇÃO!J101</f>
        <v>155.20999999999998</v>
      </c>
      <c r="F110" s="386">
        <f>REPROGRAMAÇÃO!I101</f>
        <v>159.79</v>
      </c>
      <c r="G110" s="451"/>
      <c r="H110" s="575">
        <v>0</v>
      </c>
      <c r="I110" s="576">
        <f t="shared" si="16"/>
        <v>24801.01</v>
      </c>
      <c r="J110" s="576">
        <f t="shared" si="21"/>
        <v>0</v>
      </c>
      <c r="K110" s="576">
        <f t="shared" si="22"/>
        <v>0</v>
      </c>
      <c r="L110" s="564">
        <f t="shared" si="15"/>
        <v>0</v>
      </c>
    </row>
    <row r="111" spans="1:12" x14ac:dyDescent="0.25">
      <c r="A111" s="871"/>
      <c r="B111" s="872"/>
      <c r="C111" s="872"/>
      <c r="D111" s="872"/>
      <c r="E111" s="872"/>
      <c r="F111" s="872"/>
      <c r="G111" s="872"/>
      <c r="H111" s="872"/>
      <c r="I111" s="872"/>
      <c r="J111" s="872"/>
      <c r="K111" s="872"/>
      <c r="L111" s="873"/>
    </row>
    <row r="112" spans="1:12" x14ac:dyDescent="0.25">
      <c r="A112" s="559">
        <f>REPROGRAMAÇÃO!A103</f>
        <v>7</v>
      </c>
      <c r="B112" s="560" t="str">
        <f>REPROGRAMAÇÃO!B103</f>
        <v>REVESTIMENTOS</v>
      </c>
      <c r="C112" s="871"/>
      <c r="D112" s="872"/>
      <c r="E112" s="872"/>
      <c r="F112" s="872"/>
      <c r="G112" s="872"/>
      <c r="H112" s="873"/>
      <c r="I112" s="558">
        <f>SUM(I113:I120)</f>
        <v>149950.35999999999</v>
      </c>
      <c r="J112" s="558">
        <f t="shared" ref="J112:K112" si="23">SUM(J113:J120)</f>
        <v>15536.419999999998</v>
      </c>
      <c r="K112" s="558">
        <f t="shared" si="23"/>
        <v>79340.959999999992</v>
      </c>
      <c r="L112" s="556"/>
    </row>
    <row r="113" spans="1:12" ht="38.25" x14ac:dyDescent="0.25">
      <c r="A113" s="554" t="str">
        <f>REPROGRAMAÇÃO!A104</f>
        <v>7.1</v>
      </c>
      <c r="B113" s="555" t="str">
        <f>REPROGRAMAÇÃO!B104</f>
        <v>CHAPISCO APLICADO EM ALVENARIAS E ESTRUTURAS DE CONCRETO INTERNAS, COM COLHER DE PEDREIRO. ARGAMASSA TRAÇO 1:3 COM PREPARO EM BETONEIRA 400L. AF_06/2014</v>
      </c>
      <c r="C113" s="554" t="str">
        <f>REPROGRAMAÇÃO!E104</f>
        <v>M2</v>
      </c>
      <c r="D113" s="386"/>
      <c r="E113" s="386">
        <f>REPROGRAMAÇÃO!J104</f>
        <v>3.58</v>
      </c>
      <c r="F113" s="386">
        <f>REPROGRAMAÇÃO!I104</f>
        <v>1062.375</v>
      </c>
      <c r="G113" s="451"/>
      <c r="H113" s="575">
        <v>817.54</v>
      </c>
      <c r="I113" s="576">
        <f t="shared" si="16"/>
        <v>3803.3</v>
      </c>
      <c r="J113" s="576">
        <f t="shared" ref="J113:J119" si="24">ROUND(E113*G113,2)</f>
        <v>0</v>
      </c>
      <c r="K113" s="576">
        <f t="shared" ref="K113:K120" si="25">ROUND(H113*E113,2)</f>
        <v>2926.79</v>
      </c>
      <c r="L113" s="564">
        <f t="shared" ref="L113:L156" si="26">K113/I113</f>
        <v>0.76953961033839025</v>
      </c>
    </row>
    <row r="114" spans="1:12" ht="51" x14ac:dyDescent="0.25">
      <c r="A114" s="554" t="str">
        <f>REPROGRAMAÇÃO!A105</f>
        <v>7.2</v>
      </c>
      <c r="B114" s="555" t="str">
        <f>REPROGRAMAÇÃO!B105</f>
        <v>MASSA ÚNICA, PARA RECEBIMENTO DE PINTURA, EM ARGAMASSA TRAÇO 1:2:8, PREPARO MECÂNICO COM BETONEIRA 400L, APLICADA MANUALMENTE EM FACES INTERNAS DE PAREDES, ESPESSURA DE 20MM, COM EXECUÇÃO DE TALISCAS. AF_06/2014</v>
      </c>
      <c r="C114" s="554" t="str">
        <f>REPROGRAMAÇÃO!E105</f>
        <v>M2</v>
      </c>
      <c r="D114" s="386"/>
      <c r="E114" s="386">
        <f>REPROGRAMAÇÃO!J105</f>
        <v>30.02</v>
      </c>
      <c r="F114" s="386">
        <f>REPROGRAMAÇÃO!I105</f>
        <v>1085.150000000001</v>
      </c>
      <c r="G114" s="451"/>
      <c r="H114" s="575">
        <v>838.13</v>
      </c>
      <c r="I114" s="576">
        <f t="shared" si="16"/>
        <v>32576.2</v>
      </c>
      <c r="J114" s="576">
        <f t="shared" si="24"/>
        <v>0</v>
      </c>
      <c r="K114" s="576">
        <f t="shared" si="25"/>
        <v>25160.66</v>
      </c>
      <c r="L114" s="564">
        <f t="shared" si="26"/>
        <v>0.77236325906643499</v>
      </c>
    </row>
    <row r="115" spans="1:12" ht="38.25" x14ac:dyDescent="0.25">
      <c r="A115" s="554" t="str">
        <f>REPROGRAMAÇÃO!A106</f>
        <v>7.3</v>
      </c>
      <c r="B115" s="555" t="str">
        <f>REPROGRAMAÇÃO!B106</f>
        <v>EMBOÇO OU MASSA ÚNICA EM ARGAMASSA TRAÇO 1:2:8, PREPARO MECÂNICO COM BETONEIRA 400 L, APLICADA MANUALMENTE EM PANOS CEGOS DE FACHADA (SEM PRESENÇA DE VÃOS), ESPESSURA MAIOR OU IGUAL A 50 MM. AF_06/2014</v>
      </c>
      <c r="C115" s="554" t="str">
        <f>REPROGRAMAÇÃO!E106</f>
        <v>M2</v>
      </c>
      <c r="D115" s="386"/>
      <c r="E115" s="386">
        <f>REPROGRAMAÇÃO!J106</f>
        <v>54.81</v>
      </c>
      <c r="F115" s="386">
        <f>REPROGRAMAÇÃO!I106</f>
        <v>138.219999999999</v>
      </c>
      <c r="G115" s="451"/>
      <c r="H115" s="575">
        <v>42.54</v>
      </c>
      <c r="I115" s="576">
        <f t="shared" si="16"/>
        <v>7575.84</v>
      </c>
      <c r="J115" s="576">
        <f t="shared" si="24"/>
        <v>0</v>
      </c>
      <c r="K115" s="576">
        <f t="shared" si="25"/>
        <v>2331.62</v>
      </c>
      <c r="L115" s="564">
        <f t="shared" si="26"/>
        <v>0.30777049145705293</v>
      </c>
    </row>
    <row r="116" spans="1:12" ht="51" x14ac:dyDescent="0.25">
      <c r="A116" s="554" t="str">
        <f>REPROGRAMAÇÃO!A107</f>
        <v>7.4</v>
      </c>
      <c r="B116" s="555" t="str">
        <f>REPROGRAMAÇÃO!B107</f>
        <v>EMBOÇO, PARA RECEBIMENTO DE CERÂMICA, EM ARGAMASSA TRAÇO 1:2:8, PREPARO MECÂNICO COM BETONEIRA 400L, APLICADO MANUALMENTE EM FACES INTERNAS DE PAREDES, PARA AMBIENTE COM ÁREA ENTRE 5M2 E 10M2, ESPESSURA DE 20MM, COM EXECUÇÃO DE TALISCAS. AF_06/2014</v>
      </c>
      <c r="C116" s="554" t="str">
        <f>REPROGRAMAÇÃO!E107</f>
        <v>M2</v>
      </c>
      <c r="D116" s="386"/>
      <c r="E116" s="386">
        <f>REPROGRAMAÇÃO!J107</f>
        <v>28.92</v>
      </c>
      <c r="F116" s="386">
        <f>REPROGRAMAÇÃO!I107</f>
        <v>7.780000000001003</v>
      </c>
      <c r="G116" s="451"/>
      <c r="H116" s="575">
        <v>0</v>
      </c>
      <c r="I116" s="576">
        <f t="shared" si="16"/>
        <v>225</v>
      </c>
      <c r="J116" s="576">
        <f t="shared" si="24"/>
        <v>0</v>
      </c>
      <c r="K116" s="576">
        <f t="shared" si="25"/>
        <v>0</v>
      </c>
      <c r="L116" s="564">
        <f t="shared" si="26"/>
        <v>0</v>
      </c>
    </row>
    <row r="117" spans="1:12" ht="38.25" x14ac:dyDescent="0.25">
      <c r="A117" s="554" t="str">
        <f>REPROGRAMAÇÃO!A108</f>
        <v>7.5</v>
      </c>
      <c r="B117" s="555" t="str">
        <f>REPROGRAMAÇÃO!B108</f>
        <v>REVESTIMENTO CERÂMICO PARA PAREDES INTERNAS COM PLACAS TIPO ESMALTADA EXTRA DE DIMENSÕES 33X45 CM APLICADAS EM AMBIENTES DE ÁREA MAIOR QUE 5 M² NA ALTURA INTEIRA DAS PAREDES. AF_06/2014</v>
      </c>
      <c r="C117" s="554" t="str">
        <f>REPROGRAMAÇÃO!E108</f>
        <v>M2</v>
      </c>
      <c r="D117" s="386"/>
      <c r="E117" s="386">
        <f>REPROGRAMAÇÃO!J108</f>
        <v>82.03</v>
      </c>
      <c r="F117" s="386">
        <f>REPROGRAMAÇÃO!I108</f>
        <v>46.609999999999985</v>
      </c>
      <c r="G117" s="451"/>
      <c r="H117" s="575">
        <v>45.24</v>
      </c>
      <c r="I117" s="576">
        <f t="shared" si="16"/>
        <v>3823.42</v>
      </c>
      <c r="J117" s="576">
        <f t="shared" si="24"/>
        <v>0</v>
      </c>
      <c r="K117" s="576">
        <f>ROUND(H117*E117,2)</f>
        <v>3711.04</v>
      </c>
      <c r="L117" s="564">
        <f t="shared" si="26"/>
        <v>0.97060746661366004</v>
      </c>
    </row>
    <row r="118" spans="1:12" ht="38.25" x14ac:dyDescent="0.25">
      <c r="A118" s="554" t="str">
        <f>REPROGRAMAÇÃO!A109</f>
        <v>7.6</v>
      </c>
      <c r="B118" s="555" t="str">
        <f>REPROGRAMAÇÃO!B109</f>
        <v>Revestimento cerâmico para piso ou parede, 61 x 61 cm, c/ piso porcelanato merano branco, INCEPA ou similar, PEI 5, aplicado com argamassa industrializada ac-iii, rejuntado, exclusive regularização de base ou emboço</v>
      </c>
      <c r="C118" s="554" t="str">
        <f>REPROGRAMAÇÃO!E109</f>
        <v>m2</v>
      </c>
      <c r="D118" s="386"/>
      <c r="E118" s="386">
        <f>REPROGRAMAÇÃO!J109</f>
        <v>91.13</v>
      </c>
      <c r="F118" s="386">
        <f>REPROGRAMAÇÃO!I109</f>
        <v>266.86000000000098</v>
      </c>
      <c r="G118" s="451">
        <f>'Memorial 18'!L23</f>
        <v>128.69309999999996</v>
      </c>
      <c r="H118" s="575">
        <v>83.01</v>
      </c>
      <c r="I118" s="576">
        <f t="shared" si="16"/>
        <v>24318.95</v>
      </c>
      <c r="J118" s="576">
        <f t="shared" si="24"/>
        <v>11727.8</v>
      </c>
      <c r="K118" s="576">
        <f t="shared" si="25"/>
        <v>7564.7</v>
      </c>
      <c r="L118" s="564">
        <f t="shared" si="26"/>
        <v>0.31106194963187145</v>
      </c>
    </row>
    <row r="119" spans="1:12" ht="25.5" x14ac:dyDescent="0.25">
      <c r="A119" s="554" t="str">
        <f>REPROGRAMAÇÃO!A110</f>
        <v>7.7</v>
      </c>
      <c r="B119" s="555" t="str">
        <f>REPROGRAMAÇÃO!B110</f>
        <v>CARPETE DE NYLON EM MANTA PARA TRAFEGO COMERCIAL PESADO, E = 6 A 7 MM (INSTALADO)</v>
      </c>
      <c r="C119" s="554" t="str">
        <f>REPROGRAMAÇÃO!E110</f>
        <v>M2</v>
      </c>
      <c r="D119" s="386"/>
      <c r="E119" s="386">
        <f>REPROGRAMAÇÃO!J110</f>
        <v>155.20999999999998</v>
      </c>
      <c r="F119" s="386">
        <f>REPROGRAMAÇÃO!I110</f>
        <v>232.520000000001</v>
      </c>
      <c r="G119" s="451"/>
      <c r="H119" s="575">
        <v>0</v>
      </c>
      <c r="I119" s="576">
        <f t="shared" si="16"/>
        <v>36089.43</v>
      </c>
      <c r="J119" s="576">
        <f t="shared" si="24"/>
        <v>0</v>
      </c>
      <c r="K119" s="576">
        <f t="shared" si="25"/>
        <v>0</v>
      </c>
      <c r="L119" s="564">
        <f t="shared" si="26"/>
        <v>0</v>
      </c>
    </row>
    <row r="120" spans="1:12" ht="38.25" x14ac:dyDescent="0.25">
      <c r="A120" s="554" t="str">
        <f>REPROGRAMAÇÃO!A111</f>
        <v>7.8</v>
      </c>
      <c r="B120" s="555" t="str">
        <f>REPROGRAMAÇÃO!B111</f>
        <v>Revestimento cerâmico para piso ou parede, 60 x 60 cm, porcelanato, linha travertino navona, crema, Portobello ou similar, aplicado com argamassa industrializada ac-i, rejuntado, exclusive regularização de base ou emboço - Rev 02</v>
      </c>
      <c r="C120" s="554" t="str">
        <f>REPROGRAMAÇÃO!E111</f>
        <v>m2</v>
      </c>
      <c r="D120" s="386"/>
      <c r="E120" s="386">
        <f>REPROGRAMAÇÃO!J111</f>
        <v>228.00648487499998</v>
      </c>
      <c r="F120" s="386">
        <f>REPROGRAMAÇÃO!I111</f>
        <v>182.17999999999998</v>
      </c>
      <c r="G120" s="451">
        <f>'Memorial 18'!L52</f>
        <v>16.704000000000008</v>
      </c>
      <c r="H120" s="451">
        <v>165.11</v>
      </c>
      <c r="I120" s="576">
        <f t="shared" si="16"/>
        <v>41538.22</v>
      </c>
      <c r="J120" s="576">
        <f t="shared" ref="J120" si="27">ROUND(E120*G120,2)</f>
        <v>3808.62</v>
      </c>
      <c r="K120" s="576">
        <f t="shared" si="25"/>
        <v>37646.15</v>
      </c>
      <c r="L120" s="564">
        <f t="shared" si="26"/>
        <v>0.90630147367893954</v>
      </c>
    </row>
    <row r="121" spans="1:12" x14ac:dyDescent="0.25">
      <c r="A121" s="871"/>
      <c r="B121" s="872"/>
      <c r="C121" s="872"/>
      <c r="D121" s="872"/>
      <c r="E121" s="872"/>
      <c r="F121" s="872"/>
      <c r="G121" s="872"/>
      <c r="H121" s="872"/>
      <c r="I121" s="872"/>
      <c r="J121" s="872"/>
      <c r="K121" s="872"/>
      <c r="L121" s="873"/>
    </row>
    <row r="122" spans="1:12" x14ac:dyDescent="0.25">
      <c r="A122" s="559">
        <f>REPROGRAMAÇÃO!A113</f>
        <v>8</v>
      </c>
      <c r="B122" s="560" t="str">
        <f>REPROGRAMAÇÃO!B113</f>
        <v>PINTURA</v>
      </c>
      <c r="C122" s="871"/>
      <c r="D122" s="872"/>
      <c r="E122" s="872"/>
      <c r="F122" s="872"/>
      <c r="G122" s="872"/>
      <c r="H122" s="873"/>
      <c r="I122" s="558">
        <f>SUM(I123:I134)</f>
        <v>63135.820000000007</v>
      </c>
      <c r="J122" s="558">
        <f t="shared" ref="J122:K122" si="28">SUM(J123:J134)</f>
        <v>0</v>
      </c>
      <c r="K122" s="558">
        <f t="shared" si="28"/>
        <v>23629.349999999995</v>
      </c>
      <c r="L122" s="564">
        <f t="shared" si="26"/>
        <v>0.3742621858716651</v>
      </c>
    </row>
    <row r="123" spans="1:12" x14ac:dyDescent="0.25">
      <c r="A123" s="554" t="str">
        <f>REPROGRAMAÇÃO!A114</f>
        <v>8.1</v>
      </c>
      <c r="B123" s="555" t="str">
        <f>REPROGRAMAÇÃO!B114</f>
        <v>APLICAÇÃO DE FUNDO SELADOR ACRÍLICO EM PAREDES, UMA DEMÃO. AF_06/2014</v>
      </c>
      <c r="C123" s="554" t="str">
        <f>REPROGRAMAÇÃO!E114</f>
        <v>M2</v>
      </c>
      <c r="D123" s="386"/>
      <c r="E123" s="386">
        <f>REPROGRAMAÇÃO!J114</f>
        <v>2.61</v>
      </c>
      <c r="F123" s="386">
        <f>REPROGRAMAÇÃO!I114</f>
        <v>1446.81</v>
      </c>
      <c r="G123" s="451"/>
      <c r="H123" s="575">
        <v>638.66</v>
      </c>
      <c r="I123" s="576">
        <f t="shared" si="16"/>
        <v>3776.17</v>
      </c>
      <c r="J123" s="576">
        <f t="shared" ref="J123" si="29">ROUND(E123*G123,2)</f>
        <v>0</v>
      </c>
      <c r="K123" s="576">
        <f t="shared" ref="K123" si="30">ROUND(H123*E123,2)</f>
        <v>1666.9</v>
      </c>
      <c r="L123" s="564">
        <f t="shared" si="26"/>
        <v>0.44142610104947605</v>
      </c>
    </row>
    <row r="124" spans="1:12" x14ac:dyDescent="0.25">
      <c r="A124" s="554" t="str">
        <f>REPROGRAMAÇÃO!A115</f>
        <v>8.2</v>
      </c>
      <c r="B124" s="555" t="str">
        <f>REPROGRAMAÇÃO!B115</f>
        <v>APLICAÇÃO DE FUNDO SELADOR ACRÍLICO EM TETO, UMA DEMÃO. AF_06/2014</v>
      </c>
      <c r="C124" s="554" t="str">
        <f>REPROGRAMAÇÃO!E115</f>
        <v>M2</v>
      </c>
      <c r="D124" s="386"/>
      <c r="E124" s="386">
        <f>REPROGRAMAÇÃO!J115</f>
        <v>2.97</v>
      </c>
      <c r="F124" s="386">
        <f>REPROGRAMAÇÃO!I115</f>
        <v>402.12750000000005</v>
      </c>
      <c r="G124" s="451"/>
      <c r="H124" s="575">
        <v>47.2</v>
      </c>
      <c r="I124" s="576">
        <f t="shared" si="16"/>
        <v>1194.32</v>
      </c>
      <c r="J124" s="576">
        <f t="shared" ref="J124:J134" si="31">ROUND(E124*G124,2)</f>
        <v>0</v>
      </c>
      <c r="K124" s="576">
        <f t="shared" ref="K124:K134" si="32">ROUND(H124*E124,2)</f>
        <v>140.18</v>
      </c>
      <c r="L124" s="564">
        <f t="shared" si="26"/>
        <v>0.11737222854846273</v>
      </c>
    </row>
    <row r="125" spans="1:12" ht="25.5" x14ac:dyDescent="0.25">
      <c r="A125" s="554" t="str">
        <f>REPROGRAMAÇÃO!A116</f>
        <v>8.3</v>
      </c>
      <c r="B125" s="555" t="str">
        <f>REPROGRAMAÇÃO!B116</f>
        <v>Emassamento de superfície, com aplicação de 02 demãos de massa acrílica, lixamento e retoques - Rev 01</v>
      </c>
      <c r="C125" s="554" t="str">
        <f>REPROGRAMAÇÃO!E116</f>
        <v>m2</v>
      </c>
      <c r="D125" s="386"/>
      <c r="E125" s="386">
        <f>REPROGRAMAÇÃO!J116</f>
        <v>18.34</v>
      </c>
      <c r="F125" s="386">
        <f>REPROGRAMAÇÃO!I116</f>
        <v>409.41999999999996</v>
      </c>
      <c r="G125" s="451"/>
      <c r="H125" s="575">
        <f>258.76+G125</f>
        <v>258.76</v>
      </c>
      <c r="I125" s="576">
        <f t="shared" si="16"/>
        <v>7508.76</v>
      </c>
      <c r="J125" s="576">
        <f t="shared" si="31"/>
        <v>0</v>
      </c>
      <c r="K125" s="576">
        <f t="shared" si="32"/>
        <v>4745.66</v>
      </c>
      <c r="L125" s="564">
        <f t="shared" si="26"/>
        <v>0.63201647142803863</v>
      </c>
    </row>
    <row r="126" spans="1:12" ht="25.5" x14ac:dyDescent="0.25">
      <c r="A126" s="554" t="str">
        <f>REPROGRAMAÇÃO!A117</f>
        <v>8.4</v>
      </c>
      <c r="B126" s="555" t="str">
        <f>REPROGRAMAÇÃO!B117</f>
        <v>APLICAÇÃO E LIXAMENTO DE MASSA LÁTEX EM PAREDES, DUAS DEMÃOS. AF_06/2014</v>
      </c>
      <c r="C126" s="554" t="str">
        <f>REPROGRAMAÇÃO!E117</f>
        <v>M2</v>
      </c>
      <c r="D126" s="386"/>
      <c r="E126" s="386">
        <f>REPROGRAMAÇÃO!J117</f>
        <v>13.08</v>
      </c>
      <c r="F126" s="386">
        <f>REPROGRAMAÇÃO!I117</f>
        <v>433.10000000000099</v>
      </c>
      <c r="G126" s="451"/>
      <c r="H126" s="575">
        <v>53.2</v>
      </c>
      <c r="I126" s="576">
        <f t="shared" si="16"/>
        <v>5664.95</v>
      </c>
      <c r="J126" s="576">
        <f t="shared" si="31"/>
        <v>0</v>
      </c>
      <c r="K126" s="576">
        <f t="shared" si="32"/>
        <v>695.86</v>
      </c>
      <c r="L126" s="564">
        <f t="shared" si="26"/>
        <v>0.12283603562255625</v>
      </c>
    </row>
    <row r="127" spans="1:12" x14ac:dyDescent="0.25">
      <c r="A127" s="554" t="str">
        <f>REPROGRAMAÇÃO!A118</f>
        <v>8.5</v>
      </c>
      <c r="B127" s="555" t="str">
        <f>REPROGRAMAÇÃO!B118</f>
        <v>APLICAÇÃO E LIXAMENTO DE MASSA LÁTEX EM TETO, UMA DEMÃO. AF_06/2014</v>
      </c>
      <c r="C127" s="554" t="str">
        <f>REPROGRAMAÇÃO!E118</f>
        <v>M2</v>
      </c>
      <c r="D127" s="386"/>
      <c r="E127" s="386">
        <f>REPROGRAMAÇÃO!J118</f>
        <v>17.43</v>
      </c>
      <c r="F127" s="386">
        <f>REPROGRAMAÇÃO!I118</f>
        <v>402.12750000000005</v>
      </c>
      <c r="G127" s="451"/>
      <c r="H127" s="575">
        <v>47.2</v>
      </c>
      <c r="I127" s="576">
        <f t="shared" si="16"/>
        <v>7009.08</v>
      </c>
      <c r="J127" s="576">
        <f t="shared" si="31"/>
        <v>0</v>
      </c>
      <c r="K127" s="576">
        <f t="shared" si="32"/>
        <v>822.7</v>
      </c>
      <c r="L127" s="564">
        <f t="shared" si="26"/>
        <v>0.11737631757662918</v>
      </c>
    </row>
    <row r="128" spans="1:12" ht="25.5" x14ac:dyDescent="0.25">
      <c r="A128" s="554" t="str">
        <f>REPROGRAMAÇÃO!A119</f>
        <v>8.6</v>
      </c>
      <c r="B128" s="555" t="str">
        <f>REPROGRAMAÇÃO!B119</f>
        <v>APLICAÇÃO MANUAL DE PINTURA COM TINTA LÁTEX ACRÍLICA EM TETO, DUAS DEMÃOS. AF_06/2014</v>
      </c>
      <c r="C128" s="554" t="str">
        <f>REPROGRAMAÇÃO!E119</f>
        <v>M2</v>
      </c>
      <c r="D128" s="386"/>
      <c r="E128" s="386">
        <f>REPROGRAMAÇÃO!J119</f>
        <v>15.43</v>
      </c>
      <c r="F128" s="386">
        <f>REPROGRAMAÇÃO!I119</f>
        <v>402.12750000000005</v>
      </c>
      <c r="G128" s="451"/>
      <c r="H128" s="575">
        <v>47.2</v>
      </c>
      <c r="I128" s="576">
        <f t="shared" si="16"/>
        <v>6204.83</v>
      </c>
      <c r="J128" s="576">
        <f t="shared" si="31"/>
        <v>0</v>
      </c>
      <c r="K128" s="576">
        <f t="shared" si="32"/>
        <v>728.3</v>
      </c>
      <c r="L128" s="564">
        <f t="shared" si="26"/>
        <v>0.11737630200988584</v>
      </c>
    </row>
    <row r="129" spans="1:12" ht="25.5" x14ac:dyDescent="0.25">
      <c r="A129" s="554" t="str">
        <f>REPROGRAMAÇÃO!A120</f>
        <v>8.7</v>
      </c>
      <c r="B129" s="555" t="str">
        <f>REPROGRAMAÇÃO!B120</f>
        <v>APLICAÇÃO MANUAL DE PINTURA COM TINTA LÁTEX ACRÍLICA EM PAREDES, DUAS DEMÃOS. AF_06/2014</v>
      </c>
      <c r="C129" s="554" t="str">
        <f>REPROGRAMAÇÃO!E120</f>
        <v>M2</v>
      </c>
      <c r="D129" s="386"/>
      <c r="E129" s="386">
        <f>REPROGRAMAÇÃO!J120</f>
        <v>13.77</v>
      </c>
      <c r="F129" s="386">
        <f>REPROGRAMAÇÃO!I120</f>
        <v>1680.19</v>
      </c>
      <c r="G129" s="451"/>
      <c r="H129" s="575">
        <v>734.91</v>
      </c>
      <c r="I129" s="576">
        <f t="shared" si="16"/>
        <v>23136.22</v>
      </c>
      <c r="J129" s="576">
        <f t="shared" si="31"/>
        <v>0</v>
      </c>
      <c r="K129" s="576">
        <f t="shared" si="32"/>
        <v>10119.709999999999</v>
      </c>
      <c r="L129" s="564">
        <f t="shared" si="26"/>
        <v>0.43739686085280993</v>
      </c>
    </row>
    <row r="130" spans="1:12" ht="38.25" x14ac:dyDescent="0.25">
      <c r="A130" s="554" t="str">
        <f>REPROGRAMAÇÃO!A121</f>
        <v>8.8</v>
      </c>
      <c r="B130" s="555" t="str">
        <f>REPROGRAMAÇÃO!B121</f>
        <v>PINTURA COM TINTA ALQUÍDICA DE FUNDO E ACABAMENTO (ESMALTE SINTÉTICO GRAFITE) PULVERIZADA SOBRE SUPERFÍCIES METÁLICAS (EXCETO PERFIL) EXECUTADO EM OBRA (POR DEMÃO). AF_01/2020_P</v>
      </c>
      <c r="C130" s="554" t="str">
        <f>REPROGRAMAÇÃO!E121</f>
        <v>M2</v>
      </c>
      <c r="D130" s="386"/>
      <c r="E130" s="386">
        <f>REPROGRAMAÇÃO!J121</f>
        <v>20.54</v>
      </c>
      <c r="F130" s="386">
        <f>REPROGRAMAÇÃO!I121</f>
        <v>134.52000000000001</v>
      </c>
      <c r="G130" s="451"/>
      <c r="H130" s="575">
        <v>90.04</v>
      </c>
      <c r="I130" s="576">
        <f t="shared" si="16"/>
        <v>2763.04</v>
      </c>
      <c r="J130" s="576">
        <f t="shared" si="31"/>
        <v>0</v>
      </c>
      <c r="K130" s="576">
        <f t="shared" si="32"/>
        <v>1849.42</v>
      </c>
      <c r="L130" s="564">
        <f t="shared" si="26"/>
        <v>0.66934246337367542</v>
      </c>
    </row>
    <row r="131" spans="1:12" x14ac:dyDescent="0.25">
      <c r="A131" s="554" t="str">
        <f>REPROGRAMAÇÃO!A122</f>
        <v>8.9</v>
      </c>
      <c r="B131" s="555" t="str">
        <f>REPROGRAMAÇÃO!B122</f>
        <v>PINTURA FUNDO NIVELADOR ALQUÍDICO BRANCO EM MADEIRA. AF_01/2021</v>
      </c>
      <c r="C131" s="554" t="str">
        <f>REPROGRAMAÇÃO!E122</f>
        <v>M2</v>
      </c>
      <c r="D131" s="386"/>
      <c r="E131" s="386">
        <f>REPROGRAMAÇÃO!J122</f>
        <v>17.940000000000001</v>
      </c>
      <c r="F131" s="386">
        <f>REPROGRAMAÇÃO!I122</f>
        <v>29</v>
      </c>
      <c r="G131" s="451"/>
      <c r="H131" s="575">
        <v>0</v>
      </c>
      <c r="I131" s="576">
        <f t="shared" si="16"/>
        <v>520.26</v>
      </c>
      <c r="J131" s="576">
        <f t="shared" si="31"/>
        <v>0</v>
      </c>
      <c r="K131" s="576">
        <f t="shared" si="32"/>
        <v>0</v>
      </c>
      <c r="L131" s="564">
        <f t="shared" si="26"/>
        <v>0</v>
      </c>
    </row>
    <row r="132" spans="1:12" ht="25.5" x14ac:dyDescent="0.25">
      <c r="A132" s="554" t="str">
        <f>REPROGRAMAÇÃO!A123</f>
        <v>8.10</v>
      </c>
      <c r="B132" s="555" t="str">
        <f>REPROGRAMAÇÃO!B123</f>
        <v>PINTURA TINTA DE ACABAMENTO (PIGMENTADA) ESMALTE SINTÉTICO BRILHANTE EM MADEIRA, 2 DEMÃOS. AF_01/2021</v>
      </c>
      <c r="C132" s="554" t="str">
        <f>REPROGRAMAÇÃO!E123</f>
        <v>M2</v>
      </c>
      <c r="D132" s="386"/>
      <c r="E132" s="386">
        <f>REPROGRAMAÇÃO!J123</f>
        <v>12.959999999999999</v>
      </c>
      <c r="F132" s="386">
        <f>REPROGRAMAÇÃO!I123</f>
        <v>63.84</v>
      </c>
      <c r="G132" s="451"/>
      <c r="H132" s="575">
        <v>63.84</v>
      </c>
      <c r="I132" s="576">
        <f t="shared" si="16"/>
        <v>827.37</v>
      </c>
      <c r="J132" s="576">
        <f t="shared" si="31"/>
        <v>0</v>
      </c>
      <c r="K132" s="576">
        <f t="shared" si="32"/>
        <v>827.37</v>
      </c>
      <c r="L132" s="564">
        <f t="shared" si="26"/>
        <v>1</v>
      </c>
    </row>
    <row r="133" spans="1:12" ht="25.5" x14ac:dyDescent="0.25">
      <c r="A133" s="554" t="str">
        <f>REPROGRAMAÇÃO!A124</f>
        <v>8.11</v>
      </c>
      <c r="B133" s="555" t="str">
        <f>REPROGRAMAÇÃO!B124</f>
        <v>PINTURA DE PISO COM TINTA ACRÍLICA, APLICAÇÃO MANUAL, 2 DEMÃOS, INCLUSO FUNDO PREPARADOR. AF_05/2021</v>
      </c>
      <c r="C133" s="554" t="str">
        <f>REPROGRAMAÇÃO!E124</f>
        <v>M2</v>
      </c>
      <c r="D133" s="386"/>
      <c r="E133" s="386">
        <f>REPROGRAMAÇÃO!J124</f>
        <v>17.04</v>
      </c>
      <c r="F133" s="386">
        <f>REPROGRAMAÇÃO!I124</f>
        <v>30.36</v>
      </c>
      <c r="G133" s="451"/>
      <c r="H133" s="575">
        <v>0</v>
      </c>
      <c r="I133" s="576">
        <f t="shared" si="16"/>
        <v>517.33000000000004</v>
      </c>
      <c r="J133" s="576">
        <f t="shared" si="31"/>
        <v>0</v>
      </c>
      <c r="K133" s="576">
        <f t="shared" si="32"/>
        <v>0</v>
      </c>
      <c r="L133" s="564">
        <f t="shared" si="26"/>
        <v>0</v>
      </c>
    </row>
    <row r="134" spans="1:12" x14ac:dyDescent="0.25">
      <c r="A134" s="554" t="str">
        <f>REPROGRAMAÇÃO!A125</f>
        <v>8.12</v>
      </c>
      <c r="B134" s="555" t="str">
        <f>REPROGRAMAÇÃO!B125</f>
        <v>TEXTURA ACRÍLICA, APLICAÇÃO MANUAL EM PAREDE, UMA DEMÃO. AF_09/2016</v>
      </c>
      <c r="C134" s="554" t="str">
        <f>REPROGRAMAÇÃO!E125</f>
        <v>M2</v>
      </c>
      <c r="D134" s="386"/>
      <c r="E134" s="386">
        <f>REPROGRAMAÇÃO!J125</f>
        <v>14.328785250000001</v>
      </c>
      <c r="F134" s="386">
        <f>REPROGRAMAÇÃO!I125</f>
        <v>280.10000000000002</v>
      </c>
      <c r="G134" s="451"/>
      <c r="H134" s="451">
        <v>141.9</v>
      </c>
      <c r="I134" s="576">
        <f t="shared" si="16"/>
        <v>4013.49</v>
      </c>
      <c r="J134" s="576">
        <f t="shared" si="31"/>
        <v>0</v>
      </c>
      <c r="K134" s="576">
        <f t="shared" si="32"/>
        <v>2033.25</v>
      </c>
      <c r="L134" s="564">
        <f t="shared" si="26"/>
        <v>0.506603978083912</v>
      </c>
    </row>
    <row r="135" spans="1:12" x14ac:dyDescent="0.25">
      <c r="A135" s="871"/>
      <c r="B135" s="872"/>
      <c r="C135" s="872"/>
      <c r="D135" s="872"/>
      <c r="E135" s="872"/>
      <c r="F135" s="872"/>
      <c r="G135" s="872"/>
      <c r="H135" s="872"/>
      <c r="I135" s="872"/>
      <c r="J135" s="872"/>
      <c r="K135" s="872"/>
      <c r="L135" s="873"/>
    </row>
    <row r="136" spans="1:12" x14ac:dyDescent="0.25">
      <c r="A136" s="559">
        <f>REPROGRAMAÇÃO!A127</f>
        <v>9</v>
      </c>
      <c r="B136" s="560" t="str">
        <f>REPROGRAMAÇÃO!B127</f>
        <v>INSTALAÇÕES HIDROSSANITÁRIAS</v>
      </c>
      <c r="C136" s="871"/>
      <c r="D136" s="872"/>
      <c r="E136" s="872"/>
      <c r="F136" s="872"/>
      <c r="G136" s="872"/>
      <c r="H136" s="873"/>
      <c r="I136" s="558">
        <f>I137+I147+I158</f>
        <v>9842.5499999999993</v>
      </c>
      <c r="J136" s="558">
        <f t="shared" ref="J136:K136" si="33">J137+J147+J158</f>
        <v>776.68000000000006</v>
      </c>
      <c r="K136" s="558">
        <f t="shared" si="33"/>
        <v>776.68000000000006</v>
      </c>
      <c r="L136" s="564"/>
    </row>
    <row r="137" spans="1:12" x14ac:dyDescent="0.25">
      <c r="A137" s="554" t="str">
        <f>REPROGRAMAÇÃO!A128</f>
        <v>9.1</v>
      </c>
      <c r="B137" s="555" t="str">
        <f>REPROGRAMAÇÃO!B128</f>
        <v>INSTALAÇÕES HIDRÁULICAS</v>
      </c>
      <c r="C137" s="554"/>
      <c r="D137" s="386"/>
      <c r="E137" s="386"/>
      <c r="F137" s="386"/>
      <c r="G137" s="451"/>
      <c r="H137" s="451"/>
      <c r="I137" s="576">
        <f>SUM(I138:I145)</f>
        <v>1826.7500000000002</v>
      </c>
      <c r="J137" s="576">
        <f t="shared" ref="J137:K137" si="34">SUM(J138:J145)</f>
        <v>776.68000000000006</v>
      </c>
      <c r="K137" s="576">
        <f t="shared" si="34"/>
        <v>776.68000000000006</v>
      </c>
      <c r="L137" s="564">
        <f t="shared" si="26"/>
        <v>0.42517038456274803</v>
      </c>
    </row>
    <row r="138" spans="1:12" ht="38.25" x14ac:dyDescent="0.25">
      <c r="A138" s="554" t="str">
        <f>REPROGRAMAÇÃO!A129</f>
        <v>9.1.1</v>
      </c>
      <c r="B138" s="555" t="str">
        <f>REPROGRAMAÇÃO!B129</f>
        <v>PONTO DE CONSUMO TERMINAL DE ÁGUA FRIA (SUBRAMAL) COM TUBULAÇÃO DE PVC, DN 25 MM, INSTALADO EM RAMAL DE ÁGUA, INCLUSOS RASGO E CHUMBAMENTO EM ALVENARIA. AF_12/2014</v>
      </c>
      <c r="C138" s="554" t="str">
        <f>REPROGRAMAÇÃO!E129</f>
        <v>UN</v>
      </c>
      <c r="D138" s="386"/>
      <c r="E138" s="386">
        <f>REPROGRAMAÇÃO!J129</f>
        <v>125.42999999999999</v>
      </c>
      <c r="F138" s="386">
        <f>REPROGRAMAÇÃO!I129</f>
        <v>8</v>
      </c>
      <c r="G138" s="451">
        <v>6</v>
      </c>
      <c r="H138" s="451">
        <f>G138</f>
        <v>6</v>
      </c>
      <c r="I138" s="576">
        <f t="shared" si="16"/>
        <v>1003.44</v>
      </c>
      <c r="J138" s="576">
        <f t="shared" ref="J138:J145" si="35">ROUND(E138*G138,2)</f>
        <v>752.58</v>
      </c>
      <c r="K138" s="576">
        <f t="shared" ref="K138:K145" si="36">ROUND(H138*E138,2)</f>
        <v>752.58</v>
      </c>
      <c r="L138" s="564">
        <f t="shared" si="26"/>
        <v>0.75</v>
      </c>
    </row>
    <row r="139" spans="1:12" ht="25.5" x14ac:dyDescent="0.25">
      <c r="A139" s="554" t="str">
        <f>REPROGRAMAÇÃO!A130</f>
        <v>9.1.2</v>
      </c>
      <c r="B139" s="555" t="str">
        <f>REPROGRAMAÇÃO!B130</f>
        <v>REGISTRO DE GAVETA BRUTO, LATÃO, ROSCÁVEL, 3/4", COM ACABAMENTO E CANOPLA CROMADOS - FORNECIMENTO E INSTALAÇÃO. AF_08/2021</v>
      </c>
      <c r="C139" s="554" t="str">
        <f>REPROGRAMAÇÃO!E130</f>
        <v>UN</v>
      </c>
      <c r="D139" s="386"/>
      <c r="E139" s="386">
        <f>REPROGRAMAÇÃO!J130</f>
        <v>112.72</v>
      </c>
      <c r="F139" s="386">
        <f>REPROGRAMAÇÃO!I130</f>
        <v>4</v>
      </c>
      <c r="G139" s="451"/>
      <c r="H139" s="451">
        <f t="shared" ref="H139:H145" si="37">G139</f>
        <v>0</v>
      </c>
      <c r="I139" s="576">
        <f t="shared" si="16"/>
        <v>450.88</v>
      </c>
      <c r="J139" s="576">
        <f t="shared" si="35"/>
        <v>0</v>
      </c>
      <c r="K139" s="576">
        <f t="shared" si="36"/>
        <v>0</v>
      </c>
      <c r="L139" s="564">
        <f t="shared" si="26"/>
        <v>0</v>
      </c>
    </row>
    <row r="140" spans="1:12" ht="25.5" x14ac:dyDescent="0.25">
      <c r="A140" s="554" t="str">
        <f>REPROGRAMAÇÃO!A131</f>
        <v>9.1.3</v>
      </c>
      <c r="B140" s="555" t="str">
        <f>REPROGRAMAÇÃO!B131</f>
        <v>TUBO, PVC, SOLDÁVEL, DN 32MM, INSTALADO EM RAMAL DE DISTRIBUIÇÃO DE ÁGUA - FORNECIMENTO E INSTALAÇÃO. AF_12/2014</v>
      </c>
      <c r="C140" s="554" t="str">
        <f>REPROGRAMAÇÃO!E131</f>
        <v>M</v>
      </c>
      <c r="D140" s="386"/>
      <c r="E140" s="386">
        <f>REPROGRAMAÇÃO!J131</f>
        <v>18.5</v>
      </c>
      <c r="F140" s="386">
        <f>REPROGRAMAÇÃO!I131</f>
        <v>15</v>
      </c>
      <c r="G140" s="451"/>
      <c r="H140" s="451">
        <f t="shared" si="37"/>
        <v>0</v>
      </c>
      <c r="I140" s="576">
        <f t="shared" si="16"/>
        <v>277.5</v>
      </c>
      <c r="J140" s="576">
        <f t="shared" si="35"/>
        <v>0</v>
      </c>
      <c r="K140" s="576">
        <f t="shared" si="36"/>
        <v>0</v>
      </c>
      <c r="L140" s="564">
        <f t="shared" si="26"/>
        <v>0</v>
      </c>
    </row>
    <row r="141" spans="1:12" ht="25.5" x14ac:dyDescent="0.25">
      <c r="A141" s="554" t="str">
        <f>REPROGRAMAÇÃO!A132</f>
        <v>9.1.4</v>
      </c>
      <c r="B141" s="555" t="str">
        <f>REPROGRAMAÇÃO!B132</f>
        <v>JOELHO 90 GRAUS, PVC, SOLDÁVEL, DN 25MM, INSTALADO EM PRUMADA DE ÁGUA - FORNECIMENTO E INSTALAÇÃO. AF_12/2014</v>
      </c>
      <c r="C141" s="554" t="str">
        <f>REPROGRAMAÇÃO!E132</f>
        <v>UN</v>
      </c>
      <c r="D141" s="386"/>
      <c r="E141" s="386">
        <f>REPROGRAMAÇÃO!J132</f>
        <v>4.24</v>
      </c>
      <c r="F141" s="386">
        <f>REPROGRAMAÇÃO!I132</f>
        <v>2</v>
      </c>
      <c r="G141" s="451">
        <v>2</v>
      </c>
      <c r="H141" s="451">
        <f t="shared" si="37"/>
        <v>2</v>
      </c>
      <c r="I141" s="576">
        <f t="shared" si="16"/>
        <v>8.48</v>
      </c>
      <c r="J141" s="576">
        <f t="shared" si="35"/>
        <v>8.48</v>
      </c>
      <c r="K141" s="576">
        <f t="shared" si="36"/>
        <v>8.48</v>
      </c>
      <c r="L141" s="564">
        <f t="shared" si="26"/>
        <v>1</v>
      </c>
    </row>
    <row r="142" spans="1:12" ht="25.5" x14ac:dyDescent="0.25">
      <c r="A142" s="554" t="str">
        <f>REPROGRAMAÇÃO!A133</f>
        <v>9.1.5</v>
      </c>
      <c r="B142" s="555" t="str">
        <f>REPROGRAMAÇÃO!B133</f>
        <v>JOELHO 90 GRAUS, PVC, SOLDÁVEL, DN 32MM, INSTALADO EM PRUMADA DE ÁGUA - FORNECIMENTO E INSTALAÇÃO. AF_12/2014</v>
      </c>
      <c r="C142" s="554" t="str">
        <f>REPROGRAMAÇÃO!E133</f>
        <v>UN</v>
      </c>
      <c r="D142" s="386"/>
      <c r="E142" s="386">
        <f>REPROGRAMAÇÃO!J133</f>
        <v>7.26</v>
      </c>
      <c r="F142" s="386">
        <f>REPROGRAMAÇÃO!I133</f>
        <v>4</v>
      </c>
      <c r="G142" s="451"/>
      <c r="H142" s="451">
        <f t="shared" si="37"/>
        <v>0</v>
      </c>
      <c r="I142" s="576">
        <f t="shared" si="16"/>
        <v>29.04</v>
      </c>
      <c r="J142" s="576">
        <f t="shared" si="35"/>
        <v>0</v>
      </c>
      <c r="K142" s="576">
        <f t="shared" si="36"/>
        <v>0</v>
      </c>
      <c r="L142" s="564">
        <f t="shared" si="26"/>
        <v>0</v>
      </c>
    </row>
    <row r="143" spans="1:12" ht="25.5" x14ac:dyDescent="0.25">
      <c r="A143" s="554" t="str">
        <f>REPROGRAMAÇÃO!A134</f>
        <v>9.1.6</v>
      </c>
      <c r="B143" s="555" t="str">
        <f>REPROGRAMAÇÃO!B134</f>
        <v>TE, PVC, SOLDÁVEL, DN 32MM, INSTALADO EM PRUMADA DE ÁGUA - FORNECIMENTO E INSTALAÇÃO. AF_12/2014</v>
      </c>
      <c r="C143" s="554" t="str">
        <f>REPROGRAMAÇÃO!E134</f>
        <v>UN</v>
      </c>
      <c r="D143" s="386"/>
      <c r="E143" s="386">
        <f>REPROGRAMAÇÃO!J134</f>
        <v>11.82</v>
      </c>
      <c r="F143" s="386">
        <f>REPROGRAMAÇÃO!I134</f>
        <v>2</v>
      </c>
      <c r="G143" s="451"/>
      <c r="H143" s="451">
        <f t="shared" si="37"/>
        <v>0</v>
      </c>
      <c r="I143" s="576">
        <f t="shared" si="16"/>
        <v>23.64</v>
      </c>
      <c r="J143" s="576">
        <f t="shared" si="35"/>
        <v>0</v>
      </c>
      <c r="K143" s="576">
        <f t="shared" si="36"/>
        <v>0</v>
      </c>
      <c r="L143" s="564">
        <f t="shared" si="26"/>
        <v>0</v>
      </c>
    </row>
    <row r="144" spans="1:12" ht="25.5" x14ac:dyDescent="0.25">
      <c r="A144" s="554" t="str">
        <f>REPROGRAMAÇÃO!A135</f>
        <v>9.1.7</v>
      </c>
      <c r="B144" s="555" t="str">
        <f>REPROGRAMAÇÃO!B135</f>
        <v>TE, PVC, SOLDÁVEL, DN 25MM, INSTALADO EM RAMAL DE DISTRIBUIÇÃO DE ÁGUA - FORNECIMENTO E INSTALAÇÃO. AF_12/2014</v>
      </c>
      <c r="C144" s="554" t="str">
        <f>REPROGRAMAÇÃO!E135</f>
        <v>UN</v>
      </c>
      <c r="D144" s="386"/>
      <c r="E144" s="386">
        <f>REPROGRAMAÇÃO!J135</f>
        <v>7.81</v>
      </c>
      <c r="F144" s="386">
        <f>REPROGRAMAÇÃO!I135</f>
        <v>2</v>
      </c>
      <c r="G144" s="451">
        <v>2</v>
      </c>
      <c r="H144" s="451">
        <f t="shared" si="37"/>
        <v>2</v>
      </c>
      <c r="I144" s="576">
        <f t="shared" si="16"/>
        <v>15.62</v>
      </c>
      <c r="J144" s="576">
        <f t="shared" si="35"/>
        <v>15.62</v>
      </c>
      <c r="K144" s="576">
        <f t="shared" si="36"/>
        <v>15.62</v>
      </c>
      <c r="L144" s="564">
        <f t="shared" si="26"/>
        <v>1</v>
      </c>
    </row>
    <row r="145" spans="1:12" ht="38.25" x14ac:dyDescent="0.25">
      <c r="A145" s="554" t="str">
        <f>REPROGRAMAÇÃO!A136</f>
        <v>9.1.8</v>
      </c>
      <c r="B145" s="555" t="str">
        <f>REPROGRAMAÇÃO!B136</f>
        <v>ADAPTADOR CURTO COM BOLSA E ROSCA PARA REGISTRO, PVC, SOLDÁVEL, DN 25MM X 3/4?, INSTALADO EM RAMAL OU SUB-RAMAL DE ÁGUA - FORNECIMENTO E INSTALAÇÃO. AF_12/2014</v>
      </c>
      <c r="C145" s="554" t="str">
        <f>REPROGRAMAÇÃO!E136</f>
        <v>UN</v>
      </c>
      <c r="D145" s="386"/>
      <c r="E145" s="386">
        <f>REPROGRAMAÇÃO!J136</f>
        <v>6.05</v>
      </c>
      <c r="F145" s="386">
        <f>REPROGRAMAÇÃO!I136</f>
        <v>3</v>
      </c>
      <c r="G145" s="451"/>
      <c r="H145" s="451">
        <f t="shared" si="37"/>
        <v>0</v>
      </c>
      <c r="I145" s="576">
        <f t="shared" si="16"/>
        <v>18.149999999999999</v>
      </c>
      <c r="J145" s="576">
        <f t="shared" si="35"/>
        <v>0</v>
      </c>
      <c r="K145" s="576">
        <f t="shared" si="36"/>
        <v>0</v>
      </c>
      <c r="L145" s="564">
        <f t="shared" si="26"/>
        <v>0</v>
      </c>
    </row>
    <row r="146" spans="1:12" x14ac:dyDescent="0.25">
      <c r="A146" s="554"/>
      <c r="B146" s="555"/>
      <c r="C146" s="554"/>
      <c r="D146" s="386"/>
      <c r="E146" s="386"/>
      <c r="F146" s="386"/>
      <c r="G146" s="451"/>
      <c r="H146" s="451"/>
      <c r="I146" s="556"/>
      <c r="J146" s="556"/>
      <c r="K146" s="556"/>
      <c r="L146" s="556"/>
    </row>
    <row r="147" spans="1:12" x14ac:dyDescent="0.25">
      <c r="A147" s="559" t="str">
        <f>REPROGRAMAÇÃO!A138</f>
        <v>9.2</v>
      </c>
      <c r="B147" s="560" t="str">
        <f>REPROGRAMAÇÃO!B138</f>
        <v>INSTALAÇÕES SANITÁRIAS</v>
      </c>
      <c r="C147" s="554"/>
      <c r="D147" s="386"/>
      <c r="E147" s="386"/>
      <c r="F147" s="386"/>
      <c r="G147" s="451"/>
      <c r="H147" s="451"/>
      <c r="I147" s="576">
        <f>SUM(I148:I156)</f>
        <v>2219.79</v>
      </c>
      <c r="J147" s="576"/>
      <c r="K147" s="576"/>
      <c r="L147" s="564"/>
    </row>
    <row r="148" spans="1:12" x14ac:dyDescent="0.25">
      <c r="A148" s="554" t="str">
        <f>REPROGRAMAÇÃO!A139</f>
        <v>9.2.1</v>
      </c>
      <c r="B148" s="555" t="str">
        <f>REPROGRAMAÇÃO!B139</f>
        <v>Ponto de esgoto com tubo de pvc rígido soldável de Ø 100 mm (vaso sanitário)</v>
      </c>
      <c r="C148" s="554" t="str">
        <f>REPROGRAMAÇÃO!E139</f>
        <v>pt</v>
      </c>
      <c r="D148" s="386"/>
      <c r="E148" s="386">
        <f>REPROGRAMAÇÃO!J139</f>
        <v>148.91</v>
      </c>
      <c r="F148" s="386">
        <f>REPROGRAMAÇÃO!I139</f>
        <v>2</v>
      </c>
      <c r="G148" s="451">
        <v>2</v>
      </c>
      <c r="H148" s="451">
        <f>G148</f>
        <v>2</v>
      </c>
      <c r="I148" s="576">
        <f t="shared" si="16"/>
        <v>297.82</v>
      </c>
      <c r="J148" s="576">
        <f t="shared" ref="J148" si="38">ROUND(E148*G148,2)</f>
        <v>297.82</v>
      </c>
      <c r="K148" s="576">
        <f t="shared" ref="K148" si="39">ROUND(H148*E148,2)</f>
        <v>297.82</v>
      </c>
      <c r="L148" s="564">
        <f t="shared" si="26"/>
        <v>1</v>
      </c>
    </row>
    <row r="149" spans="1:12" ht="25.5" x14ac:dyDescent="0.25">
      <c r="A149" s="554" t="str">
        <f>REPROGRAMAÇÃO!A140</f>
        <v>9.2.2</v>
      </c>
      <c r="B149" s="555" t="str">
        <f>REPROGRAMAÇÃO!B140</f>
        <v>Ponto de esgoto com tubo de pvc rígido soldável de Ø 50 mm (pias de cozinha, máquinas de lavar, etc...)</v>
      </c>
      <c r="C149" s="554" t="str">
        <f>REPROGRAMAÇÃO!E140</f>
        <v>un</v>
      </c>
      <c r="D149" s="386"/>
      <c r="E149" s="386">
        <f>REPROGRAMAÇÃO!J140</f>
        <v>145.68</v>
      </c>
      <c r="F149" s="386">
        <f>REPROGRAMAÇÃO!I140</f>
        <v>1</v>
      </c>
      <c r="G149" s="451">
        <v>1</v>
      </c>
      <c r="H149" s="451">
        <f t="shared" ref="H149:H156" si="40">G149</f>
        <v>1</v>
      </c>
      <c r="I149" s="576">
        <f t="shared" ref="I149:I212" si="41">ROUND(E149*F149,2)</f>
        <v>145.68</v>
      </c>
      <c r="J149" s="576">
        <f t="shared" ref="J149:J156" si="42">ROUND(E149*G149,2)</f>
        <v>145.68</v>
      </c>
      <c r="K149" s="576">
        <f t="shared" ref="K149:K156" si="43">ROUND(H149*E149,2)</f>
        <v>145.68</v>
      </c>
      <c r="L149" s="564">
        <f t="shared" si="26"/>
        <v>1</v>
      </c>
    </row>
    <row r="150" spans="1:12" ht="25.5" x14ac:dyDescent="0.25">
      <c r="A150" s="554" t="str">
        <f>REPROGRAMAÇÃO!A141</f>
        <v>9.2.3</v>
      </c>
      <c r="B150" s="555" t="str">
        <f>REPROGRAMAÇÃO!B141</f>
        <v>Ponto de esgoto com tubo de pvc rígido soldável de Ø 40 mm (lavatórios, mictórios, ralos sifonados, etc...)</v>
      </c>
      <c r="C150" s="554" t="str">
        <f>REPROGRAMAÇÃO!E141</f>
        <v>un</v>
      </c>
      <c r="D150" s="386"/>
      <c r="E150" s="386">
        <f>REPROGRAMAÇÃO!J141</f>
        <v>91.070000000000007</v>
      </c>
      <c r="F150" s="386">
        <f>REPROGRAMAÇÃO!I141</f>
        <v>2</v>
      </c>
      <c r="G150" s="451">
        <v>2</v>
      </c>
      <c r="H150" s="451">
        <f t="shared" si="40"/>
        <v>2</v>
      </c>
      <c r="I150" s="576">
        <f t="shared" si="41"/>
        <v>182.14</v>
      </c>
      <c r="J150" s="576">
        <f t="shared" si="42"/>
        <v>182.14</v>
      </c>
      <c r="K150" s="576">
        <f t="shared" si="43"/>
        <v>182.14</v>
      </c>
      <c r="L150" s="564">
        <f t="shared" si="26"/>
        <v>1</v>
      </c>
    </row>
    <row r="151" spans="1:12" ht="25.5" x14ac:dyDescent="0.25">
      <c r="A151" s="554" t="str">
        <f>REPROGRAMAÇÃO!A142</f>
        <v>9.2.4</v>
      </c>
      <c r="B151" s="555" t="str">
        <f>REPROGRAMAÇÃO!B142</f>
        <v>CAIXA DE GORDURA PEQUENA (CAPACIDADE: 19 L), CIRCULAR, EM PVC, DIÂMETRO INTERNO= 0,3 M. AF_12/2020</v>
      </c>
      <c r="C151" s="554" t="str">
        <f>REPROGRAMAÇÃO!E142</f>
        <v>UN</v>
      </c>
      <c r="D151" s="386"/>
      <c r="E151" s="386">
        <f>REPROGRAMAÇÃO!J142</f>
        <v>325.86</v>
      </c>
      <c r="F151" s="386">
        <f>REPROGRAMAÇÃO!I142</f>
        <v>1</v>
      </c>
      <c r="G151" s="451"/>
      <c r="H151" s="451">
        <f t="shared" si="40"/>
        <v>0</v>
      </c>
      <c r="I151" s="576">
        <f t="shared" si="41"/>
        <v>325.86</v>
      </c>
      <c r="J151" s="576">
        <f t="shared" si="42"/>
        <v>0</v>
      </c>
      <c r="K151" s="576">
        <f t="shared" si="43"/>
        <v>0</v>
      </c>
      <c r="L151" s="564">
        <f t="shared" si="26"/>
        <v>0</v>
      </c>
    </row>
    <row r="152" spans="1:12" ht="38.25" x14ac:dyDescent="0.25">
      <c r="A152" s="554" t="str">
        <f>REPROGRAMAÇÃO!A143</f>
        <v>9.2.5</v>
      </c>
      <c r="B152" s="555" t="str">
        <f>REPROGRAMAÇÃO!B143</f>
        <v>CAIXA ENTERRADA HIDRÁULICA RETANGULAR, EM ALVENARIA COM BLOCOS DE CONCRETO, DIMENSÕES INTERNAS: 0,6X0,6X0,6 M PARA REDE DE ESGOTO. AF_12/2020</v>
      </c>
      <c r="C152" s="554" t="str">
        <f>REPROGRAMAÇÃO!E143</f>
        <v>UN</v>
      </c>
      <c r="D152" s="386"/>
      <c r="E152" s="386">
        <f>REPROGRAMAÇÃO!J143</f>
        <v>414.77</v>
      </c>
      <c r="F152" s="386">
        <f>REPROGRAMAÇÃO!I143</f>
        <v>1</v>
      </c>
      <c r="G152" s="451"/>
      <c r="H152" s="451">
        <f t="shared" si="40"/>
        <v>0</v>
      </c>
      <c r="I152" s="576">
        <f t="shared" si="41"/>
        <v>414.77</v>
      </c>
      <c r="J152" s="576">
        <f t="shared" si="42"/>
        <v>0</v>
      </c>
      <c r="K152" s="576">
        <f t="shared" si="43"/>
        <v>0</v>
      </c>
      <c r="L152" s="564">
        <f t="shared" si="26"/>
        <v>0</v>
      </c>
    </row>
    <row r="153" spans="1:12" ht="38.25" x14ac:dyDescent="0.25">
      <c r="A153" s="554" t="str">
        <f>REPROGRAMAÇÃO!A144</f>
        <v>9.2.6</v>
      </c>
      <c r="B153" s="555" t="str">
        <f>REPROGRAMAÇÃO!B144</f>
        <v>CAIXA SIFONADA, PVC, DN 100 X 100 X 50 MM, JUNTA ELÁSTICA, FORNECIDA E INSTALADA EM RAMAL DE DESCARGA OU EM RAMAL DE ESGOTO SANITÁRIO. AF_12/2014</v>
      </c>
      <c r="C153" s="554" t="str">
        <f>REPROGRAMAÇÃO!E144</f>
        <v>UN</v>
      </c>
      <c r="D153" s="386"/>
      <c r="E153" s="386">
        <f>REPROGRAMAÇÃO!J144</f>
        <v>33.739999999999995</v>
      </c>
      <c r="F153" s="386">
        <f>REPROGRAMAÇÃO!I144</f>
        <v>4</v>
      </c>
      <c r="G153" s="451">
        <v>2</v>
      </c>
      <c r="H153" s="451">
        <f t="shared" si="40"/>
        <v>2</v>
      </c>
      <c r="I153" s="576">
        <f t="shared" si="41"/>
        <v>134.96</v>
      </c>
      <c r="J153" s="576">
        <f t="shared" si="42"/>
        <v>67.48</v>
      </c>
      <c r="K153" s="576">
        <f t="shared" si="43"/>
        <v>67.48</v>
      </c>
      <c r="L153" s="564">
        <f t="shared" si="26"/>
        <v>0.5</v>
      </c>
    </row>
    <row r="154" spans="1:12" ht="25.5" x14ac:dyDescent="0.25">
      <c r="A154" s="554" t="str">
        <f>REPROGRAMAÇÃO!A145</f>
        <v>9.2.7</v>
      </c>
      <c r="B154" s="555" t="str">
        <f>REPROGRAMAÇÃO!B145</f>
        <v>TUBO PVC, SERIE NORMAL, ESGOTO PREDIAL, DN 50 MM, FORNECIDO E INSTALADO EM PRUMADA DE ESGOTO SANITÁRIO OU VENTILAÇÃO. AF_12/2014</v>
      </c>
      <c r="C154" s="554" t="str">
        <f>REPROGRAMAÇÃO!E145</f>
        <v>M</v>
      </c>
      <c r="D154" s="386"/>
      <c r="E154" s="386">
        <f>REPROGRAMAÇÃO!J145</f>
        <v>15.59</v>
      </c>
      <c r="F154" s="386">
        <f>REPROGRAMAÇÃO!I145</f>
        <v>17</v>
      </c>
      <c r="G154" s="451">
        <v>9</v>
      </c>
      <c r="H154" s="451">
        <f t="shared" si="40"/>
        <v>9</v>
      </c>
      <c r="I154" s="576">
        <f t="shared" si="41"/>
        <v>265.02999999999997</v>
      </c>
      <c r="J154" s="576">
        <f t="shared" si="42"/>
        <v>140.31</v>
      </c>
      <c r="K154" s="576">
        <f t="shared" si="43"/>
        <v>140.31</v>
      </c>
      <c r="L154" s="564">
        <f t="shared" si="26"/>
        <v>0.52941176470588247</v>
      </c>
    </row>
    <row r="155" spans="1:12" x14ac:dyDescent="0.25">
      <c r="A155" s="554" t="str">
        <f>REPROGRAMAÇÃO!A146</f>
        <v>9.2.8</v>
      </c>
      <c r="B155" s="555" t="str">
        <f>REPROGRAMAÇÃO!B146</f>
        <v>Terminal de ventilação em pvc rígido soldável, para esgoto primário, diâm = 50mm</v>
      </c>
      <c r="C155" s="554" t="str">
        <f>REPROGRAMAÇÃO!E146</f>
        <v>un</v>
      </c>
      <c r="D155" s="386"/>
      <c r="E155" s="386">
        <f>REPROGRAMAÇÃO!J146</f>
        <v>11.63</v>
      </c>
      <c r="F155" s="386">
        <f>REPROGRAMAÇÃO!I146</f>
        <v>1</v>
      </c>
      <c r="G155" s="451"/>
      <c r="H155" s="451">
        <f t="shared" si="40"/>
        <v>0</v>
      </c>
      <c r="I155" s="576">
        <f t="shared" si="41"/>
        <v>11.63</v>
      </c>
      <c r="J155" s="576">
        <f t="shared" si="42"/>
        <v>0</v>
      </c>
      <c r="K155" s="576">
        <f t="shared" si="43"/>
        <v>0</v>
      </c>
      <c r="L155" s="564">
        <f t="shared" si="26"/>
        <v>0</v>
      </c>
    </row>
    <row r="156" spans="1:12" ht="25.5" x14ac:dyDescent="0.25">
      <c r="A156" s="554" t="str">
        <f>REPROGRAMAÇÃO!A147</f>
        <v>9.2.9</v>
      </c>
      <c r="B156" s="555" t="str">
        <f>REPROGRAMAÇÃO!B147</f>
        <v>TUBO PVC, SERIE NORMAL, ESGOTO PREDIAL, DN 100 MM, FORNECIDO E INSTALADO EM PRUMADA DE ESGOTO SANITÁRIO OU VENTILAÇÃO. AF_12/2014</v>
      </c>
      <c r="C156" s="554" t="str">
        <f>REPROGRAMAÇÃO!E147</f>
        <v>M</v>
      </c>
      <c r="D156" s="386"/>
      <c r="E156" s="386">
        <f>REPROGRAMAÇÃO!J147</f>
        <v>29.46</v>
      </c>
      <c r="F156" s="386">
        <f>REPROGRAMAÇÃO!I147</f>
        <v>15</v>
      </c>
      <c r="G156" s="451">
        <v>15</v>
      </c>
      <c r="H156" s="451">
        <f t="shared" si="40"/>
        <v>15</v>
      </c>
      <c r="I156" s="576">
        <f t="shared" si="41"/>
        <v>441.9</v>
      </c>
      <c r="J156" s="576">
        <f t="shared" si="42"/>
        <v>441.9</v>
      </c>
      <c r="K156" s="576">
        <f t="shared" si="43"/>
        <v>441.9</v>
      </c>
      <c r="L156" s="564">
        <f t="shared" si="26"/>
        <v>1</v>
      </c>
    </row>
    <row r="157" spans="1:12" x14ac:dyDescent="0.25">
      <c r="A157" s="554"/>
      <c r="B157" s="555"/>
      <c r="C157" s="554"/>
      <c r="D157" s="386"/>
      <c r="E157" s="386"/>
      <c r="F157" s="386"/>
      <c r="G157" s="451"/>
      <c r="H157" s="451"/>
      <c r="I157" s="556"/>
      <c r="J157" s="556"/>
      <c r="K157" s="556"/>
      <c r="L157" s="556"/>
    </row>
    <row r="158" spans="1:12" x14ac:dyDescent="0.25">
      <c r="A158" s="559" t="str">
        <f>REPROGRAMAÇÃO!A149</f>
        <v>9.3</v>
      </c>
      <c r="B158" s="560" t="str">
        <f>REPROGRAMAÇÃO!B149</f>
        <v xml:space="preserve">INSTALAÇÕES ÁGUAS PLUVIAL </v>
      </c>
      <c r="C158" s="554"/>
      <c r="D158" s="386"/>
      <c r="E158" s="386"/>
      <c r="F158" s="386"/>
      <c r="G158" s="451"/>
      <c r="H158" s="451"/>
      <c r="I158" s="576">
        <f>SUM(I159:I167)</f>
        <v>5796.01</v>
      </c>
      <c r="J158" s="576"/>
      <c r="K158" s="576"/>
      <c r="L158" s="556"/>
    </row>
    <row r="159" spans="1:12" ht="25.5" x14ac:dyDescent="0.25">
      <c r="A159" s="554" t="str">
        <f>REPROGRAMAÇÃO!A150</f>
        <v>9.3.1</v>
      </c>
      <c r="B159" s="555" t="str">
        <f>REPROGRAMAÇÃO!B150</f>
        <v>TUBO PVC, SÉRIE R, ÁGUA PLUVIAL, DN 75 MM, FORNECIDO E INSTALADO EM CONDUTORES VERTICAIS DE ÁGUAS PLUVIAIS. AF_12/2014</v>
      </c>
      <c r="C159" s="554" t="str">
        <f>REPROGRAMAÇÃO!E150</f>
        <v>M</v>
      </c>
      <c r="D159" s="386"/>
      <c r="E159" s="386">
        <f>REPROGRAMAÇÃO!J150</f>
        <v>33.15</v>
      </c>
      <c r="F159" s="386">
        <f>REPROGRAMAÇÃO!I150</f>
        <v>0</v>
      </c>
      <c r="G159" s="451"/>
      <c r="H159" s="451">
        <f>G159</f>
        <v>0</v>
      </c>
      <c r="I159" s="576">
        <f t="shared" si="41"/>
        <v>0</v>
      </c>
      <c r="J159" s="576">
        <f t="shared" ref="J159" si="44">ROUND(E159*G159,2)</f>
        <v>0</v>
      </c>
      <c r="K159" s="576">
        <f t="shared" ref="K159" si="45">ROUND(H159*E159,2)</f>
        <v>0</v>
      </c>
      <c r="L159" s="564" t="e">
        <f t="shared" ref="L159:L167" si="46">K159/I159</f>
        <v>#DIV/0!</v>
      </c>
    </row>
    <row r="160" spans="1:12" ht="38.25" x14ac:dyDescent="0.25">
      <c r="A160" s="554" t="str">
        <f>REPROGRAMAÇÃO!A151</f>
        <v>9.3.2</v>
      </c>
      <c r="B160" s="555" t="str">
        <f>REPROGRAMAÇÃO!B151</f>
        <v>JOELHO 90 GRAUS, PVC, SERIE R, ÁGUA PLUVIAL, DN 75 MM, JUNTA ELÁSTICA, FORNECIDO E INSTALADO EM CONDUTORES VERTICAIS DE ÁGUAS PLUVIAIS. AF_12/2014</v>
      </c>
      <c r="C160" s="554" t="str">
        <f>REPROGRAMAÇÃO!E151</f>
        <v>UN</v>
      </c>
      <c r="D160" s="386"/>
      <c r="E160" s="386">
        <f>REPROGRAMAÇÃO!J151</f>
        <v>33.950000000000003</v>
      </c>
      <c r="F160" s="386">
        <f>REPROGRAMAÇÃO!I151</f>
        <v>0</v>
      </c>
      <c r="G160" s="451"/>
      <c r="H160" s="451">
        <f t="shared" ref="H160:H167" si="47">G160</f>
        <v>0</v>
      </c>
      <c r="I160" s="576">
        <f t="shared" si="41"/>
        <v>0</v>
      </c>
      <c r="J160" s="576">
        <f t="shared" ref="J160:J167" si="48">ROUND(E160*G160,2)</f>
        <v>0</v>
      </c>
      <c r="K160" s="576">
        <f t="shared" ref="K160:K167" si="49">ROUND(H160*E160,2)</f>
        <v>0</v>
      </c>
      <c r="L160" s="564" t="e">
        <f t="shared" si="46"/>
        <v>#DIV/0!</v>
      </c>
    </row>
    <row r="161" spans="1:12" ht="38.25" x14ac:dyDescent="0.25">
      <c r="A161" s="554" t="str">
        <f>REPROGRAMAÇÃO!A152</f>
        <v>9.3.3</v>
      </c>
      <c r="B161" s="555" t="str">
        <f>REPROGRAMAÇÃO!B152</f>
        <v>LUVA SIMPLES, PVC, SERIE R, ÁGUA PLUVIAL, DN 100 MM, JUNTA ELÁSTICA, FORNECIDO E INSTALADO EM CONDUTORES VERTICAIS DE ÁGUAS PLUVIAIS. AF_12/2014</v>
      </c>
      <c r="C161" s="554" t="str">
        <f>REPROGRAMAÇÃO!E152</f>
        <v>UN</v>
      </c>
      <c r="D161" s="386"/>
      <c r="E161" s="386">
        <f>REPROGRAMAÇÃO!J152</f>
        <v>27.51</v>
      </c>
      <c r="F161" s="386">
        <f>REPROGRAMAÇÃO!I152</f>
        <v>0</v>
      </c>
      <c r="G161" s="451"/>
      <c r="H161" s="451">
        <f t="shared" si="47"/>
        <v>0</v>
      </c>
      <c r="I161" s="576">
        <f t="shared" si="41"/>
        <v>0</v>
      </c>
      <c r="J161" s="576">
        <f t="shared" si="48"/>
        <v>0</v>
      </c>
      <c r="K161" s="576">
        <f t="shared" si="49"/>
        <v>0</v>
      </c>
      <c r="L161" s="564" t="e">
        <f t="shared" si="46"/>
        <v>#DIV/0!</v>
      </c>
    </row>
    <row r="162" spans="1:12" ht="25.5" x14ac:dyDescent="0.25">
      <c r="A162" s="554" t="str">
        <f>REPROGRAMAÇÃO!A153</f>
        <v>9.3.4</v>
      </c>
      <c r="B162" s="555" t="str">
        <f>REPROGRAMAÇÃO!B153</f>
        <v>TÊ, PVC, SERIE R, ÁGUA PLUVIAL, DN 75 X 75 MM, JUNTA ELÁSTICA, FORNECIDO E INSTALADO EM CONDUTORES VERTICAIS DE ÁGUAS PLUVIAIS. AF_12/2014</v>
      </c>
      <c r="C162" s="554" t="str">
        <f>REPROGRAMAÇÃO!E153</f>
        <v>UN</v>
      </c>
      <c r="D162" s="386"/>
      <c r="E162" s="386">
        <f>REPROGRAMAÇÃO!J153</f>
        <v>53.25</v>
      </c>
      <c r="F162" s="386">
        <f>REPROGRAMAÇÃO!I153</f>
        <v>0</v>
      </c>
      <c r="G162" s="451"/>
      <c r="H162" s="451">
        <f t="shared" si="47"/>
        <v>0</v>
      </c>
      <c r="I162" s="576">
        <f t="shared" si="41"/>
        <v>0</v>
      </c>
      <c r="J162" s="576">
        <f t="shared" si="48"/>
        <v>0</v>
      </c>
      <c r="K162" s="576">
        <f t="shared" si="49"/>
        <v>0</v>
      </c>
      <c r="L162" s="564" t="e">
        <f t="shared" si="46"/>
        <v>#DIV/0!</v>
      </c>
    </row>
    <row r="163" spans="1:12" ht="38.25" x14ac:dyDescent="0.25">
      <c r="A163" s="554" t="str">
        <f>REPROGRAMAÇÃO!A154</f>
        <v>9.3.5</v>
      </c>
      <c r="B163" s="555" t="str">
        <f>REPROGRAMAÇÃO!B154</f>
        <v>LUVA SIMPLES, PVC, SERIE R, ÁGUA PLUVIAL, DN 100 MM, JUNTA ELÁSTICA, FORNECIDO E INSTALADO EM CONDUTORES VERTICAIS DE ÁGUAS PLUVIAIS. AF_12/2014</v>
      </c>
      <c r="C163" s="554" t="str">
        <f>REPROGRAMAÇÃO!E154</f>
        <v>UN</v>
      </c>
      <c r="D163" s="386"/>
      <c r="E163" s="386">
        <f>REPROGRAMAÇÃO!J154</f>
        <v>27.51</v>
      </c>
      <c r="F163" s="386">
        <f>REPROGRAMAÇÃO!I154</f>
        <v>0</v>
      </c>
      <c r="G163" s="451"/>
      <c r="H163" s="451">
        <f t="shared" si="47"/>
        <v>0</v>
      </c>
      <c r="I163" s="576">
        <f t="shared" si="41"/>
        <v>0</v>
      </c>
      <c r="J163" s="576">
        <f t="shared" si="48"/>
        <v>0</v>
      </c>
      <c r="K163" s="576">
        <f t="shared" si="49"/>
        <v>0</v>
      </c>
      <c r="L163" s="564" t="e">
        <f t="shared" si="46"/>
        <v>#DIV/0!</v>
      </c>
    </row>
    <row r="164" spans="1:12" ht="38.25" x14ac:dyDescent="0.25">
      <c r="A164" s="554" t="str">
        <f>REPROGRAMAÇÃO!A155</f>
        <v>9.3.6</v>
      </c>
      <c r="B164" s="555" t="str">
        <f>REPROGRAMAÇÃO!B155</f>
        <v>CAIXA ENTERRADA HIDRÁULICA RETANGULAR EM ALVENARIA COM TIJOLOS CERÂMICOS MACIÇOS, DIMENSÕES INTERNAS: 0,8X0,8X0,6 M PARA REDE DE DRENAGEM. AF_12/2020</v>
      </c>
      <c r="C164" s="554" t="str">
        <f>REPROGRAMAÇÃO!E155</f>
        <v>UN</v>
      </c>
      <c r="D164" s="386"/>
      <c r="E164" s="386">
        <f>REPROGRAMAÇÃO!J155</f>
        <v>762.46</v>
      </c>
      <c r="F164" s="386">
        <f>REPROGRAMAÇÃO!I155</f>
        <v>0</v>
      </c>
      <c r="G164" s="451"/>
      <c r="H164" s="451">
        <f t="shared" si="47"/>
        <v>0</v>
      </c>
      <c r="I164" s="576">
        <f t="shared" si="41"/>
        <v>0</v>
      </c>
      <c r="J164" s="576">
        <f t="shared" si="48"/>
        <v>0</v>
      </c>
      <c r="K164" s="576">
        <f t="shared" si="49"/>
        <v>0</v>
      </c>
      <c r="L164" s="564" t="e">
        <f t="shared" si="46"/>
        <v>#DIV/0!</v>
      </c>
    </row>
    <row r="165" spans="1:12" ht="25.5" x14ac:dyDescent="0.25">
      <c r="A165" s="554" t="str">
        <f>REPROGRAMAÇÃO!A156</f>
        <v>9.3.7</v>
      </c>
      <c r="B165" s="555" t="str">
        <f>REPROGRAMAÇÃO!B156</f>
        <v>TUBO PVC, SERIE NORMAL, ESGOTO PREDIAL, DN 100 MM, FORNECIDO E INSTALADO EM PRUMADA DE ÁGUA PLUVIAL. AF_12/2014</v>
      </c>
      <c r="C165" s="554" t="str">
        <f>REPROGRAMAÇÃO!E156</f>
        <v>M</v>
      </c>
      <c r="D165" s="386"/>
      <c r="E165" s="386">
        <f>REPROGRAMAÇÃO!J156</f>
        <v>29.46</v>
      </c>
      <c r="F165" s="386">
        <f>REPROGRAMAÇÃO!I156</f>
        <v>86</v>
      </c>
      <c r="G165" s="451">
        <v>50</v>
      </c>
      <c r="H165" s="451">
        <f t="shared" si="47"/>
        <v>50</v>
      </c>
      <c r="I165" s="576">
        <f t="shared" si="41"/>
        <v>2533.56</v>
      </c>
      <c r="J165" s="576">
        <f t="shared" si="48"/>
        <v>1473</v>
      </c>
      <c r="K165" s="576">
        <f t="shared" si="49"/>
        <v>1473</v>
      </c>
      <c r="L165" s="564">
        <f t="shared" si="46"/>
        <v>0.58139534883720934</v>
      </c>
    </row>
    <row r="166" spans="1:12" ht="25.5" x14ac:dyDescent="0.25">
      <c r="A166" s="554" t="str">
        <f>REPROGRAMAÇÃO!A157</f>
        <v>9.3.8</v>
      </c>
      <c r="B166" s="555" t="str">
        <f>REPROGRAMAÇÃO!B157</f>
        <v>TUBO PVC, SERIE NORMAL, ESGOTO PREDIAL, DN 150 MM, FORNECIDO E INSTALADO EM PRUMADA DE ÁGUA PLUVIAL. AF_12/2014</v>
      </c>
      <c r="C166" s="554" t="str">
        <f>REPROGRAMAÇÃO!E157</f>
        <v>M</v>
      </c>
      <c r="D166" s="386"/>
      <c r="E166" s="386">
        <f>REPROGRAMAÇÃO!J157</f>
        <v>71.87984212500001</v>
      </c>
      <c r="F166" s="386">
        <f>REPROGRAMAÇÃO!I157</f>
        <v>30</v>
      </c>
      <c r="G166" s="451"/>
      <c r="H166" s="451">
        <f t="shared" si="47"/>
        <v>0</v>
      </c>
      <c r="I166" s="576">
        <f t="shared" si="41"/>
        <v>2156.4</v>
      </c>
      <c r="J166" s="576">
        <f t="shared" si="48"/>
        <v>0</v>
      </c>
      <c r="K166" s="576">
        <f t="shared" si="49"/>
        <v>0</v>
      </c>
      <c r="L166" s="564">
        <f t="shared" si="46"/>
        <v>0</v>
      </c>
    </row>
    <row r="167" spans="1:12" ht="38.25" x14ac:dyDescent="0.25">
      <c r="A167" s="554" t="str">
        <f>REPROGRAMAÇÃO!A158</f>
        <v>9.3.9</v>
      </c>
      <c r="B167" s="555" t="str">
        <f>REPROGRAMAÇÃO!B158</f>
        <v>CAIXA ENTERRADA HIDRÁULICA RETANGULAR EM ALVENARIA COM TIJOLOS CERÂMICOS MACIÇOS, DIMENSÕES INTERNAS: 0,8X0,8X0,6 M PARA REDE DE DRENAGEM. AF_12/2020</v>
      </c>
      <c r="C167" s="554" t="str">
        <f>REPROGRAMAÇÃO!E158</f>
        <v>UN</v>
      </c>
      <c r="D167" s="386"/>
      <c r="E167" s="386">
        <f>REPROGRAMAÇÃO!J158</f>
        <v>553.02406087500003</v>
      </c>
      <c r="F167" s="386">
        <f>REPROGRAMAÇÃO!I158</f>
        <v>2</v>
      </c>
      <c r="G167" s="451"/>
      <c r="H167" s="451">
        <f t="shared" si="47"/>
        <v>0</v>
      </c>
      <c r="I167" s="576">
        <f t="shared" si="41"/>
        <v>1106.05</v>
      </c>
      <c r="J167" s="576">
        <f t="shared" si="48"/>
        <v>0</v>
      </c>
      <c r="K167" s="576">
        <f t="shared" si="49"/>
        <v>0</v>
      </c>
      <c r="L167" s="564">
        <f t="shared" si="46"/>
        <v>0</v>
      </c>
    </row>
    <row r="168" spans="1:12" x14ac:dyDescent="0.25">
      <c r="A168" s="871"/>
      <c r="B168" s="872"/>
      <c r="C168" s="872"/>
      <c r="D168" s="872"/>
      <c r="E168" s="872"/>
      <c r="F168" s="872"/>
      <c r="G168" s="872"/>
      <c r="H168" s="872"/>
      <c r="I168" s="872"/>
      <c r="J168" s="872"/>
      <c r="K168" s="872"/>
      <c r="L168" s="873"/>
    </row>
    <row r="169" spans="1:12" x14ac:dyDescent="0.25">
      <c r="A169" s="559">
        <f>REPROGRAMAÇÃO!A160</f>
        <v>10</v>
      </c>
      <c r="B169" s="560" t="str">
        <f>REPROGRAMAÇÃO!B160</f>
        <v>INSTALAÇÕES ELÉTRICAS</v>
      </c>
      <c r="C169" s="559"/>
      <c r="D169" s="562"/>
      <c r="E169" s="562"/>
      <c r="F169" s="562"/>
      <c r="G169" s="563"/>
      <c r="H169" s="563"/>
      <c r="I169" s="558">
        <f>SUM(I170:I208)</f>
        <v>57846.86</v>
      </c>
      <c r="J169" s="558">
        <f t="shared" ref="J169:K169" si="50">SUM(J170:J208)</f>
        <v>7931.82</v>
      </c>
      <c r="K169" s="558">
        <f t="shared" si="50"/>
        <v>17208.809999999998</v>
      </c>
      <c r="L169" s="556"/>
    </row>
    <row r="170" spans="1:12" ht="25.5" x14ac:dyDescent="0.25">
      <c r="A170" s="554" t="str">
        <f>REPROGRAMAÇÃO!A161</f>
        <v>10.1</v>
      </c>
      <c r="B170" s="555" t="str">
        <f>REPROGRAMAÇÃO!B161</f>
        <v>ELETRODUTO FLEXÍVEL CORRUGADO, PVC, DN 25 MM (3/4"), PARA CIRCUITOS TERMINAIS, INSTALADO EM LAJE - FORNECIMENTO E INSTALAÇÃO. AF_12/2015</v>
      </c>
      <c r="C170" s="554" t="str">
        <f>REPROGRAMAÇÃO!E161</f>
        <v>M</v>
      </c>
      <c r="D170" s="386"/>
      <c r="E170" s="386">
        <f>REPROGRAMAÇÃO!J161</f>
        <v>5.3599999999999994</v>
      </c>
      <c r="F170" s="386">
        <f>REPROGRAMAÇÃO!I161</f>
        <v>150</v>
      </c>
      <c r="G170" s="451"/>
      <c r="H170" s="575">
        <v>110</v>
      </c>
      <c r="I170" s="576">
        <f t="shared" si="41"/>
        <v>804</v>
      </c>
      <c r="J170" s="576">
        <f t="shared" ref="J170" si="51">ROUND(E170*G170,2)</f>
        <v>0</v>
      </c>
      <c r="K170" s="576">
        <f t="shared" ref="K170" si="52">ROUND(H170*E170,2)</f>
        <v>589.6</v>
      </c>
      <c r="L170" s="564">
        <f t="shared" ref="L170:L208" si="53">K170/I170</f>
        <v>0.73333333333333339</v>
      </c>
    </row>
    <row r="171" spans="1:12" ht="25.5" x14ac:dyDescent="0.25">
      <c r="A171" s="554" t="str">
        <f>REPROGRAMAÇÃO!A162</f>
        <v>10.2</v>
      </c>
      <c r="B171" s="555" t="str">
        <f>REPROGRAMAÇÃO!B162</f>
        <v>ELETRODUTO FLEXÍVEL CORRUGADO, PVC, DN 32 MM (1"), PARA CIRCUITOS TERMINAIS, INSTALADO EM LAJE - FORNECIMENTO E INSTALAÇÃO. AF_12/2015</v>
      </c>
      <c r="C171" s="554" t="str">
        <f>REPROGRAMAÇÃO!E162</f>
        <v>M</v>
      </c>
      <c r="D171" s="386"/>
      <c r="E171" s="386">
        <f>REPROGRAMAÇÃO!J162</f>
        <v>7.53</v>
      </c>
      <c r="F171" s="386">
        <f>REPROGRAMAÇÃO!I162</f>
        <v>220</v>
      </c>
      <c r="G171" s="451"/>
      <c r="H171" s="575">
        <v>120</v>
      </c>
      <c r="I171" s="576">
        <f t="shared" si="41"/>
        <v>1656.6</v>
      </c>
      <c r="J171" s="576">
        <f t="shared" ref="J171:J208" si="54">ROUND(E171*G171,2)</f>
        <v>0</v>
      </c>
      <c r="K171" s="576">
        <f t="shared" ref="K171:K208" si="55">ROUND(H171*E171,2)</f>
        <v>903.6</v>
      </c>
      <c r="L171" s="564">
        <f t="shared" si="53"/>
        <v>0.54545454545454553</v>
      </c>
    </row>
    <row r="172" spans="1:12" ht="25.5" x14ac:dyDescent="0.25">
      <c r="A172" s="554" t="str">
        <f>REPROGRAMAÇÃO!A163</f>
        <v>10.3</v>
      </c>
      <c r="B172" s="555" t="str">
        <f>REPROGRAMAÇÃO!B163</f>
        <v>ELETRODUTO FLEXÍVEL CORRUGADO, PEAD, DN 50 (1 ½?) - FORNECIMENTO E INSTALAÇÃO. AF_04/2016</v>
      </c>
      <c r="C172" s="554" t="str">
        <f>REPROGRAMAÇÃO!E163</f>
        <v>M</v>
      </c>
      <c r="D172" s="386"/>
      <c r="E172" s="386">
        <f>REPROGRAMAÇÃO!J163</f>
        <v>8.85</v>
      </c>
      <c r="F172" s="386">
        <f>REPROGRAMAÇÃO!I163</f>
        <v>25</v>
      </c>
      <c r="G172" s="451"/>
      <c r="H172" s="575">
        <v>0</v>
      </c>
      <c r="I172" s="576">
        <f t="shared" si="41"/>
        <v>221.25</v>
      </c>
      <c r="J172" s="576">
        <f t="shared" si="54"/>
        <v>0</v>
      </c>
      <c r="K172" s="576">
        <f t="shared" si="55"/>
        <v>0</v>
      </c>
      <c r="L172" s="564">
        <f t="shared" si="53"/>
        <v>0</v>
      </c>
    </row>
    <row r="173" spans="1:12" ht="25.5" x14ac:dyDescent="0.25">
      <c r="A173" s="554" t="str">
        <f>REPROGRAMAÇÃO!A164</f>
        <v>10.4</v>
      </c>
      <c r="B173" s="555" t="str">
        <f>REPROGRAMAÇÃO!B164</f>
        <v>ELETRODUTO RÍGIDO ROSCÁVEL, PVC, DN 50 MM (1 1/2") - FORNECIMENTO E INSTALAÇÃO. AF_12/2015</v>
      </c>
      <c r="C173" s="554" t="str">
        <f>REPROGRAMAÇÃO!E164</f>
        <v>M</v>
      </c>
      <c r="D173" s="386"/>
      <c r="E173" s="386">
        <f>REPROGRAMAÇÃO!J164</f>
        <v>12.81</v>
      </c>
      <c r="F173" s="386">
        <f>REPROGRAMAÇÃO!I164</f>
        <v>21</v>
      </c>
      <c r="G173" s="451"/>
      <c r="H173" s="575">
        <v>18</v>
      </c>
      <c r="I173" s="576">
        <f t="shared" si="41"/>
        <v>269.01</v>
      </c>
      <c r="J173" s="576">
        <f t="shared" si="54"/>
        <v>0</v>
      </c>
      <c r="K173" s="576">
        <f t="shared" si="55"/>
        <v>230.58</v>
      </c>
      <c r="L173" s="564">
        <f t="shared" si="53"/>
        <v>0.85714285714285721</v>
      </c>
    </row>
    <row r="174" spans="1:12" ht="25.5" x14ac:dyDescent="0.25">
      <c r="A174" s="554" t="str">
        <f>REPROGRAMAÇÃO!A165</f>
        <v>10.5</v>
      </c>
      <c r="B174" s="555" t="str">
        <f>REPROGRAMAÇÃO!B165</f>
        <v>LUVA PARA ELETRODUTO, PVC, ROSCÁVEL, DN 50 MM (1 1/2") - FORNECIMENTO E INSTALAÇÃO. AF_12/2015</v>
      </c>
      <c r="C174" s="554" t="str">
        <f>REPROGRAMAÇÃO!E165</f>
        <v>UN</v>
      </c>
      <c r="D174" s="386"/>
      <c r="E174" s="386">
        <f>REPROGRAMAÇÃO!J165</f>
        <v>11.829999999999998</v>
      </c>
      <c r="F174" s="386">
        <f>REPROGRAMAÇÃO!I165</f>
        <v>7</v>
      </c>
      <c r="G174" s="451"/>
      <c r="H174" s="575">
        <v>6</v>
      </c>
      <c r="I174" s="576">
        <f t="shared" si="41"/>
        <v>82.81</v>
      </c>
      <c r="J174" s="576">
        <f t="shared" si="54"/>
        <v>0</v>
      </c>
      <c r="K174" s="576">
        <f t="shared" si="55"/>
        <v>70.98</v>
      </c>
      <c r="L174" s="564">
        <f t="shared" si="53"/>
        <v>0.85714285714285721</v>
      </c>
    </row>
    <row r="175" spans="1:12" ht="25.5" x14ac:dyDescent="0.25">
      <c r="A175" s="554" t="str">
        <f>REPROGRAMAÇÃO!A166</f>
        <v>10.6</v>
      </c>
      <c r="B175" s="555" t="str">
        <f>REPROGRAMAÇÃO!B166</f>
        <v>CAIXA RETANGULAR 4" X 2" MÉDIA (1,30 M DO PISO), PVC, INSTALADA EM PAREDE - FORNECIMENTO E INSTALAÇÃO. AF_12/2015</v>
      </c>
      <c r="C175" s="554" t="str">
        <f>REPROGRAMAÇÃO!E166</f>
        <v>UN</v>
      </c>
      <c r="D175" s="386"/>
      <c r="E175" s="386">
        <f>REPROGRAMAÇÃO!J166</f>
        <v>12.2</v>
      </c>
      <c r="F175" s="386">
        <f>REPROGRAMAÇÃO!I166</f>
        <v>45</v>
      </c>
      <c r="G175" s="451"/>
      <c r="H175" s="575">
        <v>25</v>
      </c>
      <c r="I175" s="576">
        <f t="shared" si="41"/>
        <v>549</v>
      </c>
      <c r="J175" s="576">
        <f t="shared" si="54"/>
        <v>0</v>
      </c>
      <c r="K175" s="576">
        <f t="shared" si="55"/>
        <v>305</v>
      </c>
      <c r="L175" s="564">
        <f t="shared" si="53"/>
        <v>0.55555555555555558</v>
      </c>
    </row>
    <row r="176" spans="1:12" ht="25.5" x14ac:dyDescent="0.25">
      <c r="A176" s="554" t="str">
        <f>REPROGRAMAÇÃO!A167</f>
        <v>10.7</v>
      </c>
      <c r="B176" s="555" t="str">
        <f>REPROGRAMAÇÃO!B167</f>
        <v>CAIXA RETANGULAR 4" X 4" MÉDIA (1,30 M DO PISO), PVC, INSTALADA EM PAREDE - FORNECIMENTO E INSTALAÇÃO. AF_12/2015</v>
      </c>
      <c r="C176" s="554" t="str">
        <f>REPROGRAMAÇÃO!E167</f>
        <v>UN</v>
      </c>
      <c r="D176" s="386"/>
      <c r="E176" s="386">
        <f>REPROGRAMAÇÃO!J167</f>
        <v>15.86</v>
      </c>
      <c r="F176" s="386">
        <f>REPROGRAMAÇÃO!I167</f>
        <v>16</v>
      </c>
      <c r="G176" s="451"/>
      <c r="H176" s="575">
        <v>0</v>
      </c>
      <c r="I176" s="576">
        <f t="shared" si="41"/>
        <v>253.76</v>
      </c>
      <c r="J176" s="576">
        <f t="shared" si="54"/>
        <v>0</v>
      </c>
      <c r="K176" s="576">
        <f t="shared" si="55"/>
        <v>0</v>
      </c>
      <c r="L176" s="564">
        <f t="shared" si="53"/>
        <v>0</v>
      </c>
    </row>
    <row r="177" spans="1:12" ht="25.5" x14ac:dyDescent="0.25">
      <c r="A177" s="554" t="str">
        <f>REPROGRAMAÇÃO!A168</f>
        <v>10.8</v>
      </c>
      <c r="B177" s="555" t="str">
        <f>REPROGRAMAÇÃO!B168</f>
        <v>CAIXA OCTOGONAL 4" X 4", PVC, INSTALADA EM LAJE - FORNECIMENTO E INSTALAÇÃO. AF_12/2015</v>
      </c>
      <c r="C177" s="554" t="str">
        <f>REPROGRAMAÇÃO!E168</f>
        <v>UN</v>
      </c>
      <c r="D177" s="386"/>
      <c r="E177" s="386">
        <f>REPROGRAMAÇÃO!J168</f>
        <v>10.959999999999999</v>
      </c>
      <c r="F177" s="386">
        <f>REPROGRAMAÇÃO!I168</f>
        <v>32</v>
      </c>
      <c r="G177" s="451"/>
      <c r="H177" s="575">
        <v>18</v>
      </c>
      <c r="I177" s="576">
        <f t="shared" si="41"/>
        <v>350.72</v>
      </c>
      <c r="J177" s="576">
        <f t="shared" si="54"/>
        <v>0</v>
      </c>
      <c r="K177" s="576">
        <f t="shared" si="55"/>
        <v>197.28</v>
      </c>
      <c r="L177" s="564">
        <f t="shared" si="53"/>
        <v>0.5625</v>
      </c>
    </row>
    <row r="178" spans="1:12" x14ac:dyDescent="0.25">
      <c r="A178" s="554" t="str">
        <f>REPROGRAMAÇÃO!A169</f>
        <v>10.9</v>
      </c>
      <c r="B178" s="555" t="str">
        <f>REPROGRAMAÇÃO!B169</f>
        <v>Caixa de passagem pvc 15x15x8cm p/eletrica, tipo Aquatic ou similar</v>
      </c>
      <c r="C178" s="554" t="str">
        <f>REPROGRAMAÇÃO!E169</f>
        <v>un</v>
      </c>
      <c r="D178" s="386"/>
      <c r="E178" s="386">
        <f>REPROGRAMAÇÃO!J169</f>
        <v>45.449999999999996</v>
      </c>
      <c r="F178" s="386">
        <f>REPROGRAMAÇÃO!I169</f>
        <v>2</v>
      </c>
      <c r="G178" s="451"/>
      <c r="H178" s="575">
        <v>0</v>
      </c>
      <c r="I178" s="576">
        <f t="shared" si="41"/>
        <v>90.9</v>
      </c>
      <c r="J178" s="576">
        <f t="shared" si="54"/>
        <v>0</v>
      </c>
      <c r="K178" s="576">
        <f t="shared" si="55"/>
        <v>0</v>
      </c>
      <c r="L178" s="564">
        <f t="shared" si="53"/>
        <v>0</v>
      </c>
    </row>
    <row r="179" spans="1:12" ht="25.5" x14ac:dyDescent="0.25">
      <c r="A179" s="554" t="str">
        <f>REPROGRAMAÇÃO!A170</f>
        <v>10.10</v>
      </c>
      <c r="B179" s="555" t="str">
        <f>REPROGRAMAÇÃO!B170</f>
        <v>CABO DE COBRE FLEXÍVEL ISOLADO, 1,5 MM², ANTI-CHAMA 450/750 V, PARA CIRCUITOS TERMINAIS - FORNECIMENTO E INSTALAÇÃO. AF_12/2015</v>
      </c>
      <c r="C179" s="554" t="str">
        <f>REPROGRAMAÇÃO!E170</f>
        <v>M</v>
      </c>
      <c r="D179" s="386"/>
      <c r="E179" s="386">
        <f>REPROGRAMAÇÃO!J170</f>
        <v>3.04</v>
      </c>
      <c r="F179" s="386">
        <f>REPROGRAMAÇÃO!I170</f>
        <v>1050</v>
      </c>
      <c r="G179" s="451"/>
      <c r="H179" s="575">
        <v>900</v>
      </c>
      <c r="I179" s="576">
        <f t="shared" si="41"/>
        <v>3192</v>
      </c>
      <c r="J179" s="576">
        <f t="shared" si="54"/>
        <v>0</v>
      </c>
      <c r="K179" s="576">
        <f t="shared" si="55"/>
        <v>2736</v>
      </c>
      <c r="L179" s="564">
        <f t="shared" si="53"/>
        <v>0.8571428571428571</v>
      </c>
    </row>
    <row r="180" spans="1:12" ht="25.5" x14ac:dyDescent="0.25">
      <c r="A180" s="554" t="str">
        <f>REPROGRAMAÇÃO!A171</f>
        <v>10.11</v>
      </c>
      <c r="B180" s="555" t="str">
        <f>REPROGRAMAÇÃO!B171</f>
        <v>CABO DE COBRE FLEXÍVEL ISOLADO, 2,5 MM², ANTI-CHAMA 450/750 V, PARA CIRCUITOS TERMINAIS - FORNECIMENTO E INSTALAÇÃO. AF_12/2015</v>
      </c>
      <c r="C180" s="554" t="str">
        <f>REPROGRAMAÇÃO!E171</f>
        <v>M</v>
      </c>
      <c r="D180" s="386"/>
      <c r="E180" s="386">
        <f>REPROGRAMAÇÃO!J171</f>
        <v>4.55</v>
      </c>
      <c r="F180" s="386">
        <f>REPROGRAMAÇÃO!I171</f>
        <v>750</v>
      </c>
      <c r="G180" s="451"/>
      <c r="H180" s="575">
        <v>300</v>
      </c>
      <c r="I180" s="576">
        <f t="shared" si="41"/>
        <v>3412.5</v>
      </c>
      <c r="J180" s="576">
        <f t="shared" si="54"/>
        <v>0</v>
      </c>
      <c r="K180" s="576">
        <f t="shared" si="55"/>
        <v>1365</v>
      </c>
      <c r="L180" s="564">
        <f t="shared" si="53"/>
        <v>0.4</v>
      </c>
    </row>
    <row r="181" spans="1:12" ht="25.5" x14ac:dyDescent="0.25">
      <c r="A181" s="554" t="str">
        <f>REPROGRAMAÇÃO!A172</f>
        <v>10.12</v>
      </c>
      <c r="B181" s="555" t="str">
        <f>REPROGRAMAÇÃO!B172</f>
        <v>CABO DE COBRE FLEXÍVEL ISOLADO, 4 MM², ANTI-CHAMA 450/750 V, PARA CIRCUITOS TERMINAIS - FORNECIMENTO E INSTALAÇÃO. AF_12/2015</v>
      </c>
      <c r="C181" s="554" t="str">
        <f>REPROGRAMAÇÃO!E172</f>
        <v>M</v>
      </c>
      <c r="D181" s="386"/>
      <c r="E181" s="386">
        <f>REPROGRAMAÇÃO!J172</f>
        <v>7.59</v>
      </c>
      <c r="F181" s="386">
        <f>REPROGRAMAÇÃO!I172</f>
        <v>450</v>
      </c>
      <c r="G181" s="451"/>
      <c r="H181" s="575">
        <v>300</v>
      </c>
      <c r="I181" s="576">
        <f t="shared" si="41"/>
        <v>3415.5</v>
      </c>
      <c r="J181" s="576">
        <f t="shared" si="54"/>
        <v>0</v>
      </c>
      <c r="K181" s="576">
        <f t="shared" si="55"/>
        <v>2277</v>
      </c>
      <c r="L181" s="564">
        <f t="shared" si="53"/>
        <v>0.66666666666666663</v>
      </c>
    </row>
    <row r="182" spans="1:12" x14ac:dyDescent="0.25">
      <c r="A182" s="554" t="str">
        <f>REPROGRAMAÇÃO!A173</f>
        <v>10.13</v>
      </c>
      <c r="B182" s="555" t="str">
        <f>REPROGRAMAÇÃO!B173</f>
        <v>Cabo de cobre isolado em EPR flexível unipolar 10mm² - 0,6Kv/1Kv/90°</v>
      </c>
      <c r="C182" s="554" t="str">
        <f>REPROGRAMAÇÃO!E173</f>
        <v>m</v>
      </c>
      <c r="D182" s="386"/>
      <c r="E182" s="386">
        <f>REPROGRAMAÇÃO!J173</f>
        <v>21.11</v>
      </c>
      <c r="F182" s="386">
        <f>REPROGRAMAÇÃO!I173</f>
        <v>150</v>
      </c>
      <c r="G182" s="451"/>
      <c r="H182" s="575">
        <v>0</v>
      </c>
      <c r="I182" s="576">
        <f t="shared" si="41"/>
        <v>3166.5</v>
      </c>
      <c r="J182" s="576">
        <f t="shared" si="54"/>
        <v>0</v>
      </c>
      <c r="K182" s="576">
        <f t="shared" si="55"/>
        <v>0</v>
      </c>
      <c r="L182" s="564">
        <f t="shared" si="53"/>
        <v>0</v>
      </c>
    </row>
    <row r="183" spans="1:12" ht="25.5" x14ac:dyDescent="0.25">
      <c r="A183" s="554" t="str">
        <f>REPROGRAMAÇÃO!A174</f>
        <v>10.14</v>
      </c>
      <c r="B183" s="555" t="str">
        <f>REPROGRAMAÇÃO!B174</f>
        <v>INTERRUPTOR SIMPLES (1 MÓDULO), 10A/250V, INCLUINDO SUPORTE E PLACA - FORNECIMENTO E INSTALAÇÃO. AF_12/2015</v>
      </c>
      <c r="C183" s="554" t="str">
        <f>REPROGRAMAÇÃO!E174</f>
        <v>UN</v>
      </c>
      <c r="D183" s="386"/>
      <c r="E183" s="386">
        <f>REPROGRAMAÇÃO!J174</f>
        <v>23.53</v>
      </c>
      <c r="F183" s="386">
        <f>REPROGRAMAÇÃO!I174</f>
        <v>5</v>
      </c>
      <c r="G183" s="451"/>
      <c r="H183" s="575">
        <v>0</v>
      </c>
      <c r="I183" s="576">
        <f t="shared" si="41"/>
        <v>117.65</v>
      </c>
      <c r="J183" s="576">
        <f t="shared" si="54"/>
        <v>0</v>
      </c>
      <c r="K183" s="576">
        <f t="shared" si="55"/>
        <v>0</v>
      </c>
      <c r="L183" s="564">
        <f t="shared" si="53"/>
        <v>0</v>
      </c>
    </row>
    <row r="184" spans="1:12" ht="25.5" x14ac:dyDescent="0.25">
      <c r="A184" s="554" t="str">
        <f>REPROGRAMAÇÃO!A175</f>
        <v>10.15</v>
      </c>
      <c r="B184" s="555" t="str">
        <f>REPROGRAMAÇÃO!B175</f>
        <v>INTERRUPTOR SIMPLES (2 MÓDULOS), 10A/250V, INCLUINDO SUPORTE E PLACA - FORNECIMENTO E INSTALAÇÃO. AF_12/2015</v>
      </c>
      <c r="C184" s="554" t="str">
        <f>REPROGRAMAÇÃO!E175</f>
        <v>UN</v>
      </c>
      <c r="D184" s="386"/>
      <c r="E184" s="386">
        <f>REPROGRAMAÇÃO!J175</f>
        <v>37.299999999999997</v>
      </c>
      <c r="F184" s="386">
        <f>REPROGRAMAÇÃO!I175</f>
        <v>2</v>
      </c>
      <c r="G184" s="451"/>
      <c r="H184" s="575">
        <v>0</v>
      </c>
      <c r="I184" s="576">
        <f t="shared" si="41"/>
        <v>74.599999999999994</v>
      </c>
      <c r="J184" s="576">
        <f t="shared" si="54"/>
        <v>0</v>
      </c>
      <c r="K184" s="576">
        <f t="shared" si="55"/>
        <v>0</v>
      </c>
      <c r="L184" s="564">
        <f t="shared" si="53"/>
        <v>0</v>
      </c>
    </row>
    <row r="185" spans="1:12" ht="25.5" x14ac:dyDescent="0.25">
      <c r="A185" s="554" t="str">
        <f>REPROGRAMAÇÃO!A176</f>
        <v>10.16</v>
      </c>
      <c r="B185" s="555" t="str">
        <f>REPROGRAMAÇÃO!B176</f>
        <v>INTERRUPTOR SIMPLES (3 MÓDULOS), 10A/250V, INCLUINDO SUPORTE E PLACA - FORNECIMENTO E INSTALAÇÃO. AF_12/2015</v>
      </c>
      <c r="C185" s="554" t="str">
        <f>REPROGRAMAÇÃO!E176</f>
        <v>UN</v>
      </c>
      <c r="D185" s="386"/>
      <c r="E185" s="386">
        <f>REPROGRAMAÇÃO!J176</f>
        <v>51.050000000000004</v>
      </c>
      <c r="F185" s="386">
        <f>REPROGRAMAÇÃO!I176</f>
        <v>1</v>
      </c>
      <c r="G185" s="451"/>
      <c r="H185" s="575">
        <v>0</v>
      </c>
      <c r="I185" s="576">
        <f t="shared" si="41"/>
        <v>51.05</v>
      </c>
      <c r="J185" s="576">
        <f t="shared" si="54"/>
        <v>0</v>
      </c>
      <c r="K185" s="576">
        <f t="shared" si="55"/>
        <v>0</v>
      </c>
      <c r="L185" s="564">
        <f t="shared" si="53"/>
        <v>0</v>
      </c>
    </row>
    <row r="186" spans="1:12" ht="25.5" x14ac:dyDescent="0.25">
      <c r="A186" s="554" t="str">
        <f>REPROGRAMAÇÃO!A177</f>
        <v>10.17</v>
      </c>
      <c r="B186" s="555" t="str">
        <f>REPROGRAMAÇÃO!B177</f>
        <v>INTERRUPTOR PARALELO (2 MÓDULOS), 10A/250V, INCLUINDO SUPORTE E PLACA - FORNECIMENTO E INSTALAÇÃO. AF_12/2015</v>
      </c>
      <c r="C186" s="554" t="str">
        <f>REPROGRAMAÇÃO!E177</f>
        <v>UN</v>
      </c>
      <c r="D186" s="386"/>
      <c r="E186" s="386">
        <f>REPROGRAMAÇÃO!J177</f>
        <v>48.14</v>
      </c>
      <c r="F186" s="386">
        <f>REPROGRAMAÇÃO!I177</f>
        <v>2</v>
      </c>
      <c r="G186" s="451"/>
      <c r="H186" s="575">
        <v>0</v>
      </c>
      <c r="I186" s="576">
        <f t="shared" si="41"/>
        <v>96.28</v>
      </c>
      <c r="J186" s="576">
        <f t="shared" si="54"/>
        <v>0</v>
      </c>
      <c r="K186" s="576">
        <f t="shared" si="55"/>
        <v>0</v>
      </c>
      <c r="L186" s="564">
        <f t="shared" si="53"/>
        <v>0</v>
      </c>
    </row>
    <row r="187" spans="1:12" ht="25.5" x14ac:dyDescent="0.25">
      <c r="A187" s="554" t="str">
        <f>REPROGRAMAÇÃO!A178</f>
        <v>10.18</v>
      </c>
      <c r="B187" s="555" t="str">
        <f>REPROGRAMAÇÃO!B178</f>
        <v>TOMADA BAIXA DE EMBUTIR (1 MÓDULO), 2P+T 10 A, INCLUINDO SUPORTE E PLACA - FORNECIMENTO E INSTALAÇÃO. AF_12/2015</v>
      </c>
      <c r="C187" s="554" t="str">
        <f>REPROGRAMAÇÃO!E178</f>
        <v>UN</v>
      </c>
      <c r="D187" s="386"/>
      <c r="E187" s="386">
        <f>REPROGRAMAÇÃO!J178</f>
        <v>24.939999999999998</v>
      </c>
      <c r="F187" s="386">
        <f>REPROGRAMAÇÃO!I178</f>
        <v>26</v>
      </c>
      <c r="G187" s="451"/>
      <c r="H187" s="575">
        <v>0</v>
      </c>
      <c r="I187" s="576">
        <f t="shared" si="41"/>
        <v>648.44000000000005</v>
      </c>
      <c r="J187" s="576">
        <f t="shared" si="54"/>
        <v>0</v>
      </c>
      <c r="K187" s="576">
        <f t="shared" si="55"/>
        <v>0</v>
      </c>
      <c r="L187" s="564">
        <f t="shared" si="53"/>
        <v>0</v>
      </c>
    </row>
    <row r="188" spans="1:12" ht="25.5" x14ac:dyDescent="0.25">
      <c r="A188" s="554" t="str">
        <f>REPROGRAMAÇÃO!A179</f>
        <v>10.19</v>
      </c>
      <c r="B188" s="555" t="str">
        <f>REPROGRAMAÇÃO!B179</f>
        <v>TOMADA ALTA DE EMBUTIR (1 MÓDULO), 2P+T 20 A, INCLUINDO SUPORTE E PLACA - FORNECIMENTO E INSTALAÇÃO. AF_12/2015</v>
      </c>
      <c r="C188" s="554" t="str">
        <f>REPROGRAMAÇÃO!E179</f>
        <v>UN</v>
      </c>
      <c r="D188" s="386"/>
      <c r="E188" s="386">
        <f>REPROGRAMAÇÃO!J179</f>
        <v>37.43</v>
      </c>
      <c r="F188" s="386">
        <f>REPROGRAMAÇÃO!I179</f>
        <v>6</v>
      </c>
      <c r="G188" s="451"/>
      <c r="H188" s="575">
        <v>0</v>
      </c>
      <c r="I188" s="576">
        <f t="shared" si="41"/>
        <v>224.58</v>
      </c>
      <c r="J188" s="576">
        <f t="shared" si="54"/>
        <v>0</v>
      </c>
      <c r="K188" s="576">
        <f t="shared" si="55"/>
        <v>0</v>
      </c>
      <c r="L188" s="564">
        <f t="shared" si="53"/>
        <v>0</v>
      </c>
    </row>
    <row r="189" spans="1:12" ht="25.5" x14ac:dyDescent="0.25">
      <c r="A189" s="554" t="str">
        <f>REPROGRAMAÇÃO!A180</f>
        <v>10.20</v>
      </c>
      <c r="B189" s="555" t="str">
        <f>REPROGRAMAÇÃO!B180</f>
        <v>LUMINÁRIA PLAFON DE TETO TIPO EMBUTIR RETÂNGULAR BRANCA COM LUZ QUENTE 24W</v>
      </c>
      <c r="C189" s="554" t="str">
        <f>REPROGRAMAÇÃO!E180</f>
        <v>UN</v>
      </c>
      <c r="D189" s="386"/>
      <c r="E189" s="386">
        <f>REPROGRAMAÇÃO!J180</f>
        <v>157.72</v>
      </c>
      <c r="F189" s="386">
        <f>REPROGRAMAÇÃO!I180</f>
        <v>36</v>
      </c>
      <c r="G189" s="451"/>
      <c r="H189" s="575"/>
      <c r="I189" s="576">
        <f t="shared" si="41"/>
        <v>5677.92</v>
      </c>
      <c r="J189" s="576">
        <f t="shared" si="54"/>
        <v>0</v>
      </c>
      <c r="K189" s="576">
        <f t="shared" si="55"/>
        <v>0</v>
      </c>
      <c r="L189" s="564">
        <f t="shared" si="53"/>
        <v>0</v>
      </c>
    </row>
    <row r="190" spans="1:12" ht="25.5" x14ac:dyDescent="0.25">
      <c r="A190" s="554" t="str">
        <f>REPROGRAMAÇÃO!A181</f>
        <v>10.21</v>
      </c>
      <c r="B190" s="555" t="str">
        <f>REPROGRAMAÇÃO!B181</f>
        <v>LUMINÁRIA DE PISO DE EMBUTIR COM LÂMPADA DE 5W, COM TEMPERATURA DE COR FRIA ÂMBA</v>
      </c>
      <c r="C190" s="554" t="str">
        <f>REPROGRAMAÇÃO!E181</f>
        <v>UN</v>
      </c>
      <c r="D190" s="386"/>
      <c r="E190" s="386">
        <f>REPROGRAMAÇÃO!J181</f>
        <v>95.72</v>
      </c>
      <c r="F190" s="386">
        <f>REPROGRAMAÇÃO!I181</f>
        <v>26</v>
      </c>
      <c r="G190" s="451"/>
      <c r="H190" s="575">
        <v>0</v>
      </c>
      <c r="I190" s="576">
        <f t="shared" si="41"/>
        <v>2488.7199999999998</v>
      </c>
      <c r="J190" s="576">
        <f t="shared" si="54"/>
        <v>0</v>
      </c>
      <c r="K190" s="576">
        <f t="shared" si="55"/>
        <v>0</v>
      </c>
      <c r="L190" s="564">
        <f t="shared" si="53"/>
        <v>0</v>
      </c>
    </row>
    <row r="191" spans="1:12" ht="25.5" x14ac:dyDescent="0.25">
      <c r="A191" s="554" t="str">
        <f>REPROGRAMAÇÃO!A182</f>
        <v>10.22</v>
      </c>
      <c r="B191" s="555" t="str">
        <f>REPROGRAMAÇÃO!B182</f>
        <v>Luminária tipo plafon (sobrepor), quadrada, 24x24cm, em aluminio pintado na cor branca, c/difusor em vidro, Aladin ou similar</v>
      </c>
      <c r="C191" s="554" t="str">
        <f>REPROGRAMAÇÃO!E182</f>
        <v>un</v>
      </c>
      <c r="D191" s="386"/>
      <c r="E191" s="386">
        <f>REPROGRAMAÇÃO!J182</f>
        <v>127.92</v>
      </c>
      <c r="F191" s="386">
        <f>REPROGRAMAÇÃO!I182</f>
        <v>39</v>
      </c>
      <c r="G191" s="451">
        <v>12</v>
      </c>
      <c r="H191" s="575">
        <v>12</v>
      </c>
      <c r="I191" s="576">
        <f t="shared" si="41"/>
        <v>4988.88</v>
      </c>
      <c r="J191" s="576">
        <f t="shared" si="54"/>
        <v>1535.04</v>
      </c>
      <c r="K191" s="576">
        <f t="shared" si="55"/>
        <v>1535.04</v>
      </c>
      <c r="L191" s="564">
        <f t="shared" si="53"/>
        <v>0.30769230769230765</v>
      </c>
    </row>
    <row r="192" spans="1:12" ht="25.5" x14ac:dyDescent="0.25">
      <c r="A192" s="554" t="str">
        <f>REPROGRAMAÇÃO!A183</f>
        <v>10.23</v>
      </c>
      <c r="B192" s="555" t="str">
        <f>REPROGRAMAÇÃO!B183</f>
        <v>Luminária tipo balizador para ambiente aberto, corpo em alumínio fundido pintado, difusor em vidro frisado temperado, ref. EX02-S, da Lumicenter ou simiular (tipo tartaruga)</v>
      </c>
      <c r="C192" s="554" t="str">
        <f>REPROGRAMAÇÃO!E183</f>
        <v>un</v>
      </c>
      <c r="D192" s="386"/>
      <c r="E192" s="386">
        <f>REPROGRAMAÇÃO!J183</f>
        <v>143.57</v>
      </c>
      <c r="F192" s="386">
        <f>REPROGRAMAÇÃO!I183</f>
        <v>16</v>
      </c>
      <c r="G192" s="451"/>
      <c r="H192" s="575">
        <v>0</v>
      </c>
      <c r="I192" s="576">
        <f t="shared" si="41"/>
        <v>2297.12</v>
      </c>
      <c r="J192" s="576">
        <f t="shared" si="54"/>
        <v>0</v>
      </c>
      <c r="K192" s="576">
        <f t="shared" si="55"/>
        <v>0</v>
      </c>
      <c r="L192" s="564">
        <f t="shared" si="53"/>
        <v>0</v>
      </c>
    </row>
    <row r="193" spans="1:12" x14ac:dyDescent="0.25">
      <c r="A193" s="554" t="str">
        <f>REPROGRAMAÇÃO!A184</f>
        <v>10.24</v>
      </c>
      <c r="B193" s="555" t="str">
        <f>REPROGRAMAÇÃO!B184</f>
        <v>LUMINÁRIA TIPO SPOT SIMPLES C/ LÂMPADA INCANDESCENTE</v>
      </c>
      <c r="C193" s="554" t="str">
        <f>REPROGRAMAÇÃO!E184</f>
        <v>UN</v>
      </c>
      <c r="D193" s="386"/>
      <c r="E193" s="386">
        <f>REPROGRAMAÇÃO!J184</f>
        <v>56.28</v>
      </c>
      <c r="F193" s="386">
        <f>REPROGRAMAÇÃO!I184</f>
        <v>8</v>
      </c>
      <c r="G193" s="451"/>
      <c r="H193" s="575">
        <v>0</v>
      </c>
      <c r="I193" s="576">
        <f t="shared" si="41"/>
        <v>450.24</v>
      </c>
      <c r="J193" s="576">
        <f t="shared" si="54"/>
        <v>0</v>
      </c>
      <c r="K193" s="576">
        <f t="shared" si="55"/>
        <v>0</v>
      </c>
      <c r="L193" s="564">
        <f t="shared" si="53"/>
        <v>0</v>
      </c>
    </row>
    <row r="194" spans="1:12" x14ac:dyDescent="0.25">
      <c r="A194" s="554" t="str">
        <f>REPROGRAMAÇÃO!A185</f>
        <v>10.25</v>
      </c>
      <c r="B194" s="555" t="str">
        <f>REPROGRAMAÇÃO!B185</f>
        <v>POSTE DE ILUMINAÇÃO TIPO GLOBO/BOLA COM TRÊS PÉTALAS</v>
      </c>
      <c r="C194" s="554" t="str">
        <f>REPROGRAMAÇÃO!E185</f>
        <v>UN</v>
      </c>
      <c r="D194" s="386"/>
      <c r="E194" s="386">
        <f>REPROGRAMAÇÃO!J185</f>
        <v>807.2</v>
      </c>
      <c r="F194" s="386">
        <f>REPROGRAMAÇÃO!I185</f>
        <v>8</v>
      </c>
      <c r="G194" s="451"/>
      <c r="H194" s="575">
        <v>8</v>
      </c>
      <c r="I194" s="576">
        <f t="shared" si="41"/>
        <v>6457.6</v>
      </c>
      <c r="J194" s="576">
        <f t="shared" si="54"/>
        <v>0</v>
      </c>
      <c r="K194" s="576">
        <f t="shared" si="55"/>
        <v>6457.6</v>
      </c>
      <c r="L194" s="564">
        <f t="shared" si="53"/>
        <v>1</v>
      </c>
    </row>
    <row r="195" spans="1:12" x14ac:dyDescent="0.25">
      <c r="A195" s="554" t="str">
        <f>REPROGRAMAÇÃO!A186</f>
        <v>10.26</v>
      </c>
      <c r="B195" s="555" t="str">
        <f>REPROGRAMAÇÃO!B186</f>
        <v>CALHA LUMINOSA EM LED</v>
      </c>
      <c r="C195" s="554" t="str">
        <f>REPROGRAMAÇÃO!E186</f>
        <v>M</v>
      </c>
      <c r="D195" s="386"/>
      <c r="E195" s="386">
        <f>REPROGRAMAÇÃO!J186</f>
        <v>104.94</v>
      </c>
      <c r="F195" s="386">
        <f>REPROGRAMAÇÃO!I186</f>
        <v>111.8</v>
      </c>
      <c r="G195" s="451">
        <f>'Memorial 18'!L87</f>
        <v>55.800000000000004</v>
      </c>
      <c r="H195" s="575">
        <v>0</v>
      </c>
      <c r="I195" s="576">
        <f t="shared" si="41"/>
        <v>11732.29</v>
      </c>
      <c r="J195" s="576">
        <f t="shared" si="54"/>
        <v>5855.65</v>
      </c>
      <c r="K195" s="576">
        <f t="shared" si="55"/>
        <v>0</v>
      </c>
      <c r="L195" s="564">
        <f t="shared" si="53"/>
        <v>0</v>
      </c>
    </row>
    <row r="196" spans="1:12" ht="25.5" x14ac:dyDescent="0.25">
      <c r="A196" s="554" t="str">
        <f>REPROGRAMAÇÃO!A187</f>
        <v>10.27</v>
      </c>
      <c r="B196" s="555" t="str">
        <f>REPROGRAMAÇÃO!B187</f>
        <v>DISJUNTOR MONOPOLAR TIPO DIN, CORRENTE NOMINAL DE 10A - FORNECIMENTO E INSTALAÇÃO. AF_10/2020</v>
      </c>
      <c r="C196" s="554" t="str">
        <f>REPROGRAMAÇÃO!E187</f>
        <v>UN</v>
      </c>
      <c r="D196" s="386"/>
      <c r="E196" s="386">
        <f>REPROGRAMAÇÃO!J187</f>
        <v>10.66</v>
      </c>
      <c r="F196" s="386">
        <f>REPROGRAMAÇÃO!I187</f>
        <v>3</v>
      </c>
      <c r="G196" s="451">
        <v>3</v>
      </c>
      <c r="H196" s="575">
        <f>G196</f>
        <v>3</v>
      </c>
      <c r="I196" s="576">
        <f t="shared" si="41"/>
        <v>31.98</v>
      </c>
      <c r="J196" s="576">
        <f t="shared" si="54"/>
        <v>31.98</v>
      </c>
      <c r="K196" s="576">
        <f t="shared" si="55"/>
        <v>31.98</v>
      </c>
      <c r="L196" s="564">
        <f t="shared" si="53"/>
        <v>1</v>
      </c>
    </row>
    <row r="197" spans="1:12" ht="25.5" x14ac:dyDescent="0.25">
      <c r="A197" s="554" t="str">
        <f>REPROGRAMAÇÃO!A188</f>
        <v>10.28</v>
      </c>
      <c r="B197" s="555" t="str">
        <f>REPROGRAMAÇÃO!B188</f>
        <v>DISJUNTOR MONOPOLAR TIPO DIN, CORRENTE NOMINAL DE 16A - FORNECIMENTO E INSTALAÇÃO. AF_10/2020</v>
      </c>
      <c r="C197" s="554" t="str">
        <f>REPROGRAMAÇÃO!E188</f>
        <v>UN</v>
      </c>
      <c r="D197" s="386"/>
      <c r="E197" s="386">
        <f>REPROGRAMAÇÃO!J188</f>
        <v>11.14</v>
      </c>
      <c r="F197" s="386">
        <f>REPROGRAMAÇÃO!I188</f>
        <v>3</v>
      </c>
      <c r="G197" s="451">
        <v>3</v>
      </c>
      <c r="H197" s="575">
        <f t="shared" ref="H197:H200" si="56">G197</f>
        <v>3</v>
      </c>
      <c r="I197" s="576">
        <f t="shared" si="41"/>
        <v>33.42</v>
      </c>
      <c r="J197" s="576">
        <f t="shared" si="54"/>
        <v>33.42</v>
      </c>
      <c r="K197" s="576">
        <f t="shared" si="55"/>
        <v>33.42</v>
      </c>
      <c r="L197" s="564">
        <f t="shared" si="53"/>
        <v>1</v>
      </c>
    </row>
    <row r="198" spans="1:12" ht="25.5" x14ac:dyDescent="0.25">
      <c r="A198" s="554" t="str">
        <f>REPROGRAMAÇÃO!A189</f>
        <v>10.29</v>
      </c>
      <c r="B198" s="555" t="str">
        <f>REPROGRAMAÇÃO!B189</f>
        <v>DISJUNTOR MONOPOLAR TIPO DIN, CORRENTE NOMINAL DE 20A - FORNECIMENTO E INSTALAÇÃO. AF_10/2020</v>
      </c>
      <c r="C198" s="554" t="str">
        <f>REPROGRAMAÇÃO!E189</f>
        <v>UN</v>
      </c>
      <c r="D198" s="386"/>
      <c r="E198" s="386">
        <f>REPROGRAMAÇÃO!J189</f>
        <v>12.09</v>
      </c>
      <c r="F198" s="386">
        <f>REPROGRAMAÇÃO!I189</f>
        <v>2</v>
      </c>
      <c r="G198" s="451">
        <v>2</v>
      </c>
      <c r="H198" s="575">
        <f t="shared" si="56"/>
        <v>2</v>
      </c>
      <c r="I198" s="576">
        <f t="shared" si="41"/>
        <v>24.18</v>
      </c>
      <c r="J198" s="576">
        <f t="shared" si="54"/>
        <v>24.18</v>
      </c>
      <c r="K198" s="576">
        <f t="shared" si="55"/>
        <v>24.18</v>
      </c>
      <c r="L198" s="564">
        <f t="shared" si="53"/>
        <v>1</v>
      </c>
    </row>
    <row r="199" spans="1:12" ht="25.5" x14ac:dyDescent="0.25">
      <c r="A199" s="554" t="str">
        <f>REPROGRAMAÇÃO!A190</f>
        <v>10.30</v>
      </c>
      <c r="B199" s="555" t="str">
        <f>REPROGRAMAÇÃO!B190</f>
        <v>DISJUNTOR MONOPOLAR TIPO DIN, CORRENTE NOMINAL DE 32A - FORNECIMENTO E INSTALAÇÃO. AF_10/2020</v>
      </c>
      <c r="C199" s="554" t="str">
        <f>REPROGRAMAÇÃO!E190</f>
        <v>UN</v>
      </c>
      <c r="D199" s="386"/>
      <c r="E199" s="386">
        <f>REPROGRAMAÇÃO!J190</f>
        <v>13.209999999999999</v>
      </c>
      <c r="F199" s="386">
        <f>REPROGRAMAÇÃO!I190</f>
        <v>5</v>
      </c>
      <c r="G199" s="451">
        <v>5</v>
      </c>
      <c r="H199" s="575">
        <f t="shared" si="56"/>
        <v>5</v>
      </c>
      <c r="I199" s="576">
        <f t="shared" si="41"/>
        <v>66.05</v>
      </c>
      <c r="J199" s="576">
        <f t="shared" si="54"/>
        <v>66.05</v>
      </c>
      <c r="K199" s="576">
        <f t="shared" si="55"/>
        <v>66.05</v>
      </c>
      <c r="L199" s="564">
        <f t="shared" si="53"/>
        <v>1</v>
      </c>
    </row>
    <row r="200" spans="1:12" ht="25.5" x14ac:dyDescent="0.25">
      <c r="A200" s="554" t="str">
        <f>REPROGRAMAÇÃO!A191</f>
        <v>10.31</v>
      </c>
      <c r="B200" s="555" t="str">
        <f>REPROGRAMAÇÃO!B191</f>
        <v>QUADRO DE DISTRIBUIÇÃO DE LUZ EMBUTIR ATÉ 24 DIVISÕES 332X332X95mm, C/BARRAMENTO</v>
      </c>
      <c r="C200" s="554" t="str">
        <f>REPROGRAMAÇÃO!E191</f>
        <v>UN</v>
      </c>
      <c r="D200" s="386"/>
      <c r="E200" s="386">
        <f>REPROGRAMAÇÃO!J191</f>
        <v>385.5</v>
      </c>
      <c r="F200" s="386">
        <f>REPROGRAMAÇÃO!I191</f>
        <v>1</v>
      </c>
      <c r="G200" s="451">
        <v>1</v>
      </c>
      <c r="H200" s="575">
        <f t="shared" si="56"/>
        <v>1</v>
      </c>
      <c r="I200" s="576">
        <f t="shared" si="41"/>
        <v>385.5</v>
      </c>
      <c r="J200" s="576">
        <f t="shared" si="54"/>
        <v>385.5</v>
      </c>
      <c r="K200" s="576">
        <f t="shared" si="55"/>
        <v>385.5</v>
      </c>
      <c r="L200" s="564">
        <f t="shared" si="53"/>
        <v>1</v>
      </c>
    </row>
    <row r="201" spans="1:12" x14ac:dyDescent="0.25">
      <c r="A201" s="554" t="str">
        <f>REPROGRAMAÇÃO!A192</f>
        <v>10.32</v>
      </c>
      <c r="B201" s="555" t="str">
        <f>REPROGRAMAÇÃO!B192</f>
        <v>Ponto seco de tomada p/ lógica, com eletroduto pvc rígido embutido, Ø 3/4"</v>
      </c>
      <c r="C201" s="554" t="str">
        <f>REPROGRAMAÇÃO!E192</f>
        <v>un</v>
      </c>
      <c r="D201" s="386"/>
      <c r="E201" s="386">
        <f>REPROGRAMAÇÃO!J192</f>
        <v>185.29</v>
      </c>
      <c r="F201" s="386">
        <f>REPROGRAMAÇÃO!I192</f>
        <v>6</v>
      </c>
      <c r="G201" s="451"/>
      <c r="H201" s="575">
        <v>0</v>
      </c>
      <c r="I201" s="576">
        <f t="shared" si="41"/>
        <v>1111.74</v>
      </c>
      <c r="J201" s="576">
        <f t="shared" si="54"/>
        <v>0</v>
      </c>
      <c r="K201" s="576">
        <f t="shared" si="55"/>
        <v>0</v>
      </c>
      <c r="L201" s="564">
        <f t="shared" si="53"/>
        <v>0</v>
      </c>
    </row>
    <row r="202" spans="1:12" x14ac:dyDescent="0.25">
      <c r="A202" s="554" t="str">
        <f>REPROGRAMAÇÃO!A193</f>
        <v>10.33</v>
      </c>
      <c r="B202" s="555" t="str">
        <f>REPROGRAMAÇÃO!B193</f>
        <v>Ponto de som (sem fiação) com eletroduto condulete pvc 3/4" (aparente) - Rev. 01</v>
      </c>
      <c r="C202" s="554" t="str">
        <f>REPROGRAMAÇÃO!E193</f>
        <v>un</v>
      </c>
      <c r="D202" s="386"/>
      <c r="E202" s="386">
        <f>REPROGRAMAÇÃO!J193</f>
        <v>175.39</v>
      </c>
      <c r="F202" s="386">
        <f>REPROGRAMAÇÃO!I193</f>
        <v>6</v>
      </c>
      <c r="G202" s="451"/>
      <c r="H202" s="575">
        <v>0</v>
      </c>
      <c r="I202" s="576">
        <f t="shared" si="41"/>
        <v>1052.3399999999999</v>
      </c>
      <c r="J202" s="576">
        <f t="shared" si="54"/>
        <v>0</v>
      </c>
      <c r="K202" s="576">
        <f t="shared" si="55"/>
        <v>0</v>
      </c>
      <c r="L202" s="564">
        <f t="shared" si="53"/>
        <v>0</v>
      </c>
    </row>
    <row r="203" spans="1:12" ht="25.5" x14ac:dyDescent="0.25">
      <c r="A203" s="554" t="str">
        <f>REPROGRAMAÇÃO!A194</f>
        <v>10.34</v>
      </c>
      <c r="B203" s="555" t="str">
        <f>REPROGRAMAÇÃO!B194</f>
        <v>ELETRODUTO RÍGIDO ROSCÁVEL, PVC, DN 25 MM (3/4"), PARA CIRCUITOS TERMINAIS, INSTALADO EM PAREDE - FORNECIMENTO E INSTALAÇÃO. AF_12/2015</v>
      </c>
      <c r="C203" s="554" t="str">
        <f>REPROGRAMAÇÃO!E194</f>
        <v>M</v>
      </c>
      <c r="D203" s="386"/>
      <c r="E203" s="386">
        <f>REPROGRAMAÇÃO!J194</f>
        <v>10.02</v>
      </c>
      <c r="F203" s="386">
        <f>REPROGRAMAÇÃO!I194</f>
        <v>150</v>
      </c>
      <c r="G203" s="451"/>
      <c r="H203" s="575">
        <f>G203</f>
        <v>0</v>
      </c>
      <c r="I203" s="576">
        <f t="shared" si="41"/>
        <v>1503</v>
      </c>
      <c r="J203" s="576">
        <f t="shared" si="54"/>
        <v>0</v>
      </c>
      <c r="K203" s="576">
        <f t="shared" si="55"/>
        <v>0</v>
      </c>
      <c r="L203" s="564">
        <f t="shared" si="53"/>
        <v>0</v>
      </c>
    </row>
    <row r="204" spans="1:12" ht="25.5" x14ac:dyDescent="0.25">
      <c r="A204" s="554" t="str">
        <f>REPROGRAMAÇÃO!A195</f>
        <v>10.35</v>
      </c>
      <c r="B204" s="555" t="str">
        <f>REPROGRAMAÇÃO!B195</f>
        <v>ELETRODUTO RÍGIDO ROSCÁVEL, PVC, DN 40 MM (1 1/4"), PARA CIRCUITOS TERMINAIS, INSTALADO EM PAREDE - FORNECIMENTO E INSTALAÇÃO. AF_12/2015</v>
      </c>
      <c r="C204" s="554" t="str">
        <f>REPROGRAMAÇÃO!E195</f>
        <v>M</v>
      </c>
      <c r="D204" s="386"/>
      <c r="E204" s="386">
        <f>REPROGRAMAÇÃO!J195</f>
        <v>15.7</v>
      </c>
      <c r="F204" s="386">
        <f>REPROGRAMAÇÃO!I195</f>
        <v>27</v>
      </c>
      <c r="G204" s="451"/>
      <c r="H204" s="575">
        <f>G204</f>
        <v>0</v>
      </c>
      <c r="I204" s="576">
        <f t="shared" si="41"/>
        <v>423.9</v>
      </c>
      <c r="J204" s="576">
        <f t="shared" si="54"/>
        <v>0</v>
      </c>
      <c r="K204" s="576">
        <f t="shared" si="55"/>
        <v>0</v>
      </c>
      <c r="L204" s="564">
        <f t="shared" si="53"/>
        <v>0</v>
      </c>
    </row>
    <row r="205" spans="1:12" ht="25.5" x14ac:dyDescent="0.25">
      <c r="A205" s="554" t="str">
        <f>REPROGRAMAÇÃO!A196</f>
        <v>10.36</v>
      </c>
      <c r="B205" s="555" t="str">
        <f>REPROGRAMAÇÃO!B196</f>
        <v>LUVA PARA ELETRODUTO, PVC, ROSCÁVEL, DN 25 MM (3/4"), PARA CIRCUITOS TERMINAIS, INSTALADA EM FORRO - FORNECIMENTO E INSTALAÇÃO. AF_12/2015</v>
      </c>
      <c r="C205" s="554" t="str">
        <f>REPROGRAMAÇÃO!E196</f>
        <v>UN</v>
      </c>
      <c r="D205" s="386"/>
      <c r="E205" s="386">
        <f>REPROGRAMAÇÃO!J196</f>
        <v>5.21</v>
      </c>
      <c r="F205" s="386">
        <f>REPROGRAMAÇÃO!I196</f>
        <v>27</v>
      </c>
      <c r="G205" s="451"/>
      <c r="H205" s="575">
        <v>0</v>
      </c>
      <c r="I205" s="576">
        <f t="shared" si="41"/>
        <v>140.66999999999999</v>
      </c>
      <c r="J205" s="576">
        <f t="shared" si="54"/>
        <v>0</v>
      </c>
      <c r="K205" s="576">
        <f t="shared" si="55"/>
        <v>0</v>
      </c>
      <c r="L205" s="564">
        <f t="shared" si="53"/>
        <v>0</v>
      </c>
    </row>
    <row r="206" spans="1:12" ht="25.5" x14ac:dyDescent="0.25">
      <c r="A206" s="554" t="str">
        <f>REPROGRAMAÇÃO!A197</f>
        <v>10.37</v>
      </c>
      <c r="B206" s="555" t="str">
        <f>REPROGRAMAÇÃO!B197</f>
        <v>LUVA PARA ELETRODUTO, PVC, ROSCÁVEL, DN 40 MM (1 1/4"), PARA CIRCUITOS TERMINAIS, INSTALADA EM FORRO - FORNECIMENTO E INSTALAÇÃO. AF_12/2015</v>
      </c>
      <c r="C206" s="554" t="str">
        <f>REPROGRAMAÇÃO!E197</f>
        <v>UN</v>
      </c>
      <c r="D206" s="386"/>
      <c r="E206" s="386">
        <f>REPROGRAMAÇÃO!J197</f>
        <v>9.1300000000000008</v>
      </c>
      <c r="F206" s="386">
        <f>REPROGRAMAÇÃO!I197</f>
        <v>27</v>
      </c>
      <c r="G206" s="451"/>
      <c r="H206" s="575">
        <v>0</v>
      </c>
      <c r="I206" s="576">
        <f t="shared" si="41"/>
        <v>246.51</v>
      </c>
      <c r="J206" s="576">
        <f t="shared" si="54"/>
        <v>0</v>
      </c>
      <c r="K206" s="576">
        <f t="shared" si="55"/>
        <v>0</v>
      </c>
      <c r="L206" s="564">
        <f t="shared" si="53"/>
        <v>0</v>
      </c>
    </row>
    <row r="207" spans="1:12" ht="38.25" x14ac:dyDescent="0.25">
      <c r="A207" s="554" t="str">
        <f>REPROGRAMAÇÃO!A198</f>
        <v>10.38</v>
      </c>
      <c r="B207" s="555" t="str">
        <f>REPROGRAMAÇÃO!B198</f>
        <v>CURVA 90 GRAUS PARA ELETRODUTO, PVC, ROSCÁVEL, DN 25 MM (3/4"), PARA CIRCUITOS TERMINAIS, INSTALADA EM FORRO - FORNECIMENTO E INSTALAÇÃO. AF_12/2015</v>
      </c>
      <c r="C207" s="554" t="str">
        <f>REPROGRAMAÇÃO!E198</f>
        <v>UN</v>
      </c>
      <c r="D207" s="386"/>
      <c r="E207" s="386">
        <f>REPROGRAMAÇÃO!J198</f>
        <v>8.65</v>
      </c>
      <c r="F207" s="386">
        <f>REPROGRAMAÇÃO!I198</f>
        <v>5</v>
      </c>
      <c r="G207" s="451"/>
      <c r="H207" s="575">
        <v>0</v>
      </c>
      <c r="I207" s="576">
        <f t="shared" si="41"/>
        <v>43.25</v>
      </c>
      <c r="J207" s="576">
        <f t="shared" si="54"/>
        <v>0</v>
      </c>
      <c r="K207" s="576">
        <f t="shared" si="55"/>
        <v>0</v>
      </c>
      <c r="L207" s="564">
        <f t="shared" si="53"/>
        <v>0</v>
      </c>
    </row>
    <row r="208" spans="1:12" ht="38.25" x14ac:dyDescent="0.25">
      <c r="A208" s="554" t="str">
        <f>REPROGRAMAÇÃO!A199</f>
        <v>10.39</v>
      </c>
      <c r="B208" s="555" t="str">
        <f>REPROGRAMAÇÃO!B199</f>
        <v>CURVA 90 GRAUS PARA ELETRODUTO, PVC, ROSCÁVEL, DN 40 MM (1 1/4"), PARA CIRCUITOS TERMINAIS, INSTALADA EM FORRO - FORNECIMENTO E INSTALAÇÃO. AF_12/2015</v>
      </c>
      <c r="C208" s="554" t="str">
        <f>REPROGRAMAÇÃO!E199</f>
        <v>UN</v>
      </c>
      <c r="D208" s="386"/>
      <c r="E208" s="386">
        <f>REPROGRAMAÇÃO!J199</f>
        <v>14.4</v>
      </c>
      <c r="F208" s="386">
        <f>REPROGRAMAÇÃO!I199</f>
        <v>1</v>
      </c>
      <c r="G208" s="451"/>
      <c r="H208" s="575">
        <v>0</v>
      </c>
      <c r="I208" s="576">
        <f t="shared" si="41"/>
        <v>14.4</v>
      </c>
      <c r="J208" s="576">
        <f t="shared" si="54"/>
        <v>0</v>
      </c>
      <c r="K208" s="576">
        <f t="shared" si="55"/>
        <v>0</v>
      </c>
      <c r="L208" s="564">
        <f t="shared" si="53"/>
        <v>0</v>
      </c>
    </row>
    <row r="209" spans="1:12" x14ac:dyDescent="0.25">
      <c r="A209" s="871"/>
      <c r="B209" s="872"/>
      <c r="C209" s="872"/>
      <c r="D209" s="872"/>
      <c r="E209" s="872"/>
      <c r="F209" s="872"/>
      <c r="G209" s="872"/>
      <c r="H209" s="872"/>
      <c r="I209" s="872"/>
      <c r="J209" s="872"/>
      <c r="K209" s="872"/>
      <c r="L209" s="873"/>
    </row>
    <row r="210" spans="1:12" x14ac:dyDescent="0.25">
      <c r="A210" s="559">
        <f>REPROGRAMAÇÃO!A201</f>
        <v>11</v>
      </c>
      <c r="B210" s="560" t="str">
        <f>REPROGRAMAÇÃO!B201</f>
        <v>COMBATE A INCÊNDIO</v>
      </c>
      <c r="C210" s="871"/>
      <c r="D210" s="872"/>
      <c r="E210" s="872"/>
      <c r="F210" s="872"/>
      <c r="G210" s="872"/>
      <c r="H210" s="873"/>
      <c r="I210" s="558">
        <f>SUM(I211:I240)</f>
        <v>79461.470000000016</v>
      </c>
      <c r="J210" s="558">
        <f t="shared" ref="J210:K210" si="57">SUM(J211:J240)</f>
        <v>0</v>
      </c>
      <c r="K210" s="558">
        <f t="shared" si="57"/>
        <v>0</v>
      </c>
      <c r="L210" s="556"/>
    </row>
    <row r="211" spans="1:12" ht="25.5" x14ac:dyDescent="0.25">
      <c r="A211" s="554" t="str">
        <f>REPROGRAMAÇÃO!A202</f>
        <v>11.1</v>
      </c>
      <c r="B211" s="555" t="str">
        <f>REPROGRAMAÇÃO!B202</f>
        <v>CAIXA D´ÁGUA EM POLIÉSTER REFORÇADO COM FIBRA DE VIDRO, 10000 LITROS - FORNECIMENTO E INSTALAÇÃO. AF_06/2021</v>
      </c>
      <c r="C211" s="554" t="str">
        <f>REPROGRAMAÇÃO!E202</f>
        <v>UN</v>
      </c>
      <c r="D211" s="386"/>
      <c r="E211" s="386">
        <f>REPROGRAMAÇÃO!J202</f>
        <v>6732.1399999999994</v>
      </c>
      <c r="F211" s="386">
        <f>REPROGRAMAÇÃO!I202</f>
        <v>1</v>
      </c>
      <c r="G211" s="451"/>
      <c r="H211" s="451">
        <f>G211</f>
        <v>0</v>
      </c>
      <c r="I211" s="576">
        <f t="shared" si="41"/>
        <v>6732.14</v>
      </c>
      <c r="J211" s="576">
        <f t="shared" ref="J211" si="58">ROUND(E211*G211,2)</f>
        <v>0</v>
      </c>
      <c r="K211" s="576">
        <f t="shared" ref="K211" si="59">ROUND(H211*E211,2)</f>
        <v>0</v>
      </c>
      <c r="L211" s="564">
        <f t="shared" ref="L211:L240" si="60">K211/I211</f>
        <v>0</v>
      </c>
    </row>
    <row r="212" spans="1:12" ht="25.5" x14ac:dyDescent="0.25">
      <c r="A212" s="554" t="str">
        <f>REPROGRAMAÇÃO!A203</f>
        <v>11.2</v>
      </c>
      <c r="B212" s="555" t="str">
        <f>REPROGRAMAÇÃO!B203</f>
        <v>Extintor de pó químico ABC, capacidade 6 kg, alcance médio do jato 5m , tempo de descarga 12s, NBR9443, 9444, 10721</v>
      </c>
      <c r="C212" s="554" t="str">
        <f>REPROGRAMAÇÃO!E203</f>
        <v>un</v>
      </c>
      <c r="D212" s="386"/>
      <c r="E212" s="386">
        <f>REPROGRAMAÇÃO!J203</f>
        <v>221.51</v>
      </c>
      <c r="F212" s="386">
        <f>REPROGRAMAÇÃO!I203</f>
        <v>2</v>
      </c>
      <c r="G212" s="451"/>
      <c r="H212" s="451">
        <f t="shared" ref="H212:H240" si="61">G212</f>
        <v>0</v>
      </c>
      <c r="I212" s="576">
        <f t="shared" si="41"/>
        <v>443.02</v>
      </c>
      <c r="J212" s="576">
        <f t="shared" ref="J212:J240" si="62">ROUND(E212*G212,2)</f>
        <v>0</v>
      </c>
      <c r="K212" s="576">
        <f t="shared" ref="K212:K240" si="63">ROUND(H212*E212,2)</f>
        <v>0</v>
      </c>
      <c r="L212" s="564">
        <f t="shared" si="60"/>
        <v>0</v>
      </c>
    </row>
    <row r="213" spans="1:12" ht="25.5" x14ac:dyDescent="0.25">
      <c r="A213" s="554" t="str">
        <f>REPROGRAMAÇÃO!A204</f>
        <v>11.3</v>
      </c>
      <c r="B213" s="555" t="str">
        <f>REPROGRAMAÇÃO!B204</f>
        <v>EXTINTOR DE INCÊNDIO PORTÁTIL COM CARGA DE PQS DE 12 KG, CLASSE BC - FORNECIMENTO E INSTALAÇÃO. AF_10/2020_P</v>
      </c>
      <c r="C213" s="554" t="str">
        <f>REPROGRAMAÇÃO!E204</f>
        <v>UN</v>
      </c>
      <c r="D213" s="386"/>
      <c r="E213" s="386">
        <f>REPROGRAMAÇÃO!J204</f>
        <v>430.46</v>
      </c>
      <c r="F213" s="386">
        <f>REPROGRAMAÇÃO!I204</f>
        <v>6</v>
      </c>
      <c r="G213" s="451"/>
      <c r="H213" s="451">
        <f t="shared" si="61"/>
        <v>0</v>
      </c>
      <c r="I213" s="576">
        <f t="shared" ref="I213:I276" si="64">ROUND(E213*F213,2)</f>
        <v>2582.7600000000002</v>
      </c>
      <c r="J213" s="576">
        <f t="shared" si="62"/>
        <v>0</v>
      </c>
      <c r="K213" s="576">
        <f t="shared" si="63"/>
        <v>0</v>
      </c>
      <c r="L213" s="564">
        <f t="shared" si="60"/>
        <v>0</v>
      </c>
    </row>
    <row r="214" spans="1:12" ht="25.5" x14ac:dyDescent="0.25">
      <c r="A214" s="554" t="str">
        <f>REPROGRAMAÇÃO!A205</f>
        <v>11.4</v>
      </c>
      <c r="B214" s="555" t="str">
        <f>REPROGRAMAÇÃO!B205</f>
        <v>EXTINTOR DE INCÊNDIO PORTÁTIL COM CARGA DE ÁGUA PRESSURIZADA DE 10 L, CLASSE A - FORNECIMENTO E INSTALAÇÃO. AF_10/2020_P</v>
      </c>
      <c r="C214" s="554" t="str">
        <f>REPROGRAMAÇÃO!E205</f>
        <v>UN</v>
      </c>
      <c r="D214" s="386"/>
      <c r="E214" s="386">
        <f>REPROGRAMAÇÃO!J205</f>
        <v>278.60000000000002</v>
      </c>
      <c r="F214" s="386">
        <f>REPROGRAMAÇÃO!I205</f>
        <v>5</v>
      </c>
      <c r="G214" s="451"/>
      <c r="H214" s="451">
        <f t="shared" si="61"/>
        <v>0</v>
      </c>
      <c r="I214" s="576">
        <f t="shared" si="64"/>
        <v>1393</v>
      </c>
      <c r="J214" s="576">
        <f t="shared" si="62"/>
        <v>0</v>
      </c>
      <c r="K214" s="576">
        <f t="shared" si="63"/>
        <v>0</v>
      </c>
      <c r="L214" s="564">
        <f t="shared" si="60"/>
        <v>0</v>
      </c>
    </row>
    <row r="215" spans="1:12" ht="38.25" x14ac:dyDescent="0.25">
      <c r="A215" s="554" t="str">
        <f>REPROGRAMAÇÃO!A206</f>
        <v>11.5</v>
      </c>
      <c r="B215" s="555" t="str">
        <f>REPROGRAMAÇÃO!B206</f>
        <v>PLACA DE SINALIZACAO DE SEGURANCA CONTRA INCENDIO, FOTOLUMINESCENTE, RETANGULAR, *20 X 40* CM, EM PVC *2* MM ANTI-CHAMAS (SIMBOLOS, CORES E PICTOGRAMAS CONFORME NBR 16820)</v>
      </c>
      <c r="C215" s="554" t="str">
        <f>REPROGRAMAÇÃO!E206</f>
        <v>UN</v>
      </c>
      <c r="D215" s="386"/>
      <c r="E215" s="386">
        <f>REPROGRAMAÇÃO!J206</f>
        <v>34.72</v>
      </c>
      <c r="F215" s="386">
        <f>REPROGRAMAÇÃO!I206</f>
        <v>17</v>
      </c>
      <c r="G215" s="451"/>
      <c r="H215" s="451">
        <f t="shared" si="61"/>
        <v>0</v>
      </c>
      <c r="I215" s="576">
        <f t="shared" si="64"/>
        <v>590.24</v>
      </c>
      <c r="J215" s="576">
        <f t="shared" si="62"/>
        <v>0</v>
      </c>
      <c r="K215" s="576">
        <f t="shared" si="63"/>
        <v>0</v>
      </c>
      <c r="L215" s="564">
        <f t="shared" si="60"/>
        <v>0</v>
      </c>
    </row>
    <row r="216" spans="1:12" ht="38.25" x14ac:dyDescent="0.25">
      <c r="A216" s="554" t="str">
        <f>REPROGRAMAÇÃO!A207</f>
        <v>11.6</v>
      </c>
      <c r="B216" s="555" t="str">
        <f>REPROGRAMAÇÃO!B207</f>
        <v>PLACA DE SINALIZACAO DE SEGURANCA CONTRA INCENDIO, FOTOLUMINESCENTE, QUADRADA, *20 X 20* CM, EM PVC *2* MM ANTI-CHAMAS (SIMBOLOS, CORES E PICTOGRAMAS CONFORME NBR 16820)</v>
      </c>
      <c r="C216" s="554" t="str">
        <f>REPROGRAMAÇÃO!E207</f>
        <v>UN</v>
      </c>
      <c r="D216" s="386"/>
      <c r="E216" s="386">
        <f>REPROGRAMAÇÃO!J207</f>
        <v>21.55</v>
      </c>
      <c r="F216" s="386">
        <f>REPROGRAMAÇÃO!I207</f>
        <v>17</v>
      </c>
      <c r="G216" s="451"/>
      <c r="H216" s="451">
        <f t="shared" si="61"/>
        <v>0</v>
      </c>
      <c r="I216" s="576">
        <f t="shared" si="64"/>
        <v>366.35</v>
      </c>
      <c r="J216" s="576">
        <f t="shared" si="62"/>
        <v>0</v>
      </c>
      <c r="K216" s="576">
        <f t="shared" si="63"/>
        <v>0</v>
      </c>
      <c r="L216" s="564">
        <f t="shared" si="60"/>
        <v>0</v>
      </c>
    </row>
    <row r="217" spans="1:12" ht="25.5" x14ac:dyDescent="0.25">
      <c r="A217" s="554" t="str">
        <f>REPROGRAMAÇÃO!A208</f>
        <v>11.7</v>
      </c>
      <c r="B217" s="555" t="str">
        <f>REPROGRAMAÇÃO!B208</f>
        <v>Luminária de emergência, de sobrepor, tipo bloco autônomo, com autonomia de 1h, modelo LLE-LLEDDF, da KBR ou si</v>
      </c>
      <c r="C217" s="554" t="str">
        <f>REPROGRAMAÇÃO!E208</f>
        <v>un</v>
      </c>
      <c r="D217" s="386"/>
      <c r="E217" s="386">
        <f>REPROGRAMAÇÃO!J208</f>
        <v>180.42</v>
      </c>
      <c r="F217" s="386">
        <f>REPROGRAMAÇÃO!I208</f>
        <v>8</v>
      </c>
      <c r="G217" s="451"/>
      <c r="H217" s="451">
        <f t="shared" si="61"/>
        <v>0</v>
      </c>
      <c r="I217" s="576">
        <f t="shared" si="64"/>
        <v>1443.36</v>
      </c>
      <c r="J217" s="576">
        <f t="shared" si="62"/>
        <v>0</v>
      </c>
      <c r="K217" s="576">
        <f t="shared" si="63"/>
        <v>0</v>
      </c>
      <c r="L217" s="564">
        <f t="shared" si="60"/>
        <v>0</v>
      </c>
    </row>
    <row r="218" spans="1:12" ht="25.5" x14ac:dyDescent="0.25">
      <c r="A218" s="554" t="str">
        <f>REPROGRAMAÇÃO!A209</f>
        <v>11.8</v>
      </c>
      <c r="B218" s="555" t="str">
        <f>REPROGRAMAÇÃO!B209</f>
        <v>LUMINÁRIA DE EMERGÊNCIA, COM 30 LÂMPADAS LED DE 2 W, SEM REATOR - FORNECIMENTO E INSTALAÇÃO. AF_02/2020</v>
      </c>
      <c r="C218" s="554" t="str">
        <f>REPROGRAMAÇÃO!E209</f>
        <v>UN</v>
      </c>
      <c r="D218" s="386"/>
      <c r="E218" s="386">
        <f>REPROGRAMAÇÃO!J209</f>
        <v>31.709999999999997</v>
      </c>
      <c r="F218" s="386">
        <f>REPROGRAMAÇÃO!I209</f>
        <v>2</v>
      </c>
      <c r="G218" s="451"/>
      <c r="H218" s="451">
        <f t="shared" si="61"/>
        <v>0</v>
      </c>
      <c r="I218" s="576">
        <f t="shared" si="64"/>
        <v>63.42</v>
      </c>
      <c r="J218" s="576">
        <f t="shared" si="62"/>
        <v>0</v>
      </c>
      <c r="K218" s="576">
        <f t="shared" si="63"/>
        <v>0</v>
      </c>
      <c r="L218" s="564">
        <f t="shared" si="60"/>
        <v>0</v>
      </c>
    </row>
    <row r="219" spans="1:12" x14ac:dyDescent="0.25">
      <c r="A219" s="554" t="str">
        <f>REPROGRAMAÇÃO!A210</f>
        <v>11.9</v>
      </c>
      <c r="B219" s="555" t="str">
        <f>REPROGRAMAÇÃO!B210</f>
        <v>CAIXA DE INCÊNDIO 45X75X17CM - FORNECIMENTO E INSTALAÇÃO. AF_10/2020</v>
      </c>
      <c r="C219" s="554" t="str">
        <f>REPROGRAMAÇÃO!E210</f>
        <v>UN</v>
      </c>
      <c r="D219" s="386"/>
      <c r="E219" s="386">
        <f>REPROGRAMAÇÃO!J210</f>
        <v>719.26</v>
      </c>
      <c r="F219" s="386">
        <f>REPROGRAMAÇÃO!I210</f>
        <v>4</v>
      </c>
      <c r="G219" s="451"/>
      <c r="H219" s="451">
        <f t="shared" si="61"/>
        <v>0</v>
      </c>
      <c r="I219" s="576">
        <f t="shared" si="64"/>
        <v>2877.04</v>
      </c>
      <c r="J219" s="576">
        <f t="shared" si="62"/>
        <v>0</v>
      </c>
      <c r="K219" s="576">
        <f t="shared" si="63"/>
        <v>0</v>
      </c>
      <c r="L219" s="564">
        <f t="shared" si="60"/>
        <v>0</v>
      </c>
    </row>
    <row r="220" spans="1:12" ht="38.25" x14ac:dyDescent="0.25">
      <c r="A220" s="554" t="str">
        <f>REPROGRAMAÇÃO!A211</f>
        <v>11.10</v>
      </c>
      <c r="B220" s="555" t="str">
        <f>REPROGRAMAÇÃO!B211</f>
        <v>MANGUEIRA DE INCENDIO, TIPO 2, DE 1 1/2", COMPRIMENTO = 15 M, TECIDO EM FIO DE POLIESTER E TUBO INTERNO EM BORRACHA SINTETICA, COM UNIOES ENGATE RAPIDO</v>
      </c>
      <c r="C220" s="554" t="str">
        <f>REPROGRAMAÇÃO!E211</f>
        <v>UN</v>
      </c>
      <c r="D220" s="386"/>
      <c r="E220" s="386">
        <f>REPROGRAMAÇÃO!J211</f>
        <v>551.36</v>
      </c>
      <c r="F220" s="386">
        <f>REPROGRAMAÇÃO!I211</f>
        <v>8</v>
      </c>
      <c r="G220" s="451"/>
      <c r="H220" s="451">
        <f t="shared" si="61"/>
        <v>0</v>
      </c>
      <c r="I220" s="576">
        <f t="shared" si="64"/>
        <v>4410.88</v>
      </c>
      <c r="J220" s="576">
        <f t="shared" si="62"/>
        <v>0</v>
      </c>
      <c r="K220" s="576">
        <f t="shared" si="63"/>
        <v>0</v>
      </c>
      <c r="L220" s="564">
        <f t="shared" si="60"/>
        <v>0</v>
      </c>
    </row>
    <row r="221" spans="1:12" ht="25.5" x14ac:dyDescent="0.25">
      <c r="A221" s="554" t="str">
        <f>REPROGRAMAÇÃO!A212</f>
        <v>11.11</v>
      </c>
      <c r="B221" s="555" t="str">
        <f>REPROGRAMAÇÃO!B212</f>
        <v>ESGUICHO JATO REGULAVEL, TIPO ELKHART, ENGATE RAPIDO 1 1/2", PARA COMBATE A INCENDIO</v>
      </c>
      <c r="C221" s="554" t="str">
        <f>REPROGRAMAÇÃO!E212</f>
        <v>UN</v>
      </c>
      <c r="D221" s="386"/>
      <c r="E221" s="386">
        <f>REPROGRAMAÇÃO!J212</f>
        <v>291.63</v>
      </c>
      <c r="F221" s="386">
        <f>REPROGRAMAÇÃO!I212</f>
        <v>4</v>
      </c>
      <c r="G221" s="451"/>
      <c r="H221" s="451">
        <f t="shared" si="61"/>
        <v>0</v>
      </c>
      <c r="I221" s="576">
        <f t="shared" si="64"/>
        <v>1166.52</v>
      </c>
      <c r="J221" s="576">
        <f t="shared" si="62"/>
        <v>0</v>
      </c>
      <c r="K221" s="576">
        <f t="shared" si="63"/>
        <v>0</v>
      </c>
      <c r="L221" s="564">
        <f t="shared" si="60"/>
        <v>0</v>
      </c>
    </row>
    <row r="222" spans="1:12" ht="25.5" x14ac:dyDescent="0.25">
      <c r="A222" s="554" t="str">
        <f>REPROGRAMAÇÃO!A213</f>
        <v>11.12</v>
      </c>
      <c r="B222" s="555" t="str">
        <f>REPROGRAMAÇÃO!B213</f>
        <v>CHAVE DUPLA PARA CONEXOES TIPO STORZ, ENGATE RAPIDO 1 1/2" X 2 1/2", EM LATAO, PARA INSTALACAO PREDIAL COMBATE A INCENDIO</v>
      </c>
      <c r="C222" s="554" t="str">
        <f>REPROGRAMAÇÃO!E213</f>
        <v>UN</v>
      </c>
      <c r="D222" s="386"/>
      <c r="E222" s="386">
        <f>REPROGRAMAÇÃO!J213</f>
        <v>23.64</v>
      </c>
      <c r="F222" s="386">
        <f>REPROGRAMAÇÃO!I213</f>
        <v>4</v>
      </c>
      <c r="G222" s="451"/>
      <c r="H222" s="451">
        <f t="shared" si="61"/>
        <v>0</v>
      </c>
      <c r="I222" s="576">
        <f t="shared" si="64"/>
        <v>94.56</v>
      </c>
      <c r="J222" s="576">
        <f t="shared" si="62"/>
        <v>0</v>
      </c>
      <c r="K222" s="576">
        <f t="shared" si="63"/>
        <v>0</v>
      </c>
      <c r="L222" s="564">
        <f t="shared" si="60"/>
        <v>0</v>
      </c>
    </row>
    <row r="223" spans="1:12" ht="38.25" x14ac:dyDescent="0.25">
      <c r="A223" s="554" t="str">
        <f>REPROGRAMAÇÃO!A214</f>
        <v>11.13</v>
      </c>
      <c r="B223" s="555" t="str">
        <f>REPROGRAMAÇÃO!B214</f>
        <v>REGISTRO OU VALVULA GLOBO ANGULAR EM LATAO, PARA HIDRANTES EM INSTALACAO PREDIAL DE INCENDIO, 45 GRAUS, DIAMETRO DE 2 1/2", COM VOLANTE, CLASSE DE PRESSAO DE ATE 200 PSI</v>
      </c>
      <c r="C223" s="554" t="str">
        <f>REPROGRAMAÇÃO!E214</f>
        <v>UN</v>
      </c>
      <c r="D223" s="386"/>
      <c r="E223" s="386">
        <f>REPROGRAMAÇÃO!J214</f>
        <v>248.32999999999998</v>
      </c>
      <c r="F223" s="386">
        <f>REPROGRAMAÇÃO!I214</f>
        <v>5</v>
      </c>
      <c r="G223" s="451"/>
      <c r="H223" s="451">
        <f t="shared" si="61"/>
        <v>0</v>
      </c>
      <c r="I223" s="576">
        <f t="shared" si="64"/>
        <v>1241.6500000000001</v>
      </c>
      <c r="J223" s="576">
        <f t="shared" si="62"/>
        <v>0</v>
      </c>
      <c r="K223" s="576">
        <f t="shared" si="63"/>
        <v>0</v>
      </c>
      <c r="L223" s="564">
        <f t="shared" si="60"/>
        <v>0</v>
      </c>
    </row>
    <row r="224" spans="1:12" ht="25.5" x14ac:dyDescent="0.25">
      <c r="A224" s="554" t="str">
        <f>REPROGRAMAÇÃO!A215</f>
        <v>11.14</v>
      </c>
      <c r="B224" s="555" t="str">
        <f>REPROGRAMAÇÃO!B215</f>
        <v>Fornecimento e instalação de adaptador storz para engate rápido 2 1/2" x 2 1/2" com tampão e corrente (incêndio)</v>
      </c>
      <c r="C224" s="554" t="str">
        <f>REPROGRAMAÇÃO!E215</f>
        <v>un</v>
      </c>
      <c r="D224" s="386"/>
      <c r="E224" s="386">
        <f>REPROGRAMAÇÃO!J215</f>
        <v>235.19</v>
      </c>
      <c r="F224" s="386">
        <f>REPROGRAMAÇÃO!I215</f>
        <v>1</v>
      </c>
      <c r="G224" s="451"/>
      <c r="H224" s="451">
        <f t="shared" si="61"/>
        <v>0</v>
      </c>
      <c r="I224" s="576">
        <f t="shared" si="64"/>
        <v>235.19</v>
      </c>
      <c r="J224" s="576">
        <f t="shared" si="62"/>
        <v>0</v>
      </c>
      <c r="K224" s="576">
        <f t="shared" si="63"/>
        <v>0</v>
      </c>
      <c r="L224" s="564">
        <f t="shared" si="60"/>
        <v>0</v>
      </c>
    </row>
    <row r="225" spans="1:12" ht="25.5" x14ac:dyDescent="0.25">
      <c r="A225" s="554" t="str">
        <f>REPROGRAMAÇÃO!A216</f>
        <v>11.15</v>
      </c>
      <c r="B225" s="555" t="str">
        <f>REPROGRAMAÇÃO!B216</f>
        <v>ADAPTADOR, EM LATAO, ENGATE RAPIDO1 1/2" X ROSCA INTERNA 5 FIOS 2 1/2", PARA INSTALACAO PREDIAL DE COMBATE A INCENDIO</v>
      </c>
      <c r="C225" s="554" t="str">
        <f>REPROGRAMAÇÃO!E216</f>
        <v>UN</v>
      </c>
      <c r="D225" s="386"/>
      <c r="E225" s="386">
        <f>REPROGRAMAÇÃO!J216</f>
        <v>85.15</v>
      </c>
      <c r="F225" s="386">
        <f>REPROGRAMAÇÃO!I216</f>
        <v>4</v>
      </c>
      <c r="G225" s="451"/>
      <c r="H225" s="451">
        <f t="shared" si="61"/>
        <v>0</v>
      </c>
      <c r="I225" s="576">
        <f t="shared" si="64"/>
        <v>340.6</v>
      </c>
      <c r="J225" s="576">
        <f t="shared" si="62"/>
        <v>0</v>
      </c>
      <c r="K225" s="576">
        <f t="shared" si="63"/>
        <v>0</v>
      </c>
      <c r="L225" s="564">
        <f t="shared" si="60"/>
        <v>0</v>
      </c>
    </row>
    <row r="226" spans="1:12" ht="25.5" x14ac:dyDescent="0.25">
      <c r="A226" s="554" t="str">
        <f>REPROGRAMAÇÃO!A217</f>
        <v>11.16</v>
      </c>
      <c r="B226" s="555" t="str">
        <f>REPROGRAMAÇÃO!B217</f>
        <v>TAMPAO COM CORRENTE, EM LATAO, ENGATE RAPIDO 2 1/2", PARA INSTALACAO PREDIAL DE COMBATE A INCENDIO</v>
      </c>
      <c r="C226" s="554" t="str">
        <f>REPROGRAMAÇÃO!E217</f>
        <v>UN</v>
      </c>
      <c r="D226" s="386"/>
      <c r="E226" s="386">
        <f>REPROGRAMAÇÃO!J217</f>
        <v>130.08000000000001</v>
      </c>
      <c r="F226" s="386">
        <f>REPROGRAMAÇÃO!I217</f>
        <v>4</v>
      </c>
      <c r="G226" s="451"/>
      <c r="H226" s="451">
        <f t="shared" si="61"/>
        <v>0</v>
      </c>
      <c r="I226" s="576">
        <f t="shared" si="64"/>
        <v>520.32000000000005</v>
      </c>
      <c r="J226" s="576">
        <f t="shared" si="62"/>
        <v>0</v>
      </c>
      <c r="K226" s="576">
        <f t="shared" si="63"/>
        <v>0</v>
      </c>
      <c r="L226" s="564">
        <f t="shared" si="60"/>
        <v>0</v>
      </c>
    </row>
    <row r="227" spans="1:12" x14ac:dyDescent="0.25">
      <c r="A227" s="554" t="str">
        <f>REPROGRAMAÇÃO!A218</f>
        <v>11.17</v>
      </c>
      <c r="B227" s="555" t="str">
        <f>REPROGRAMAÇÃO!B218</f>
        <v>Conjunto moto-bomba centrífuga, trifasica, motor 7.5 cv, Schneider BC-21 ou similar</v>
      </c>
      <c r="C227" s="554" t="str">
        <f>REPROGRAMAÇÃO!E218</f>
        <v>un</v>
      </c>
      <c r="D227" s="386"/>
      <c r="E227" s="386">
        <f>REPROGRAMAÇÃO!J218</f>
        <v>6966.52</v>
      </c>
      <c r="F227" s="386">
        <f>REPROGRAMAÇÃO!I218</f>
        <v>2</v>
      </c>
      <c r="G227" s="451"/>
      <c r="H227" s="451">
        <f t="shared" si="61"/>
        <v>0</v>
      </c>
      <c r="I227" s="576">
        <f t="shared" si="64"/>
        <v>13933.04</v>
      </c>
      <c r="J227" s="576">
        <f t="shared" si="62"/>
        <v>0</v>
      </c>
      <c r="K227" s="576">
        <f t="shared" si="63"/>
        <v>0</v>
      </c>
      <c r="L227" s="564">
        <f t="shared" si="60"/>
        <v>0</v>
      </c>
    </row>
    <row r="228" spans="1:12" x14ac:dyDescent="0.25">
      <c r="A228" s="554" t="str">
        <f>REPROGRAMAÇÃO!A219</f>
        <v>11.18</v>
      </c>
      <c r="B228" s="555" t="str">
        <f>REPROGRAMAÇÃO!B219</f>
        <v>Painel elétrico p/ bomba, com chave de partida direta (manual/automática), 15 cv, trifásico</v>
      </c>
      <c r="C228" s="554" t="str">
        <f>REPROGRAMAÇÃO!E219</f>
        <v>un</v>
      </c>
      <c r="D228" s="386"/>
      <c r="E228" s="386">
        <f>REPROGRAMAÇÃO!J219</f>
        <v>2393</v>
      </c>
      <c r="F228" s="386">
        <f>REPROGRAMAÇÃO!I219</f>
        <v>1</v>
      </c>
      <c r="G228" s="451"/>
      <c r="H228" s="451">
        <f t="shared" si="61"/>
        <v>0</v>
      </c>
      <c r="I228" s="576">
        <f t="shared" si="64"/>
        <v>2393</v>
      </c>
      <c r="J228" s="576">
        <f t="shared" si="62"/>
        <v>0</v>
      </c>
      <c r="K228" s="576">
        <f t="shared" si="63"/>
        <v>0</v>
      </c>
      <c r="L228" s="564">
        <f t="shared" si="60"/>
        <v>0</v>
      </c>
    </row>
    <row r="229" spans="1:12" ht="25.5" x14ac:dyDescent="0.25">
      <c r="A229" s="554" t="str">
        <f>REPROGRAMAÇÃO!A220</f>
        <v>11.19</v>
      </c>
      <c r="B229" s="555" t="str">
        <f>REPROGRAMAÇÃO!B220</f>
        <v>MANÔMETRO 0 A 200 PSI (0 A 14 KGF/CM2), D = 50MM - FORNECIMENTO E INSTALAÇÃO. AF_10/2020</v>
      </c>
      <c r="C229" s="554" t="str">
        <f>REPROGRAMAÇÃO!E220</f>
        <v>UN</v>
      </c>
      <c r="D229" s="386"/>
      <c r="E229" s="386">
        <f>REPROGRAMAÇÃO!J220</f>
        <v>141.22</v>
      </c>
      <c r="F229" s="386">
        <f>REPROGRAMAÇÃO!I220</f>
        <v>1</v>
      </c>
      <c r="G229" s="451"/>
      <c r="H229" s="451">
        <f t="shared" si="61"/>
        <v>0</v>
      </c>
      <c r="I229" s="576">
        <f t="shared" si="64"/>
        <v>141.22</v>
      </c>
      <c r="J229" s="576">
        <f t="shared" si="62"/>
        <v>0</v>
      </c>
      <c r="K229" s="576">
        <f t="shared" si="63"/>
        <v>0</v>
      </c>
      <c r="L229" s="564">
        <f t="shared" si="60"/>
        <v>0</v>
      </c>
    </row>
    <row r="230" spans="1:12" x14ac:dyDescent="0.25">
      <c r="A230" s="554" t="str">
        <f>REPROGRAMAÇÃO!A221</f>
        <v>11.20</v>
      </c>
      <c r="B230" s="555" t="str">
        <f>REPROGRAMAÇÃO!B221</f>
        <v>TANQUE DE PRESSÃO - 560x167mm 9 LITROS</v>
      </c>
      <c r="C230" s="554" t="str">
        <f>REPROGRAMAÇÃO!E221</f>
        <v>UN</v>
      </c>
      <c r="D230" s="386"/>
      <c r="E230" s="386">
        <f>REPROGRAMAÇÃO!J221</f>
        <v>241.39000000000001</v>
      </c>
      <c r="F230" s="386">
        <f>REPROGRAMAÇÃO!I221</f>
        <v>1</v>
      </c>
      <c r="G230" s="451"/>
      <c r="H230" s="451">
        <f t="shared" si="61"/>
        <v>0</v>
      </c>
      <c r="I230" s="576">
        <f t="shared" si="64"/>
        <v>241.39</v>
      </c>
      <c r="J230" s="576">
        <f t="shared" si="62"/>
        <v>0</v>
      </c>
      <c r="K230" s="576">
        <f t="shared" si="63"/>
        <v>0</v>
      </c>
      <c r="L230" s="564">
        <f t="shared" si="60"/>
        <v>0</v>
      </c>
    </row>
    <row r="231" spans="1:12" x14ac:dyDescent="0.25">
      <c r="A231" s="554" t="str">
        <f>REPROGRAMAÇÃO!A222</f>
        <v>11.21</v>
      </c>
      <c r="B231" s="555" t="str">
        <f>REPROGRAMAÇÃO!B222</f>
        <v>Fornecimento e instalação de pressostato 0 a 10 kgf/cm2</v>
      </c>
      <c r="C231" s="554" t="str">
        <f>REPROGRAMAÇÃO!E222</f>
        <v>un</v>
      </c>
      <c r="D231" s="386"/>
      <c r="E231" s="386">
        <f>REPROGRAMAÇÃO!J222</f>
        <v>209.97</v>
      </c>
      <c r="F231" s="386">
        <f>REPROGRAMAÇÃO!I222</f>
        <v>1</v>
      </c>
      <c r="G231" s="451"/>
      <c r="H231" s="451">
        <f t="shared" si="61"/>
        <v>0</v>
      </c>
      <c r="I231" s="576">
        <f t="shared" si="64"/>
        <v>209.97</v>
      </c>
      <c r="J231" s="576">
        <f t="shared" si="62"/>
        <v>0</v>
      </c>
      <c r="K231" s="576">
        <f t="shared" si="63"/>
        <v>0</v>
      </c>
      <c r="L231" s="564">
        <f t="shared" si="60"/>
        <v>0</v>
      </c>
    </row>
    <row r="232" spans="1:12" ht="25.5" x14ac:dyDescent="0.25">
      <c r="A232" s="554" t="str">
        <f>REPROGRAMAÇÃO!A223</f>
        <v>11.22</v>
      </c>
      <c r="B232" s="555" t="str">
        <f>REPROGRAMAÇÃO!B223</f>
        <v>REGISTRO DE GAVETA BRUTO, LATÃO, ROSCÁVEL, 2 1/2" - FORNECIMENTO E INSTALAÇÃO. AF_08/2021</v>
      </c>
      <c r="C232" s="554" t="str">
        <f>REPROGRAMAÇÃO!E223</f>
        <v>UN</v>
      </c>
      <c r="D232" s="386"/>
      <c r="E232" s="386">
        <f>REPROGRAMAÇÃO!J223</f>
        <v>352.85</v>
      </c>
      <c r="F232" s="386">
        <f>REPROGRAMAÇÃO!I223</f>
        <v>5</v>
      </c>
      <c r="G232" s="451"/>
      <c r="H232" s="451">
        <f t="shared" si="61"/>
        <v>0</v>
      </c>
      <c r="I232" s="576">
        <f t="shared" si="64"/>
        <v>1764.25</v>
      </c>
      <c r="J232" s="576">
        <f t="shared" si="62"/>
        <v>0</v>
      </c>
      <c r="K232" s="576">
        <f t="shared" si="63"/>
        <v>0</v>
      </c>
      <c r="L232" s="564">
        <f t="shared" si="60"/>
        <v>0</v>
      </c>
    </row>
    <row r="233" spans="1:12" ht="25.5" x14ac:dyDescent="0.25">
      <c r="A233" s="554" t="str">
        <f>REPROGRAMAÇÃO!A224</f>
        <v>11.23</v>
      </c>
      <c r="B233" s="555" t="str">
        <f>REPROGRAMAÇÃO!B224</f>
        <v>VALVULA DE RETENCAO VERTICAL, DE BRONZE (PN-16), 2 1/2", 200 PSI, EXTREMIDADES COM ROSCA</v>
      </c>
      <c r="C233" s="554" t="str">
        <f>REPROGRAMAÇÃO!E224</f>
        <v>UN</v>
      </c>
      <c r="D233" s="386"/>
      <c r="E233" s="386">
        <f>REPROGRAMAÇÃO!J224</f>
        <v>329.38</v>
      </c>
      <c r="F233" s="386">
        <f>REPROGRAMAÇÃO!I224</f>
        <v>1</v>
      </c>
      <c r="G233" s="451"/>
      <c r="H233" s="451">
        <f t="shared" si="61"/>
        <v>0</v>
      </c>
      <c r="I233" s="576">
        <f t="shared" si="64"/>
        <v>329.38</v>
      </c>
      <c r="J233" s="576">
        <f t="shared" si="62"/>
        <v>0</v>
      </c>
      <c r="K233" s="576">
        <f t="shared" si="63"/>
        <v>0</v>
      </c>
      <c r="L233" s="564">
        <f t="shared" si="60"/>
        <v>0</v>
      </c>
    </row>
    <row r="234" spans="1:12" ht="25.5" x14ac:dyDescent="0.25">
      <c r="A234" s="554" t="str">
        <f>REPROGRAMAÇÃO!A225</f>
        <v>11.24</v>
      </c>
      <c r="B234" s="555" t="str">
        <f>REPROGRAMAÇÃO!B225</f>
        <v>VALVULA DE RETENCAO HORIZONTAL, DE BRONZE (PN-25), 2 1/2", 400 PSI, TAMPA DE PORCA DE UNIAO, EXTREMIDADES COM ROSCA</v>
      </c>
      <c r="C234" s="554" t="str">
        <f>REPROGRAMAÇÃO!E225</f>
        <v>UN</v>
      </c>
      <c r="D234" s="386"/>
      <c r="E234" s="386">
        <f>REPROGRAMAÇÃO!J225</f>
        <v>530.9</v>
      </c>
      <c r="F234" s="386">
        <f>REPROGRAMAÇÃO!I225</f>
        <v>1</v>
      </c>
      <c r="G234" s="451"/>
      <c r="H234" s="451">
        <f t="shared" si="61"/>
        <v>0</v>
      </c>
      <c r="I234" s="576">
        <f t="shared" si="64"/>
        <v>530.9</v>
      </c>
      <c r="J234" s="576">
        <f t="shared" si="62"/>
        <v>0</v>
      </c>
      <c r="K234" s="576">
        <f t="shared" si="63"/>
        <v>0</v>
      </c>
      <c r="L234" s="564">
        <f t="shared" si="60"/>
        <v>0</v>
      </c>
    </row>
    <row r="235" spans="1:12" x14ac:dyDescent="0.25">
      <c r="A235" s="554" t="str">
        <f>REPROGRAMAÇÃO!A226</f>
        <v>11.25</v>
      </c>
      <c r="B235" s="555" t="str">
        <f>REPROGRAMAÇÃO!B226</f>
        <v>Fornecimento e assentamento de união de ferro galvanizado assento bronze de 2 1/2"</v>
      </c>
      <c r="C235" s="554" t="str">
        <f>REPROGRAMAÇÃO!E226</f>
        <v>un</v>
      </c>
      <c r="D235" s="386"/>
      <c r="E235" s="386">
        <f>REPROGRAMAÇÃO!J226</f>
        <v>326.5</v>
      </c>
      <c r="F235" s="386">
        <f>REPROGRAMAÇÃO!I226</f>
        <v>6</v>
      </c>
      <c r="G235" s="451"/>
      <c r="H235" s="451">
        <f t="shared" si="61"/>
        <v>0</v>
      </c>
      <c r="I235" s="576">
        <f t="shared" si="64"/>
        <v>1959</v>
      </c>
      <c r="J235" s="576">
        <f t="shared" si="62"/>
        <v>0</v>
      </c>
      <c r="K235" s="576">
        <f t="shared" si="63"/>
        <v>0</v>
      </c>
      <c r="L235" s="564">
        <f t="shared" si="60"/>
        <v>0</v>
      </c>
    </row>
    <row r="236" spans="1:12" ht="25.5" x14ac:dyDescent="0.25">
      <c r="A236" s="554" t="str">
        <f>REPROGRAMAÇÃO!A227</f>
        <v>11.26</v>
      </c>
      <c r="B236" s="555" t="str">
        <f>REPROGRAMAÇÃO!B227</f>
        <v>COTOVELO 90 GRAUS DE FERRO GALVANIZADO, COM ROSCA BSP MACHO/FEMEA, DE 2 1/2"</v>
      </c>
      <c r="C236" s="554" t="str">
        <f>REPROGRAMAÇÃO!E227</f>
        <v>UN</v>
      </c>
      <c r="D236" s="386"/>
      <c r="E236" s="386">
        <f>REPROGRAMAÇÃO!J227</f>
        <v>142.11000000000001</v>
      </c>
      <c r="F236" s="386">
        <f>REPROGRAMAÇÃO!I227</f>
        <v>22</v>
      </c>
      <c r="G236" s="451"/>
      <c r="H236" s="451">
        <f t="shared" si="61"/>
        <v>0</v>
      </c>
      <c r="I236" s="576">
        <f t="shared" si="64"/>
        <v>3126.42</v>
      </c>
      <c r="J236" s="576">
        <f t="shared" si="62"/>
        <v>0</v>
      </c>
      <c r="K236" s="576">
        <f t="shared" si="63"/>
        <v>0</v>
      </c>
      <c r="L236" s="564">
        <f t="shared" si="60"/>
        <v>0</v>
      </c>
    </row>
    <row r="237" spans="1:12" ht="25.5" x14ac:dyDescent="0.25">
      <c r="A237" s="554" t="str">
        <f>REPROGRAMAÇÃO!A228</f>
        <v>11.27</v>
      </c>
      <c r="B237" s="555" t="str">
        <f>REPROGRAMAÇÃO!B228</f>
        <v>NIPLE, EM FERRO GALVANIZADO, DN 65 (2 1/2"), CONEXÃO ROSQUEADA, INSTALADO EM PRUMADAS - FORNECIMENTO E INSTALAÇÃO. AF_10/2020</v>
      </c>
      <c r="C237" s="554" t="str">
        <f>REPROGRAMAÇÃO!E228</f>
        <v>UN</v>
      </c>
      <c r="D237" s="386"/>
      <c r="E237" s="386">
        <f>REPROGRAMAÇÃO!J228</f>
        <v>91.509999999999991</v>
      </c>
      <c r="F237" s="386">
        <f>REPROGRAMAÇÃO!I228</f>
        <v>16</v>
      </c>
      <c r="G237" s="451"/>
      <c r="H237" s="451">
        <f t="shared" si="61"/>
        <v>0</v>
      </c>
      <c r="I237" s="576">
        <f t="shared" si="64"/>
        <v>1464.16</v>
      </c>
      <c r="J237" s="576">
        <f t="shared" si="62"/>
        <v>0</v>
      </c>
      <c r="K237" s="576">
        <f t="shared" si="63"/>
        <v>0</v>
      </c>
      <c r="L237" s="564">
        <f t="shared" si="60"/>
        <v>0</v>
      </c>
    </row>
    <row r="238" spans="1:12" ht="25.5" x14ac:dyDescent="0.25">
      <c r="A238" s="554" t="str">
        <f>REPROGRAMAÇÃO!A229</f>
        <v>11.28</v>
      </c>
      <c r="B238" s="555" t="str">
        <f>REPROGRAMAÇÃO!B229</f>
        <v>TÊ, EM FERRO GALVANIZADO, DN 65 (2 1/2"), CONEXÃO ROSQUEADA, INSTALADO EM PRUMADAS - FORNECIMENTO E INSTALAÇÃO. AF_10/2020</v>
      </c>
      <c r="C238" s="554" t="str">
        <f>REPROGRAMAÇÃO!E229</f>
        <v>UN</v>
      </c>
      <c r="D238" s="386"/>
      <c r="E238" s="386">
        <f>REPROGRAMAÇÃO!J229</f>
        <v>204.72</v>
      </c>
      <c r="F238" s="386">
        <f>REPROGRAMAÇÃO!I229</f>
        <v>12</v>
      </c>
      <c r="G238" s="451"/>
      <c r="H238" s="451">
        <f t="shared" si="61"/>
        <v>0</v>
      </c>
      <c r="I238" s="576">
        <f t="shared" si="64"/>
        <v>2456.64</v>
      </c>
      <c r="J238" s="576">
        <f t="shared" si="62"/>
        <v>0</v>
      </c>
      <c r="K238" s="576">
        <f t="shared" si="63"/>
        <v>0</v>
      </c>
      <c r="L238" s="564">
        <f t="shared" si="60"/>
        <v>0</v>
      </c>
    </row>
    <row r="239" spans="1:12" ht="38.25" x14ac:dyDescent="0.25">
      <c r="A239" s="554" t="str">
        <f>REPROGRAMAÇÃO!A230</f>
        <v>11.29</v>
      </c>
      <c r="B239" s="555" t="str">
        <f>REPROGRAMAÇÃO!B230</f>
        <v>TUBO DE AÇO GALVANIZADO COM COSTURA, CLASSE MÉDIA, DN 65 (2 1/2"), CONEXÃO ROSQUEADA, INSTALADO EM REDE DE ALIMENTAÇÃO PARA HIDRANTE - FORNECIMENTO E INSTALAÇÃO. AF_10/2020</v>
      </c>
      <c r="C239" s="554" t="str">
        <f>REPROGRAMAÇÃO!E230</f>
        <v>M</v>
      </c>
      <c r="D239" s="386"/>
      <c r="E239" s="386">
        <f>REPROGRAMAÇÃO!J230</f>
        <v>172.32</v>
      </c>
      <c r="F239" s="386">
        <f>REPROGRAMAÇÃO!I230</f>
        <v>150</v>
      </c>
      <c r="G239" s="451"/>
      <c r="H239" s="451">
        <f t="shared" si="61"/>
        <v>0</v>
      </c>
      <c r="I239" s="576">
        <f t="shared" si="64"/>
        <v>25848</v>
      </c>
      <c r="J239" s="576">
        <f t="shared" si="62"/>
        <v>0</v>
      </c>
      <c r="K239" s="576">
        <f t="shared" si="63"/>
        <v>0</v>
      </c>
      <c r="L239" s="564">
        <f t="shared" si="60"/>
        <v>0</v>
      </c>
    </row>
    <row r="240" spans="1:12" x14ac:dyDescent="0.25">
      <c r="A240" s="554" t="str">
        <f>REPROGRAMAÇÃO!A231</f>
        <v>11.30</v>
      </c>
      <c r="B240" s="555" t="str">
        <f>REPROGRAMAÇÃO!B231</f>
        <v>Tampa de ferro fundido 60X40cm</v>
      </c>
      <c r="C240" s="554" t="str">
        <f>REPROGRAMAÇÃO!E231</f>
        <v>un</v>
      </c>
      <c r="D240" s="386"/>
      <c r="E240" s="386">
        <f>REPROGRAMAÇÃO!J231</f>
        <v>563.04999999999995</v>
      </c>
      <c r="F240" s="386">
        <f>REPROGRAMAÇÃO!I231</f>
        <v>1</v>
      </c>
      <c r="G240" s="451"/>
      <c r="H240" s="451">
        <f t="shared" si="61"/>
        <v>0</v>
      </c>
      <c r="I240" s="576">
        <f t="shared" si="64"/>
        <v>563.04999999999995</v>
      </c>
      <c r="J240" s="576">
        <f t="shared" si="62"/>
        <v>0</v>
      </c>
      <c r="K240" s="576">
        <f t="shared" si="63"/>
        <v>0</v>
      </c>
      <c r="L240" s="564">
        <f t="shared" si="60"/>
        <v>0</v>
      </c>
    </row>
    <row r="241" spans="1:12" x14ac:dyDescent="0.25">
      <c r="A241" s="871"/>
      <c r="B241" s="872"/>
      <c r="C241" s="872"/>
      <c r="D241" s="872"/>
      <c r="E241" s="872"/>
      <c r="F241" s="872"/>
      <c r="G241" s="872"/>
      <c r="H241" s="872"/>
      <c r="I241" s="872"/>
      <c r="J241" s="872"/>
      <c r="K241" s="872"/>
      <c r="L241" s="873"/>
    </row>
    <row r="242" spans="1:12" x14ac:dyDescent="0.25">
      <c r="A242" s="559">
        <f>REPROGRAMAÇÃO!A233</f>
        <v>12</v>
      </c>
      <c r="B242" s="560" t="str">
        <f>REPROGRAMAÇÃO!B233</f>
        <v>ESQUADRIAS / VIDROS</v>
      </c>
      <c r="C242" s="871"/>
      <c r="D242" s="872"/>
      <c r="E242" s="872"/>
      <c r="F242" s="872"/>
      <c r="G242" s="872"/>
      <c r="H242" s="873"/>
      <c r="I242" s="558">
        <f>SUM(I243:I252)</f>
        <v>22866.949999999997</v>
      </c>
      <c r="J242" s="558">
        <f t="shared" ref="J242:K242" si="65">SUM(J243:J252)</f>
        <v>0</v>
      </c>
      <c r="K242" s="558">
        <f t="shared" si="65"/>
        <v>3152.24</v>
      </c>
      <c r="L242" s="556"/>
    </row>
    <row r="243" spans="1:12" x14ac:dyDescent="0.25">
      <c r="A243" s="554" t="str">
        <f>REPROGRAMAÇÃO!A234</f>
        <v>12.1</v>
      </c>
      <c r="B243" s="555" t="str">
        <f>REPROGRAMAÇÃO!B234</f>
        <v>Bandeira fixa em madeira para vidro</v>
      </c>
      <c r="C243" s="554" t="str">
        <f>REPROGRAMAÇÃO!E234</f>
        <v>m2</v>
      </c>
      <c r="D243" s="386"/>
      <c r="E243" s="386">
        <f>REPROGRAMAÇÃO!J234</f>
        <v>576.92999999999995</v>
      </c>
      <c r="F243" s="386">
        <f>REPROGRAMAÇÃO!I234</f>
        <v>2</v>
      </c>
      <c r="G243" s="451"/>
      <c r="H243" s="451">
        <f>G243</f>
        <v>0</v>
      </c>
      <c r="I243" s="576">
        <f t="shared" si="64"/>
        <v>1153.8599999999999</v>
      </c>
      <c r="J243" s="576">
        <f t="shared" ref="J243" si="66">ROUND(E243*G243,2)</f>
        <v>0</v>
      </c>
      <c r="K243" s="576">
        <f t="shared" ref="K243" si="67">ROUND(H243*E243,2)</f>
        <v>0</v>
      </c>
      <c r="L243" s="564">
        <f t="shared" ref="L243:L252" si="68">K243/I243</f>
        <v>0</v>
      </c>
    </row>
    <row r="244" spans="1:12" ht="25.5" x14ac:dyDescent="0.25">
      <c r="A244" s="554" t="str">
        <f>REPROGRAMAÇÃO!A235</f>
        <v>12.2</v>
      </c>
      <c r="B244" s="555" t="str">
        <f>REPROGRAMAÇÃO!B235</f>
        <v>INSTALAÇÃO DE VIDRO LISO INCOLOR, E = 8 MM, EM ESQUADRIA DE MADEIRA, FIXADO COM BAGUETE. AF_01/2021</v>
      </c>
      <c r="C244" s="554" t="str">
        <f>REPROGRAMAÇÃO!E235</f>
        <v>M2</v>
      </c>
      <c r="D244" s="386"/>
      <c r="E244" s="386">
        <f>REPROGRAMAÇÃO!J235</f>
        <v>471.54999999999995</v>
      </c>
      <c r="F244" s="386">
        <f>REPROGRAMAÇÃO!I235</f>
        <v>1.7</v>
      </c>
      <c r="G244" s="451"/>
      <c r="H244" s="451">
        <f t="shared" ref="H244:H252" si="69">G244</f>
        <v>0</v>
      </c>
      <c r="I244" s="576">
        <f t="shared" si="64"/>
        <v>801.64</v>
      </c>
      <c r="J244" s="576">
        <f t="shared" ref="J244:J252" si="70">ROUND(E244*G244,2)</f>
        <v>0</v>
      </c>
      <c r="K244" s="576">
        <f t="shared" ref="K244:K252" si="71">ROUND(H244*E244,2)</f>
        <v>0</v>
      </c>
      <c r="L244" s="564">
        <f t="shared" si="68"/>
        <v>0</v>
      </c>
    </row>
    <row r="245" spans="1:12" ht="51" x14ac:dyDescent="0.25">
      <c r="A245" s="554" t="str">
        <f>REPROGRAMAÇÃO!A236</f>
        <v>12.3</v>
      </c>
      <c r="B245" s="555" t="str">
        <f>REPROGRAMAÇÃO!B236</f>
        <v>KIT DE PORTA DE MADEIRA PARA PINTURA, SEMI-OCA (PESADA OU SUPERPESADA), PADRÃO POPULAR, 80X210CM, ESPESSURA DE 3,5CM, ITENS INCLUSOS: DOBRADIÇAS, MONTAGEM E INSTALAÇÃO DO BATENTE, FECHADURA COM EXECUÇÃO DO FURO - FORNECIMENTO E INSTALAÇÃO. AF_12/2019</v>
      </c>
      <c r="C245" s="554" t="str">
        <f>REPROGRAMAÇÃO!E236</f>
        <v>UN</v>
      </c>
      <c r="D245" s="386"/>
      <c r="E245" s="386">
        <f>REPROGRAMAÇÃO!J236</f>
        <v>1028.96</v>
      </c>
      <c r="F245" s="386">
        <f>REPROGRAMAÇÃO!I236</f>
        <v>4</v>
      </c>
      <c r="G245" s="451"/>
      <c r="H245" s="451">
        <v>2</v>
      </c>
      <c r="I245" s="576">
        <f t="shared" si="64"/>
        <v>4115.84</v>
      </c>
      <c r="J245" s="576">
        <f t="shared" si="70"/>
        <v>0</v>
      </c>
      <c r="K245" s="576">
        <f t="shared" si="71"/>
        <v>2057.92</v>
      </c>
      <c r="L245" s="564">
        <f t="shared" si="68"/>
        <v>0.5</v>
      </c>
    </row>
    <row r="246" spans="1:12" ht="51" x14ac:dyDescent="0.25">
      <c r="A246" s="554" t="str">
        <f>REPROGRAMAÇÃO!A237</f>
        <v>12.4</v>
      </c>
      <c r="B246" s="555" t="str">
        <f>REPROGRAMAÇÃO!B237</f>
        <v>KIT DE PORTA DE MADEIRA PARA PINTURA, SEMI-OCA (PESADA OU SUPERPESADA), PADRÃO POPULAR, 90X210CM, ESPESSURA DE 3,5CM, ITENS INCLUSOS: DOBRADIÇAS, MONTAGEM E INSTALAÇÃO DO BATENTE, FECHADURA COM EXECUÇÃO DO FURO - FORNECIMENTO E INSTALAÇÃO. AF_12/2019</v>
      </c>
      <c r="C246" s="554" t="str">
        <f>REPROGRAMAÇÃO!E237</f>
        <v>UN</v>
      </c>
      <c r="D246" s="386"/>
      <c r="E246" s="386">
        <f>REPROGRAMAÇÃO!J237</f>
        <v>1094.32</v>
      </c>
      <c r="F246" s="386">
        <f>REPROGRAMAÇÃO!I237</f>
        <v>2</v>
      </c>
      <c r="G246" s="451"/>
      <c r="H246" s="451">
        <v>1</v>
      </c>
      <c r="I246" s="576">
        <f t="shared" si="64"/>
        <v>2188.64</v>
      </c>
      <c r="J246" s="576">
        <f t="shared" si="70"/>
        <v>0</v>
      </c>
      <c r="K246" s="576">
        <f t="shared" si="71"/>
        <v>1094.32</v>
      </c>
      <c r="L246" s="564">
        <f t="shared" si="68"/>
        <v>0.5</v>
      </c>
    </row>
    <row r="247" spans="1:12" x14ac:dyDescent="0.25">
      <c r="A247" s="554" t="str">
        <f>REPROGRAMAÇÃO!A238</f>
        <v>12.5</v>
      </c>
      <c r="B247" s="555" t="str">
        <f>REPROGRAMAÇÃO!B238</f>
        <v>Batente em madeira de lei l = 0,14 m (caixão), incluindo 02 jogos de alizar</v>
      </c>
      <c r="C247" s="554" t="str">
        <f>REPROGRAMAÇÃO!E238</f>
        <v>m</v>
      </c>
      <c r="D247" s="386"/>
      <c r="E247" s="386">
        <f>REPROGRAMAÇÃO!J238</f>
        <v>80.460000000000008</v>
      </c>
      <c r="F247" s="386">
        <f>REPROGRAMAÇÃO!I238</f>
        <v>6.6</v>
      </c>
      <c r="G247" s="451"/>
      <c r="H247" s="451">
        <f t="shared" si="69"/>
        <v>0</v>
      </c>
      <c r="I247" s="576">
        <f t="shared" si="64"/>
        <v>531.04</v>
      </c>
      <c r="J247" s="576">
        <f t="shared" si="70"/>
        <v>0</v>
      </c>
      <c r="K247" s="576">
        <f t="shared" si="71"/>
        <v>0</v>
      </c>
      <c r="L247" s="564">
        <f t="shared" si="68"/>
        <v>0</v>
      </c>
    </row>
    <row r="248" spans="1:12" x14ac:dyDescent="0.25">
      <c r="A248" s="554" t="str">
        <f>REPROGRAMAÇÃO!A239</f>
        <v>12.6</v>
      </c>
      <c r="B248" s="555" t="str">
        <f>REPROGRAMAÇÃO!B239</f>
        <v>PORTA ACÚSTICA EM MADEIRA 0,80 x 2,50, ESPESSURA 60mm</v>
      </c>
      <c r="C248" s="554" t="str">
        <f>REPROGRAMAÇÃO!E239</f>
        <v>UN</v>
      </c>
      <c r="D248" s="386"/>
      <c r="E248" s="386">
        <f>REPROGRAMAÇÃO!J239</f>
        <v>4243.8599999999997</v>
      </c>
      <c r="F248" s="386">
        <f>REPROGRAMAÇÃO!I239</f>
        <v>2</v>
      </c>
      <c r="G248" s="451"/>
      <c r="H248" s="451">
        <f t="shared" si="69"/>
        <v>0</v>
      </c>
      <c r="I248" s="576">
        <f t="shared" si="64"/>
        <v>8487.7199999999993</v>
      </c>
      <c r="J248" s="576">
        <f t="shared" si="70"/>
        <v>0</v>
      </c>
      <c r="K248" s="576">
        <f t="shared" si="71"/>
        <v>0</v>
      </c>
      <c r="L248" s="564">
        <f t="shared" si="68"/>
        <v>0</v>
      </c>
    </row>
    <row r="249" spans="1:12" ht="25.5" x14ac:dyDescent="0.25">
      <c r="A249" s="554" t="str">
        <f>REPROGRAMAÇÃO!A240</f>
        <v>12.7</v>
      </c>
      <c r="B249" s="555" t="str">
        <f>REPROGRAMAÇÃO!B240</f>
        <v>PORTA EM AÇO DE ABRIR TIPO VENEZIANA SEM GUARNIÇÃO, 87X210CM, FIXAÇÃO COM PARAFUSOS - FORNECIMENTO E INSTALAÇÃO. AF_12/2019</v>
      </c>
      <c r="C249" s="554" t="str">
        <f>REPROGRAMAÇÃO!E240</f>
        <v>UN</v>
      </c>
      <c r="D249" s="386"/>
      <c r="E249" s="386">
        <f>REPROGRAMAÇÃO!J240</f>
        <v>773.70999999999992</v>
      </c>
      <c r="F249" s="386">
        <f>REPROGRAMAÇÃO!I240</f>
        <v>2</v>
      </c>
      <c r="G249" s="451"/>
      <c r="H249" s="451">
        <f t="shared" si="69"/>
        <v>0</v>
      </c>
      <c r="I249" s="576">
        <f t="shared" si="64"/>
        <v>1547.42</v>
      </c>
      <c r="J249" s="576">
        <f t="shared" si="70"/>
        <v>0</v>
      </c>
      <c r="K249" s="576">
        <f t="shared" si="71"/>
        <v>0</v>
      </c>
      <c r="L249" s="564">
        <f t="shared" si="68"/>
        <v>0</v>
      </c>
    </row>
    <row r="250" spans="1:12" x14ac:dyDescent="0.25">
      <c r="A250" s="554" t="str">
        <f>REPROGRAMAÇÃO!A241</f>
        <v>12.8</v>
      </c>
      <c r="B250" s="555" t="str">
        <f>REPROGRAMAÇÃO!B241</f>
        <v>Janela em alumínio, cor N/P/B, tipo moldura-vidro, max-ar, exclusive vidro</v>
      </c>
      <c r="C250" s="554" t="str">
        <f>REPROGRAMAÇÃO!E241</f>
        <v>m2</v>
      </c>
      <c r="D250" s="386"/>
      <c r="E250" s="386">
        <f>REPROGRAMAÇÃO!J241</f>
        <v>369.97999999999996</v>
      </c>
      <c r="F250" s="386">
        <f>REPROGRAMAÇÃO!I241</f>
        <v>1.3300000000009999</v>
      </c>
      <c r="G250" s="451"/>
      <c r="H250" s="451">
        <f t="shared" si="69"/>
        <v>0</v>
      </c>
      <c r="I250" s="576">
        <f t="shared" si="64"/>
        <v>492.07</v>
      </c>
      <c r="J250" s="576">
        <f t="shared" si="70"/>
        <v>0</v>
      </c>
      <c r="K250" s="576">
        <f t="shared" si="71"/>
        <v>0</v>
      </c>
      <c r="L250" s="564">
        <f t="shared" si="68"/>
        <v>0</v>
      </c>
    </row>
    <row r="251" spans="1:12" x14ac:dyDescent="0.25">
      <c r="A251" s="554" t="str">
        <f>REPROGRAMAÇÃO!A242</f>
        <v>12.9</v>
      </c>
      <c r="B251" s="555" t="str">
        <f>REPROGRAMAÇÃO!B242</f>
        <v>INSTALAÇÃO DE VIDRO TEMPERADO REFLETIVO E=8mm</v>
      </c>
      <c r="C251" s="554" t="str">
        <f>REPROGRAMAÇÃO!E242</f>
        <v>M2</v>
      </c>
      <c r="D251" s="386"/>
      <c r="E251" s="386">
        <f>REPROGRAMAÇÃO!J242</f>
        <v>629.27</v>
      </c>
      <c r="F251" s="386">
        <f>REPROGRAMAÇÃO!I242</f>
        <v>1.3300000000009999</v>
      </c>
      <c r="G251" s="451"/>
      <c r="H251" s="451">
        <f t="shared" si="69"/>
        <v>0</v>
      </c>
      <c r="I251" s="576">
        <f t="shared" si="64"/>
        <v>836.93</v>
      </c>
      <c r="J251" s="576">
        <f t="shared" si="70"/>
        <v>0</v>
      </c>
      <c r="K251" s="576">
        <f t="shared" si="71"/>
        <v>0</v>
      </c>
      <c r="L251" s="564">
        <f t="shared" si="68"/>
        <v>0</v>
      </c>
    </row>
    <row r="252" spans="1:12" ht="25.5" x14ac:dyDescent="0.25">
      <c r="A252" s="554" t="str">
        <f>REPROGRAMAÇÃO!A243</f>
        <v>12.10</v>
      </c>
      <c r="B252" s="555" t="str">
        <f>REPROGRAMAÇÃO!B243</f>
        <v>Porta em vidro temperado 10mm, na cor verde, inclusive ferragens e instalação, exclusive puxador</v>
      </c>
      <c r="C252" s="554" t="str">
        <f>REPROGRAMAÇÃO!E243</f>
        <v>m2</v>
      </c>
      <c r="D252" s="386"/>
      <c r="E252" s="386">
        <f>REPROGRAMAÇÃO!J243</f>
        <v>645.66450000000009</v>
      </c>
      <c r="F252" s="386">
        <f>REPROGRAMAÇÃO!I243</f>
        <v>4.2</v>
      </c>
      <c r="G252" s="451"/>
      <c r="H252" s="451">
        <f t="shared" si="69"/>
        <v>0</v>
      </c>
      <c r="I252" s="576">
        <f t="shared" si="64"/>
        <v>2711.79</v>
      </c>
      <c r="J252" s="576">
        <f t="shared" si="70"/>
        <v>0</v>
      </c>
      <c r="K252" s="576">
        <f t="shared" si="71"/>
        <v>0</v>
      </c>
      <c r="L252" s="564">
        <f t="shared" si="68"/>
        <v>0</v>
      </c>
    </row>
    <row r="253" spans="1:12" x14ac:dyDescent="0.25">
      <c r="A253" s="871"/>
      <c r="B253" s="872"/>
      <c r="C253" s="872"/>
      <c r="D253" s="872"/>
      <c r="E253" s="872"/>
      <c r="F253" s="872"/>
      <c r="G253" s="872"/>
      <c r="H253" s="872"/>
      <c r="I253" s="872"/>
      <c r="J253" s="872"/>
      <c r="K253" s="872"/>
      <c r="L253" s="873"/>
    </row>
    <row r="254" spans="1:12" x14ac:dyDescent="0.25">
      <c r="A254" s="559">
        <f>REPROGRAMAÇÃO!A245</f>
        <v>13</v>
      </c>
      <c r="B254" s="560" t="str">
        <f>REPROGRAMAÇÃO!B245</f>
        <v>FACHADA</v>
      </c>
      <c r="C254" s="871"/>
      <c r="D254" s="872"/>
      <c r="E254" s="872"/>
      <c r="F254" s="872"/>
      <c r="G254" s="872"/>
      <c r="H254" s="873"/>
      <c r="I254" s="558">
        <f>I255</f>
        <v>142201.57</v>
      </c>
      <c r="J254" s="558">
        <f t="shared" ref="J254:K254" si="72">J255</f>
        <v>0</v>
      </c>
      <c r="K254" s="558">
        <f t="shared" si="72"/>
        <v>97796.56</v>
      </c>
      <c r="L254" s="556"/>
    </row>
    <row r="255" spans="1:12" x14ac:dyDescent="0.25">
      <c r="A255" s="554" t="str">
        <f>REPROGRAMAÇÃO!A246</f>
        <v>13.1</v>
      </c>
      <c r="B255" s="555" t="str">
        <f>REPROGRAMAÇÃO!B246</f>
        <v>Fornecimento e instalação de fachada em pele de vidro, em vidro laminado 3+3 refletivo</v>
      </c>
      <c r="C255" s="554" t="str">
        <f>REPROGRAMAÇÃO!E246</f>
        <v>m2</v>
      </c>
      <c r="D255" s="386"/>
      <c r="E255" s="386">
        <f>REPROGRAMAÇÃO!J246</f>
        <v>1552.08</v>
      </c>
      <c r="F255" s="386">
        <f>REPROGRAMAÇÃO!I246</f>
        <v>91.620000000000999</v>
      </c>
      <c r="G255" s="451"/>
      <c r="H255" s="575">
        <f>37.55+25.46</f>
        <v>63.01</v>
      </c>
      <c r="I255" s="576">
        <f t="shared" si="64"/>
        <v>142201.57</v>
      </c>
      <c r="J255" s="576">
        <f t="shared" ref="J255" si="73">ROUND(E255*G255,2)</f>
        <v>0</v>
      </c>
      <c r="K255" s="576">
        <f t="shared" ref="K255" si="74">ROUND(H255*E255,2)</f>
        <v>97796.56</v>
      </c>
      <c r="L255" s="564">
        <f t="shared" ref="L255" si="75">K255/I255</f>
        <v>0.68773192869811484</v>
      </c>
    </row>
    <row r="256" spans="1:12" x14ac:dyDescent="0.25">
      <c r="A256" s="871"/>
      <c r="B256" s="872"/>
      <c r="C256" s="872"/>
      <c r="D256" s="872"/>
      <c r="E256" s="872"/>
      <c r="F256" s="872"/>
      <c r="G256" s="872"/>
      <c r="H256" s="872"/>
      <c r="I256" s="872"/>
      <c r="J256" s="872"/>
      <c r="K256" s="872"/>
      <c r="L256" s="873"/>
    </row>
    <row r="257" spans="1:12" x14ac:dyDescent="0.25">
      <c r="A257" s="559">
        <f>REPROGRAMAÇÃO!A248</f>
        <v>14</v>
      </c>
      <c r="B257" s="560" t="str">
        <f>REPROGRAMAÇÃO!B248</f>
        <v>LOUÇAS E METAIS</v>
      </c>
      <c r="C257" s="871"/>
      <c r="D257" s="872"/>
      <c r="E257" s="872"/>
      <c r="F257" s="872"/>
      <c r="G257" s="872"/>
      <c r="H257" s="873"/>
      <c r="I257" s="558">
        <f>SUM(I258:I272)</f>
        <v>7964.36</v>
      </c>
      <c r="J257" s="558">
        <f t="shared" ref="J257:K257" si="76">SUM(J258:J272)</f>
        <v>0</v>
      </c>
      <c r="K257" s="558">
        <f t="shared" si="76"/>
        <v>4290.0600000000004</v>
      </c>
      <c r="L257" s="556"/>
    </row>
    <row r="258" spans="1:12" x14ac:dyDescent="0.25">
      <c r="A258" s="554" t="str">
        <f>REPROGRAMAÇÃO!A249</f>
        <v>14.1</v>
      </c>
      <c r="B258" s="555" t="str">
        <f>REPROGRAMAÇÃO!B249</f>
        <v>Tampo de balcão em granito preto, e=2cm</v>
      </c>
      <c r="C258" s="554" t="str">
        <f>REPROGRAMAÇÃO!E249</f>
        <v>m2</v>
      </c>
      <c r="D258" s="386"/>
      <c r="E258" s="386">
        <f>REPROGRAMAÇÃO!J249</f>
        <v>580.38</v>
      </c>
      <c r="F258" s="386">
        <f>REPROGRAMAÇÃO!I249</f>
        <v>1.100000000001</v>
      </c>
      <c r="G258" s="451"/>
      <c r="H258" s="451">
        <v>2.4</v>
      </c>
      <c r="I258" s="576">
        <f t="shared" si="64"/>
        <v>638.41999999999996</v>
      </c>
      <c r="J258" s="576">
        <f t="shared" ref="J258" si="77">ROUND(E258*G258,2)</f>
        <v>0</v>
      </c>
      <c r="K258" s="576">
        <f t="shared" ref="K258" si="78">ROUND(H258*E258,2)</f>
        <v>1392.91</v>
      </c>
      <c r="L258" s="564">
        <f t="shared" ref="L258:L272" si="79">K258/I258</f>
        <v>2.1818082140283828</v>
      </c>
    </row>
    <row r="259" spans="1:12" ht="25.5" x14ac:dyDescent="0.25">
      <c r="A259" s="554" t="str">
        <f>REPROGRAMAÇÃO!A250</f>
        <v>14.2</v>
      </c>
      <c r="B259" s="555" t="str">
        <f>REPROGRAMAÇÃO!B250</f>
        <v>ABERTURA PARA ENCAIXE DE CUBA OU LAVATORIO EM BANCADA DE MARMORE/ GRANITO OU OUTRO TIPO DE PEDRA NATURAL</v>
      </c>
      <c r="C259" s="554" t="str">
        <f>REPROGRAMAÇÃO!E250</f>
        <v>UN</v>
      </c>
      <c r="D259" s="386"/>
      <c r="E259" s="386">
        <f>REPROGRAMAÇÃO!J250</f>
        <v>123.55</v>
      </c>
      <c r="F259" s="386">
        <f>REPROGRAMAÇÃO!I250</f>
        <v>3</v>
      </c>
      <c r="G259" s="451"/>
      <c r="H259" s="451">
        <v>1</v>
      </c>
      <c r="I259" s="576">
        <f t="shared" si="64"/>
        <v>370.65</v>
      </c>
      <c r="J259" s="576">
        <f t="shared" ref="J259:J272" si="80">ROUND(E259*G259,2)</f>
        <v>0</v>
      </c>
      <c r="K259" s="576">
        <f t="shared" ref="K259:K272" si="81">ROUND(H259*E259,2)</f>
        <v>123.55</v>
      </c>
      <c r="L259" s="564">
        <f t="shared" si="79"/>
        <v>0.33333333333333337</v>
      </c>
    </row>
    <row r="260" spans="1:12" ht="38.25" x14ac:dyDescent="0.25">
      <c r="A260" s="554" t="str">
        <f>REPROGRAMAÇÃO!A251</f>
        <v>14.3</v>
      </c>
      <c r="B260" s="555" t="str">
        <f>REPROGRAMAÇÃO!B251</f>
        <v>CUBA DE EMBUTIR DE AÇO INOXIDÁVEL MÉDIA, INCLUSO VÁLVULA TIPO AMERICANA E SIFÃO TIPO GARRAFA EM METAL CROMADO - FORNECIMENTO E INSTALAÇÃO. AF_01/2020</v>
      </c>
      <c r="C260" s="554" t="str">
        <f>REPROGRAMAÇÃO!E251</f>
        <v>UN</v>
      </c>
      <c r="D260" s="386"/>
      <c r="E260" s="386">
        <f>REPROGRAMAÇÃO!J251</f>
        <v>435.69</v>
      </c>
      <c r="F260" s="386">
        <f>REPROGRAMAÇÃO!I251</f>
        <v>1</v>
      </c>
      <c r="G260" s="451"/>
      <c r="H260" s="451">
        <v>1</v>
      </c>
      <c r="I260" s="576">
        <f t="shared" si="64"/>
        <v>435.69</v>
      </c>
      <c r="J260" s="576">
        <f t="shared" si="80"/>
        <v>0</v>
      </c>
      <c r="K260" s="576">
        <f t="shared" si="81"/>
        <v>435.69</v>
      </c>
      <c r="L260" s="564">
        <f t="shared" si="79"/>
        <v>1</v>
      </c>
    </row>
    <row r="261" spans="1:12" ht="38.25" x14ac:dyDescent="0.25">
      <c r="A261" s="554" t="str">
        <f>REPROGRAMAÇÃO!A252</f>
        <v>14.4</v>
      </c>
      <c r="B261" s="555" t="str">
        <f>REPROGRAMAÇÃO!B252</f>
        <v>Cuba de sobrepor (deca linha carrara ref l34), com sifão cromado (deca ref c1680), engate cromado (deca), torneira de metal (deca ref1190) , válvula cromada (deca ref1600) ou similares</v>
      </c>
      <c r="C261" s="554" t="str">
        <f>REPROGRAMAÇÃO!E252</f>
        <v>un</v>
      </c>
      <c r="D261" s="386"/>
      <c r="E261" s="386">
        <f>REPROGRAMAÇÃO!J252</f>
        <v>760.59</v>
      </c>
      <c r="F261" s="386">
        <f>REPROGRAMAÇÃO!I252</f>
        <v>2</v>
      </c>
      <c r="G261" s="451"/>
      <c r="H261" s="451">
        <f t="shared" ref="H261:H272" si="82">G261</f>
        <v>0</v>
      </c>
      <c r="I261" s="576">
        <f t="shared" si="64"/>
        <v>1521.18</v>
      </c>
      <c r="J261" s="576">
        <f t="shared" si="80"/>
        <v>0</v>
      </c>
      <c r="K261" s="576">
        <f t="shared" si="81"/>
        <v>0</v>
      </c>
      <c r="L261" s="564">
        <f t="shared" si="79"/>
        <v>0</v>
      </c>
    </row>
    <row r="262" spans="1:12" ht="25.5" x14ac:dyDescent="0.25">
      <c r="A262" s="554" t="str">
        <f>REPROGRAMAÇÃO!A253</f>
        <v>14.5</v>
      </c>
      <c r="B262" s="555" t="str">
        <f>REPROGRAMAÇÃO!B253</f>
        <v>TORNEIRA CROMADA TUBO MÓVEL, DE MESA, 1/2? OU 3/4?, PARA PIA DE COZINHA, PADRÃO ALTO - FORNECIMENTO E INSTALAÇÃO. AF_01/2020</v>
      </c>
      <c r="C262" s="554" t="str">
        <f>REPROGRAMAÇÃO!E253</f>
        <v>UN</v>
      </c>
      <c r="D262" s="386"/>
      <c r="E262" s="386">
        <f>REPROGRAMAÇÃO!J253</f>
        <v>144.73000000000002</v>
      </c>
      <c r="F262" s="386">
        <f>REPROGRAMAÇÃO!I253</f>
        <v>1</v>
      </c>
      <c r="G262" s="451"/>
      <c r="H262" s="451">
        <v>1</v>
      </c>
      <c r="I262" s="576">
        <f t="shared" si="64"/>
        <v>144.72999999999999</v>
      </c>
      <c r="J262" s="576">
        <f t="shared" si="80"/>
        <v>0</v>
      </c>
      <c r="K262" s="576">
        <f t="shared" si="81"/>
        <v>144.72999999999999</v>
      </c>
      <c r="L262" s="564">
        <f t="shared" si="79"/>
        <v>1</v>
      </c>
    </row>
    <row r="263" spans="1:12" ht="25.5" x14ac:dyDescent="0.25">
      <c r="A263" s="554" t="str">
        <f>REPROGRAMAÇÃO!A254</f>
        <v>14.6</v>
      </c>
      <c r="B263" s="555" t="str">
        <f>REPROGRAMAÇÃO!B254</f>
        <v>ENGATE FLEXÍVEL EM INOX, 1/2 X 30CM - FORNECIMENTO E INSTALAÇÃO. AF_01/2020</v>
      </c>
      <c r="C263" s="554" t="str">
        <f>REPROGRAMAÇÃO!E254</f>
        <v>UN</v>
      </c>
      <c r="D263" s="386"/>
      <c r="E263" s="386">
        <f>REPROGRAMAÇÃO!J254</f>
        <v>40.989999999999995</v>
      </c>
      <c r="F263" s="386">
        <f>REPROGRAMAÇÃO!I254</f>
        <v>1</v>
      </c>
      <c r="G263" s="451"/>
      <c r="H263" s="451">
        <f t="shared" si="82"/>
        <v>0</v>
      </c>
      <c r="I263" s="576">
        <f t="shared" si="64"/>
        <v>40.99</v>
      </c>
      <c r="J263" s="576">
        <f t="shared" si="80"/>
        <v>0</v>
      </c>
      <c r="K263" s="576">
        <f t="shared" si="81"/>
        <v>0</v>
      </c>
      <c r="L263" s="564">
        <f t="shared" si="79"/>
        <v>0</v>
      </c>
    </row>
    <row r="264" spans="1:12" ht="25.5" x14ac:dyDescent="0.25">
      <c r="A264" s="554" t="str">
        <f>REPROGRAMAÇÃO!A255</f>
        <v>14.7</v>
      </c>
      <c r="B264" s="555" t="str">
        <f>REPROGRAMAÇÃO!B255</f>
        <v>TORNEIRA PLÁSTICA 3/4? PARA TANQUE - FORNECIMENTO E INSTALAÇÃO. AF_01/2020</v>
      </c>
      <c r="C264" s="554" t="str">
        <f>REPROGRAMAÇÃO!E255</f>
        <v>UN</v>
      </c>
      <c r="D264" s="386"/>
      <c r="E264" s="386">
        <f>REPROGRAMAÇÃO!J255</f>
        <v>29.72</v>
      </c>
      <c r="F264" s="386">
        <f>REPROGRAMAÇÃO!I255</f>
        <v>3</v>
      </c>
      <c r="G264" s="451"/>
      <c r="H264" s="451">
        <f t="shared" si="82"/>
        <v>0</v>
      </c>
      <c r="I264" s="576">
        <f t="shared" si="64"/>
        <v>89.16</v>
      </c>
      <c r="J264" s="576">
        <f t="shared" si="80"/>
        <v>0</v>
      </c>
      <c r="K264" s="576">
        <f t="shared" si="81"/>
        <v>0</v>
      </c>
      <c r="L264" s="564">
        <f t="shared" si="79"/>
        <v>0</v>
      </c>
    </row>
    <row r="265" spans="1:12" ht="38.25" x14ac:dyDescent="0.25">
      <c r="A265" s="554" t="str">
        <f>REPROGRAMAÇÃO!A256</f>
        <v>14.8</v>
      </c>
      <c r="B265" s="555" t="str">
        <f>REPROGRAMAÇÃO!B256</f>
        <v>VASO SANITÁRIO SIFONADO COM CAIXA ACOPLADA LOUÇA BRANCA, INCLUSO ENGATE FLEXÍVEL EM PLÁSTICO BRANCO, 1/2 X 40CM - FORNECIMENTO E INSTALAÇÃO. AF_01/2020</v>
      </c>
      <c r="C265" s="554" t="str">
        <f>REPROGRAMAÇÃO!E256</f>
        <v>UN</v>
      </c>
      <c r="D265" s="386"/>
      <c r="E265" s="386">
        <f>REPROGRAMAÇÃO!J256</f>
        <v>493.63</v>
      </c>
      <c r="F265" s="386">
        <f>REPROGRAMAÇÃO!I256</f>
        <v>2</v>
      </c>
      <c r="G265" s="451"/>
      <c r="H265" s="451">
        <v>2</v>
      </c>
      <c r="I265" s="576">
        <f t="shared" si="64"/>
        <v>987.26</v>
      </c>
      <c r="J265" s="576">
        <f t="shared" si="80"/>
        <v>0</v>
      </c>
      <c r="K265" s="576">
        <f t="shared" si="81"/>
        <v>987.26</v>
      </c>
      <c r="L265" s="564">
        <f t="shared" si="79"/>
        <v>1</v>
      </c>
    </row>
    <row r="266" spans="1:12" ht="25.5" x14ac:dyDescent="0.25">
      <c r="A266" s="554" t="str">
        <f>REPROGRAMAÇÃO!A257</f>
        <v>14.9</v>
      </c>
      <c r="B266" s="555" t="str">
        <f>REPROGRAMAÇÃO!B257</f>
        <v>Assento Sanitário Elevado com Tampa 7,5 Cm, indicado para Pós-cirúrgicos, Deficientes físicos e Idosos, da Mebuki ou similar</v>
      </c>
      <c r="C266" s="554" t="str">
        <f>REPROGRAMAÇÃO!E257</f>
        <v>un</v>
      </c>
      <c r="D266" s="386"/>
      <c r="E266" s="386">
        <f>REPROGRAMAÇÃO!J257</f>
        <v>189.71</v>
      </c>
      <c r="F266" s="386">
        <f>REPROGRAMAÇÃO!I257</f>
        <v>2</v>
      </c>
      <c r="G266" s="451"/>
      <c r="H266" s="451">
        <v>2</v>
      </c>
      <c r="I266" s="576">
        <f t="shared" si="64"/>
        <v>379.42</v>
      </c>
      <c r="J266" s="576">
        <f t="shared" si="80"/>
        <v>0</v>
      </c>
      <c r="K266" s="576">
        <f t="shared" si="81"/>
        <v>379.42</v>
      </c>
      <c r="L266" s="564">
        <f t="shared" si="79"/>
        <v>1</v>
      </c>
    </row>
    <row r="267" spans="1:12" ht="25.5" x14ac:dyDescent="0.25">
      <c r="A267" s="554" t="str">
        <f>REPROGRAMAÇÃO!A258</f>
        <v>14.10</v>
      </c>
      <c r="B267" s="555" t="str">
        <f>REPROGRAMAÇÃO!B258</f>
        <v>BARRA DE APOIO RETA, EM ACO INOX POLIDO, COMPRIMENTO 80 CM, FIXADA NA PAREDE - FORNECIMENTO E INSTALAÇÃO. AF_01/2020</v>
      </c>
      <c r="C267" s="554" t="str">
        <f>REPROGRAMAÇÃO!E258</f>
        <v>UN</v>
      </c>
      <c r="D267" s="386"/>
      <c r="E267" s="386">
        <f>REPROGRAMAÇÃO!J258</f>
        <v>296.79000000000002</v>
      </c>
      <c r="F267" s="386">
        <f>REPROGRAMAÇÃO!I258</f>
        <v>4</v>
      </c>
      <c r="G267" s="451"/>
      <c r="H267" s="451">
        <v>2</v>
      </c>
      <c r="I267" s="576">
        <f t="shared" si="64"/>
        <v>1187.1600000000001</v>
      </c>
      <c r="J267" s="576">
        <f t="shared" si="80"/>
        <v>0</v>
      </c>
      <c r="K267" s="576">
        <f t="shared" si="81"/>
        <v>593.58000000000004</v>
      </c>
      <c r="L267" s="564">
        <f t="shared" si="79"/>
        <v>0.5</v>
      </c>
    </row>
    <row r="268" spans="1:12" ht="25.5" x14ac:dyDescent="0.25">
      <c r="A268" s="554" t="str">
        <f>REPROGRAMAÇÃO!A259</f>
        <v>14.11</v>
      </c>
      <c r="B268" s="555" t="str">
        <f>REPROGRAMAÇÃO!B259</f>
        <v>PUXADOR PARA PCD, FIXADO NA PORTA - FORNECIMENTO E INSTALAÇÃO. AF_01/2020</v>
      </c>
      <c r="C268" s="554" t="str">
        <f>REPROGRAMAÇÃO!E259</f>
        <v>UN</v>
      </c>
      <c r="D268" s="386"/>
      <c r="E268" s="386">
        <f>REPROGRAMAÇÃO!J259</f>
        <v>263.49</v>
      </c>
      <c r="F268" s="386">
        <f>REPROGRAMAÇÃO!I259</f>
        <v>2</v>
      </c>
      <c r="G268" s="451"/>
      <c r="H268" s="451">
        <f t="shared" si="82"/>
        <v>0</v>
      </c>
      <c r="I268" s="576">
        <f t="shared" si="64"/>
        <v>526.98</v>
      </c>
      <c r="J268" s="576">
        <f t="shared" si="80"/>
        <v>0</v>
      </c>
      <c r="K268" s="576">
        <f t="shared" si="81"/>
        <v>0</v>
      </c>
      <c r="L268" s="564">
        <f t="shared" si="79"/>
        <v>0</v>
      </c>
    </row>
    <row r="269" spans="1:12" x14ac:dyDescent="0.25">
      <c r="A269" s="554" t="str">
        <f>REPROGRAMAÇÃO!A260</f>
        <v>14.12</v>
      </c>
      <c r="B269" s="555" t="str">
        <f>REPROGRAMAÇÃO!B260</f>
        <v>TOALHEIRO PLASTICO TIPO DISPENSER PARA PAPEL TOALHA INTERFOLHADO</v>
      </c>
      <c r="C269" s="554" t="str">
        <f>REPROGRAMAÇÃO!E260</f>
        <v>UN</v>
      </c>
      <c r="D269" s="386"/>
      <c r="E269" s="386">
        <f>REPROGRAMAÇÃO!J260</f>
        <v>112.47999999999999</v>
      </c>
      <c r="F269" s="386">
        <f>REPROGRAMAÇÃO!I260</f>
        <v>2</v>
      </c>
      <c r="G269" s="451"/>
      <c r="H269" s="451">
        <f t="shared" si="82"/>
        <v>0</v>
      </c>
      <c r="I269" s="576">
        <f t="shared" si="64"/>
        <v>224.96</v>
      </c>
      <c r="J269" s="576">
        <f t="shared" si="80"/>
        <v>0</v>
      </c>
      <c r="K269" s="576">
        <f t="shared" si="81"/>
        <v>0</v>
      </c>
      <c r="L269" s="564">
        <f t="shared" si="79"/>
        <v>0</v>
      </c>
    </row>
    <row r="270" spans="1:12" ht="25.5" x14ac:dyDescent="0.25">
      <c r="A270" s="554" t="str">
        <f>REPROGRAMAÇÃO!A261</f>
        <v>14.13</v>
      </c>
      <c r="B270" s="555" t="str">
        <f>REPROGRAMAÇÃO!B261</f>
        <v>SABONETEIRA PLASTICA TIPO DISPENSER PARA SABONETE LIQUIDO COM RESERVATORIO 800 A 1500 ML, INCLUSO FIXAÇÃO. AF_01/2020</v>
      </c>
      <c r="C270" s="554" t="str">
        <f>REPROGRAMAÇÃO!E261</f>
        <v>UN</v>
      </c>
      <c r="D270" s="386"/>
      <c r="E270" s="386">
        <f>REPROGRAMAÇÃO!J261</f>
        <v>116.46000000000001</v>
      </c>
      <c r="F270" s="386">
        <f>REPROGRAMAÇÃO!I261</f>
        <v>2</v>
      </c>
      <c r="G270" s="451"/>
      <c r="H270" s="451">
        <v>2</v>
      </c>
      <c r="I270" s="576">
        <f t="shared" si="64"/>
        <v>232.92</v>
      </c>
      <c r="J270" s="576">
        <f t="shared" si="80"/>
        <v>0</v>
      </c>
      <c r="K270" s="576">
        <f t="shared" si="81"/>
        <v>232.92</v>
      </c>
      <c r="L270" s="564">
        <f t="shared" si="79"/>
        <v>1</v>
      </c>
    </row>
    <row r="271" spans="1:12" ht="25.5" x14ac:dyDescent="0.25">
      <c r="A271" s="554" t="str">
        <f>REPROGRAMAÇÃO!A262</f>
        <v>14.14</v>
      </c>
      <c r="B271" s="555" t="str">
        <f>REPROGRAMAÇÃO!B262</f>
        <v>PAPELEIRA DE PAREDE EM METAL CROMADO SEM TAMPA, INCLUSO FIXAÇÃO. AF_01/2020</v>
      </c>
      <c r="C271" s="554" t="str">
        <f>REPROGRAMAÇÃO!E262</f>
        <v>UN</v>
      </c>
      <c r="D271" s="386"/>
      <c r="E271" s="386">
        <f>REPROGRAMAÇÃO!J262</f>
        <v>31.61</v>
      </c>
      <c r="F271" s="386">
        <f>REPROGRAMAÇÃO!I262</f>
        <v>2</v>
      </c>
      <c r="G271" s="451"/>
      <c r="H271" s="451">
        <f t="shared" si="82"/>
        <v>0</v>
      </c>
      <c r="I271" s="576">
        <f t="shared" si="64"/>
        <v>63.22</v>
      </c>
      <c r="J271" s="576">
        <f t="shared" si="80"/>
        <v>0</v>
      </c>
      <c r="K271" s="576">
        <f t="shared" si="81"/>
        <v>0</v>
      </c>
      <c r="L271" s="564">
        <f t="shared" si="79"/>
        <v>0</v>
      </c>
    </row>
    <row r="272" spans="1:12" x14ac:dyDescent="0.25">
      <c r="A272" s="554" t="str">
        <f>REPROGRAMAÇÃO!A263</f>
        <v>14.15</v>
      </c>
      <c r="B272" s="555" t="str">
        <f>REPROGRAMAÇÃO!B263</f>
        <v>BARRA ANTIPANICO DUPLA, CEGA EM LADO OPOSTO, COR CINZA</v>
      </c>
      <c r="C272" s="554" t="str">
        <f>REPROGRAMAÇÃO!E263</f>
        <v>PAR</v>
      </c>
      <c r="D272" s="386"/>
      <c r="E272" s="386">
        <f>REPROGRAMAÇÃO!J263</f>
        <v>1121.6199999999999</v>
      </c>
      <c r="F272" s="386">
        <f>REPROGRAMAÇÃO!I263</f>
        <v>1</v>
      </c>
      <c r="G272" s="451"/>
      <c r="H272" s="451">
        <f t="shared" si="82"/>
        <v>0</v>
      </c>
      <c r="I272" s="576">
        <f t="shared" si="64"/>
        <v>1121.6199999999999</v>
      </c>
      <c r="J272" s="576">
        <f t="shared" si="80"/>
        <v>0</v>
      </c>
      <c r="K272" s="576">
        <f t="shared" si="81"/>
        <v>0</v>
      </c>
      <c r="L272" s="564">
        <f t="shared" si="79"/>
        <v>0</v>
      </c>
    </row>
    <row r="273" spans="1:12" x14ac:dyDescent="0.25">
      <c r="A273" s="871"/>
      <c r="B273" s="872"/>
      <c r="C273" s="872"/>
      <c r="D273" s="872"/>
      <c r="E273" s="872"/>
      <c r="F273" s="872"/>
      <c r="G273" s="872"/>
      <c r="H273" s="872"/>
      <c r="I273" s="872"/>
      <c r="J273" s="872"/>
      <c r="K273" s="872"/>
      <c r="L273" s="873"/>
    </row>
    <row r="274" spans="1:12" x14ac:dyDescent="0.25">
      <c r="A274" s="559">
        <f>REPROGRAMAÇÃO!A265</f>
        <v>15</v>
      </c>
      <c r="B274" s="560" t="str">
        <f>REPROGRAMAÇÃO!B265</f>
        <v>SERVIÇOS FINAIS</v>
      </c>
      <c r="C274" s="871"/>
      <c r="D274" s="872"/>
      <c r="E274" s="872"/>
      <c r="F274" s="872"/>
      <c r="G274" s="872"/>
      <c r="H274" s="873"/>
      <c r="I274" s="558">
        <f>SUM(I275:I282)</f>
        <v>28102.219999999998</v>
      </c>
      <c r="J274" s="558">
        <f t="shared" ref="J274:K274" si="83">SUM(J275:J282)</f>
        <v>2785.74</v>
      </c>
      <c r="K274" s="558">
        <f t="shared" si="83"/>
        <v>8728.9500000000007</v>
      </c>
      <c r="L274" s="556"/>
    </row>
    <row r="275" spans="1:12" x14ac:dyDescent="0.25">
      <c r="A275" s="554" t="str">
        <f>REPROGRAMAÇÃO!A266</f>
        <v>15.1</v>
      </c>
      <c r="B275" s="555" t="str">
        <f>REPROGRAMAÇÃO!B266</f>
        <v>Fornecimento e plantio de palmeira mini imperial, média</v>
      </c>
      <c r="C275" s="554" t="str">
        <f>REPROGRAMAÇÃO!E266</f>
        <v>un</v>
      </c>
      <c r="D275" s="386"/>
      <c r="E275" s="386">
        <f>REPROGRAMAÇÃO!J266</f>
        <v>109.27</v>
      </c>
      <c r="F275" s="386">
        <f>REPROGRAMAÇÃO!I266</f>
        <v>13</v>
      </c>
      <c r="G275" s="451">
        <v>11</v>
      </c>
      <c r="H275" s="575">
        <v>11</v>
      </c>
      <c r="I275" s="576">
        <f t="shared" si="64"/>
        <v>1420.51</v>
      </c>
      <c r="J275" s="576">
        <f t="shared" ref="J275" si="84">ROUND(E275*G275,2)</f>
        <v>1201.97</v>
      </c>
      <c r="K275" s="576">
        <f t="shared" ref="K275" si="85">ROUND(H275*E275,2)</f>
        <v>1201.97</v>
      </c>
      <c r="L275" s="564">
        <f t="shared" ref="L275:L282" si="86">K275/I275</f>
        <v>0.84615384615384615</v>
      </c>
    </row>
    <row r="276" spans="1:12" x14ac:dyDescent="0.25">
      <c r="A276" s="554" t="str">
        <f>REPROGRAMAÇÃO!A267</f>
        <v>15.2</v>
      </c>
      <c r="B276" s="555" t="str">
        <f>REPROGRAMAÇÃO!B267</f>
        <v>Planta - Moreia (Dietes bicolor), fornecimento e plantio</v>
      </c>
      <c r="C276" s="554" t="str">
        <f>REPROGRAMAÇÃO!E267</f>
        <v>un</v>
      </c>
      <c r="D276" s="386"/>
      <c r="E276" s="386">
        <f>REPROGRAMAÇÃO!J267</f>
        <v>43.489999999999995</v>
      </c>
      <c r="F276" s="386">
        <f>REPROGRAMAÇÃO!I267</f>
        <v>57</v>
      </c>
      <c r="G276" s="451"/>
      <c r="H276" s="575">
        <v>0</v>
      </c>
      <c r="I276" s="576">
        <f t="shared" si="64"/>
        <v>2478.9299999999998</v>
      </c>
      <c r="J276" s="576">
        <f t="shared" ref="J276:J282" si="87">ROUND(E276*G276,2)</f>
        <v>0</v>
      </c>
      <c r="K276" s="576">
        <f t="shared" ref="K276:K282" si="88">ROUND(H276*E276,2)</f>
        <v>0</v>
      </c>
      <c r="L276" s="564">
        <f t="shared" si="86"/>
        <v>0</v>
      </c>
    </row>
    <row r="277" spans="1:12" ht="21" customHeight="1" x14ac:dyDescent="0.25">
      <c r="A277" s="554" t="str">
        <f>REPROGRAMAÇÃO!A268</f>
        <v>15.3</v>
      </c>
      <c r="B277" s="555" t="str">
        <f>REPROGRAMAÇÃO!B268</f>
        <v>CERCA EM MADEIRA MACIÇA DE LEI, ALTURA LIVRE DE 2M, CRAVADOS MIN 0,50m</v>
      </c>
      <c r="C277" s="554" t="str">
        <f>REPROGRAMAÇÃO!E268</f>
        <v>M</v>
      </c>
      <c r="D277" s="386"/>
      <c r="E277" s="386">
        <f>REPROGRAMAÇÃO!J268</f>
        <v>566.02</v>
      </c>
      <c r="F277" s="386">
        <f>REPROGRAMAÇÃO!I268</f>
        <v>16.559999999999999</v>
      </c>
      <c r="G277" s="451"/>
      <c r="H277" s="575">
        <v>10.5</v>
      </c>
      <c r="I277" s="576">
        <f t="shared" ref="I277:I282" si="89">ROUND(E277*F277,2)</f>
        <v>9373.2900000000009</v>
      </c>
      <c r="J277" s="576">
        <f t="shared" si="87"/>
        <v>0</v>
      </c>
      <c r="K277" s="576">
        <f t="shared" si="88"/>
        <v>5943.21</v>
      </c>
      <c r="L277" s="564">
        <f t="shared" si="86"/>
        <v>0.63405805218871913</v>
      </c>
    </row>
    <row r="278" spans="1:12" ht="25.5" x14ac:dyDescent="0.25">
      <c r="A278" s="554" t="str">
        <f>REPROGRAMAÇÃO!A269</f>
        <v>15.4</v>
      </c>
      <c r="B278" s="555" t="str">
        <f>REPROGRAMAÇÃO!B269</f>
        <v>Fornecimento e instalação de brise metálico de alumínio, ref. B57, branco nieve 7000, da Hunter Douglas ou similar</v>
      </c>
      <c r="C278" s="554" t="str">
        <f>REPROGRAMAÇÃO!E269</f>
        <v>m2</v>
      </c>
      <c r="D278" s="386"/>
      <c r="E278" s="386">
        <f>REPROGRAMAÇÃO!J269</f>
        <v>558.75</v>
      </c>
      <c r="F278" s="386">
        <f>REPROGRAMAÇÃO!I269</f>
        <v>16.559999999999999</v>
      </c>
      <c r="G278" s="451"/>
      <c r="H278" s="575">
        <v>0</v>
      </c>
      <c r="I278" s="576">
        <f t="shared" si="89"/>
        <v>9252.9</v>
      </c>
      <c r="J278" s="576">
        <f t="shared" si="87"/>
        <v>0</v>
      </c>
      <c r="K278" s="576">
        <f t="shared" si="88"/>
        <v>0</v>
      </c>
      <c r="L278" s="564">
        <f t="shared" si="86"/>
        <v>0</v>
      </c>
    </row>
    <row r="279" spans="1:12" x14ac:dyDescent="0.25">
      <c r="A279" s="554" t="str">
        <f>REPROGRAMAÇÃO!A270</f>
        <v>15.5</v>
      </c>
      <c r="B279" s="555" t="str">
        <f>REPROGRAMAÇÃO!B270</f>
        <v>PLACA EM ACM</v>
      </c>
      <c r="C279" s="554" t="str">
        <f>REPROGRAMAÇÃO!E270</f>
        <v>m2</v>
      </c>
      <c r="D279" s="386"/>
      <c r="E279" s="386">
        <f>REPROGRAMAÇÃO!J270</f>
        <v>293.29000000000002</v>
      </c>
      <c r="F279" s="386">
        <f>REPROGRAMAÇÃO!I270</f>
        <v>5.14</v>
      </c>
      <c r="G279" s="451">
        <v>5.4</v>
      </c>
      <c r="H279" s="575">
        <v>5.4</v>
      </c>
      <c r="I279" s="576">
        <f t="shared" si="89"/>
        <v>1507.51</v>
      </c>
      <c r="J279" s="576">
        <f t="shared" si="87"/>
        <v>1583.77</v>
      </c>
      <c r="K279" s="576">
        <f t="shared" si="88"/>
        <v>1583.77</v>
      </c>
      <c r="L279" s="564">
        <f t="shared" si="86"/>
        <v>1.0505867291095914</v>
      </c>
    </row>
    <row r="280" spans="1:12" x14ac:dyDescent="0.25">
      <c r="A280" s="554" t="str">
        <f>REPROGRAMAÇÃO!A271</f>
        <v>15.6</v>
      </c>
      <c r="B280" s="555" t="str">
        <f>REPROGRAMAÇÃO!B271</f>
        <v>Mangueira 2F LED BR 13MM 127V G-Light ou similar</v>
      </c>
      <c r="C280" s="554" t="str">
        <f>REPROGRAMAÇÃO!E271</f>
        <v>m</v>
      </c>
      <c r="D280" s="386"/>
      <c r="E280" s="386">
        <f>REPROGRAMAÇÃO!J271</f>
        <v>26.12</v>
      </c>
      <c r="F280" s="386">
        <f>REPROGRAMAÇÃO!I271</f>
        <v>111.8</v>
      </c>
      <c r="G280" s="451"/>
      <c r="H280" s="575">
        <v>0</v>
      </c>
      <c r="I280" s="576">
        <f t="shared" si="89"/>
        <v>2920.22</v>
      </c>
      <c r="J280" s="576">
        <f t="shared" si="87"/>
        <v>0</v>
      </c>
      <c r="K280" s="576">
        <f t="shared" si="88"/>
        <v>0</v>
      </c>
      <c r="L280" s="564">
        <f t="shared" si="86"/>
        <v>0</v>
      </c>
    </row>
    <row r="281" spans="1:12" x14ac:dyDescent="0.25">
      <c r="A281" s="554" t="str">
        <f>REPROGRAMAÇÃO!A272</f>
        <v>15.7</v>
      </c>
      <c r="B281" s="555" t="str">
        <f>REPROGRAMAÇÃO!B272</f>
        <v>Fornecimento e instalação de fonte de alimentação 12V / 10A (ou similar)</v>
      </c>
      <c r="C281" s="554" t="str">
        <f>REPROGRAMAÇÃO!E272</f>
        <v>un</v>
      </c>
      <c r="D281" s="386"/>
      <c r="E281" s="386">
        <f>REPROGRAMAÇÃO!J272</f>
        <v>92.41</v>
      </c>
      <c r="F281" s="386">
        <f>REPROGRAMAÇÃO!I272</f>
        <v>2</v>
      </c>
      <c r="G281" s="451"/>
      <c r="H281" s="575">
        <v>0</v>
      </c>
      <c r="I281" s="576">
        <f t="shared" si="89"/>
        <v>184.82</v>
      </c>
      <c r="J281" s="576">
        <f t="shared" si="87"/>
        <v>0</v>
      </c>
      <c r="K281" s="576">
        <f t="shared" si="88"/>
        <v>0</v>
      </c>
      <c r="L281" s="564">
        <f t="shared" si="86"/>
        <v>0</v>
      </c>
    </row>
    <row r="282" spans="1:12" x14ac:dyDescent="0.25">
      <c r="A282" s="554" t="str">
        <f>REPROGRAMAÇÃO!A273</f>
        <v>15.8</v>
      </c>
      <c r="B282" s="555" t="str">
        <f>REPROGRAMAÇÃO!B273</f>
        <v>Limpeza geral</v>
      </c>
      <c r="C282" s="554" t="str">
        <f>REPROGRAMAÇÃO!E273</f>
        <v>m2</v>
      </c>
      <c r="D282" s="386"/>
      <c r="E282" s="386">
        <f>REPROGRAMAÇÃO!J273</f>
        <v>2.5099999999999998</v>
      </c>
      <c r="F282" s="386">
        <f>REPROGRAMAÇÃO!I273</f>
        <v>384.08</v>
      </c>
      <c r="G282" s="451"/>
      <c r="H282" s="575">
        <v>0</v>
      </c>
      <c r="I282" s="576">
        <f t="shared" si="89"/>
        <v>964.04</v>
      </c>
      <c r="J282" s="576">
        <f t="shared" si="87"/>
        <v>0</v>
      </c>
      <c r="K282" s="576">
        <f t="shared" si="88"/>
        <v>0</v>
      </c>
      <c r="L282" s="564">
        <f t="shared" si="86"/>
        <v>0</v>
      </c>
    </row>
    <row r="283" spans="1:12" ht="13.5" thickBot="1" x14ac:dyDescent="0.3"/>
    <row r="284" spans="1:12" ht="17.25" thickBot="1" x14ac:dyDescent="0.3">
      <c r="A284" s="874" t="s">
        <v>1034</v>
      </c>
      <c r="B284" s="875"/>
      <c r="C284" s="875"/>
      <c r="D284" s="875"/>
      <c r="E284" s="875"/>
      <c r="F284" s="875"/>
      <c r="G284" s="875"/>
      <c r="H284" s="875"/>
      <c r="I284" s="581">
        <f>SUM(I19+I32+I44+I63+I67+I86+I112+I122+I136+I169+I210+I242+I254+I257+I274)</f>
        <v>1301927.2400000002</v>
      </c>
      <c r="J284" s="581">
        <f>SUM(J19+J32+J44+J63+J67+J86+J112+J122+J136+J169+J210+J242+J254+J257+J274)</f>
        <v>28422.54</v>
      </c>
      <c r="K284" s="581">
        <f>Plan2!B26</f>
        <v>934256.89000000025</v>
      </c>
      <c r="L284" s="580"/>
    </row>
    <row r="285" spans="1:12" x14ac:dyDescent="0.25">
      <c r="I285" s="553"/>
    </row>
    <row r="286" spans="1:12" x14ac:dyDescent="0.25">
      <c r="A286" s="869" t="s">
        <v>1069</v>
      </c>
      <c r="B286" s="869"/>
      <c r="C286" s="869"/>
      <c r="D286" s="869"/>
      <c r="E286" s="869"/>
      <c r="F286" s="869"/>
      <c r="G286" s="869"/>
      <c r="H286" s="869"/>
      <c r="I286" s="869"/>
      <c r="J286" s="869"/>
      <c r="K286" s="869"/>
      <c r="L286" s="869"/>
    </row>
    <row r="290" spans="6:8" ht="15" customHeight="1" x14ac:dyDescent="0.25"/>
    <row r="291" spans="6:8" ht="15" customHeight="1" x14ac:dyDescent="0.25">
      <c r="F291" s="870" t="s">
        <v>1032</v>
      </c>
      <c r="G291" s="870"/>
      <c r="H291" s="870"/>
    </row>
    <row r="292" spans="6:8" x14ac:dyDescent="0.25">
      <c r="F292" s="870" t="s">
        <v>1033</v>
      </c>
      <c r="G292" s="870"/>
      <c r="H292" s="870"/>
    </row>
  </sheetData>
  <mergeCells count="64">
    <mergeCell ref="L10:L11"/>
    <mergeCell ref="C1:L5"/>
    <mergeCell ref="A6:F6"/>
    <mergeCell ref="G6:J6"/>
    <mergeCell ref="A7:F8"/>
    <mergeCell ref="G7:J8"/>
    <mergeCell ref="K7:K8"/>
    <mergeCell ref="L7:L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C12:F12"/>
    <mergeCell ref="G12:H12"/>
    <mergeCell ref="I12:J12"/>
    <mergeCell ref="K12:L12"/>
    <mergeCell ref="A18:L18"/>
    <mergeCell ref="A31:L31"/>
    <mergeCell ref="C32:H32"/>
    <mergeCell ref="C19:H19"/>
    <mergeCell ref="A15:L15"/>
    <mergeCell ref="A16:A17"/>
    <mergeCell ref="B16:B17"/>
    <mergeCell ref="C16:C17"/>
    <mergeCell ref="D16:D17"/>
    <mergeCell ref="F16:H16"/>
    <mergeCell ref="I16:K16"/>
    <mergeCell ref="L16:L17"/>
    <mergeCell ref="A43:L43"/>
    <mergeCell ref="C44:H44"/>
    <mergeCell ref="C63:H63"/>
    <mergeCell ref="C67:H67"/>
    <mergeCell ref="C86:H86"/>
    <mergeCell ref="A62:L62"/>
    <mergeCell ref="A85:L85"/>
    <mergeCell ref="A66:L66"/>
    <mergeCell ref="C136:H136"/>
    <mergeCell ref="A168:L168"/>
    <mergeCell ref="A135:L135"/>
    <mergeCell ref="A209:L209"/>
    <mergeCell ref="C210:H210"/>
    <mergeCell ref="A286:L286"/>
    <mergeCell ref="F291:H291"/>
    <mergeCell ref="F292:H292"/>
    <mergeCell ref="A111:L111"/>
    <mergeCell ref="A256:L256"/>
    <mergeCell ref="C254:H254"/>
    <mergeCell ref="C257:H257"/>
    <mergeCell ref="C112:H112"/>
    <mergeCell ref="A284:H284"/>
    <mergeCell ref="A273:L273"/>
    <mergeCell ref="C274:H274"/>
    <mergeCell ref="A121:L121"/>
    <mergeCell ref="A241:L241"/>
    <mergeCell ref="C242:H242"/>
    <mergeCell ref="A253:L253"/>
    <mergeCell ref="C122:H122"/>
  </mergeCells>
  <printOptions horizontalCentered="1"/>
  <pageMargins left="0.31496062992125984" right="0.31496062992125984" top="1.1811023622047245" bottom="0.78740157480314965" header="0.31496062992125984" footer="0.31496062992125984"/>
  <pageSetup paperSize="9" scale="74" fitToHeight="0" orientation="landscape" horizontalDpi="360" verticalDpi="360" r:id="rId1"/>
  <headerFooter>
    <oddFooter>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view="pageBreakPreview" zoomScaleNormal="85" zoomScaleSheetLayoutView="100" workbookViewId="0">
      <selection activeCell="N8" sqref="N8"/>
    </sheetView>
  </sheetViews>
  <sheetFormatPr defaultColWidth="9.140625" defaultRowHeight="12.6" customHeight="1" x14ac:dyDescent="0.2"/>
  <cols>
    <col min="1" max="1" width="6.85546875" style="1" bestFit="1" customWidth="1"/>
    <col min="2" max="2" width="16" style="1" customWidth="1"/>
    <col min="3" max="3" width="17.42578125" style="1" customWidth="1"/>
    <col min="4" max="4" width="6.85546875" style="1" bestFit="1" customWidth="1"/>
    <col min="5" max="5" width="9.5703125" style="1" customWidth="1"/>
    <col min="6" max="6" width="9" style="1" customWidth="1"/>
    <col min="7" max="7" width="11.28515625" style="1" customWidth="1"/>
    <col min="8" max="8" width="10.7109375" style="1" customWidth="1"/>
    <col min="9" max="9" width="10.28515625" style="1" customWidth="1"/>
    <col min="10" max="10" width="11.5703125" style="1" customWidth="1"/>
    <col min="11" max="11" width="9.7109375" style="1" customWidth="1"/>
    <col min="12" max="12" width="10.28515625" style="1" customWidth="1"/>
    <col min="13" max="13" width="6.140625" style="1" bestFit="1" customWidth="1"/>
    <col min="14" max="14" width="16.5703125" style="1" bestFit="1" customWidth="1"/>
    <col min="15" max="15" width="19.42578125" style="1" customWidth="1"/>
    <col min="16" max="16" width="11.28515625" style="1" customWidth="1"/>
    <col min="17" max="16384" width="9.140625" style="1"/>
  </cols>
  <sheetData>
    <row r="1" spans="1:14" ht="16.5" thickBot="1" x14ac:dyDescent="0.25">
      <c r="A1" s="825"/>
      <c r="B1" s="826"/>
      <c r="C1" s="831" t="s">
        <v>338</v>
      </c>
      <c r="D1" s="832"/>
      <c r="E1" s="832"/>
      <c r="F1" s="832"/>
      <c r="G1" s="832"/>
      <c r="H1" s="832"/>
      <c r="I1" s="832"/>
      <c r="J1" s="832"/>
      <c r="K1" s="832"/>
      <c r="L1" s="832"/>
      <c r="M1" s="833"/>
    </row>
    <row r="2" spans="1:14" ht="12.75" x14ac:dyDescent="0.2">
      <c r="A2" s="827"/>
      <c r="B2" s="828"/>
      <c r="C2" s="834" t="s">
        <v>3</v>
      </c>
      <c r="D2" s="835"/>
      <c r="E2" s="835"/>
      <c r="F2" s="835"/>
      <c r="G2" s="836"/>
      <c r="H2" s="834" t="s">
        <v>339</v>
      </c>
      <c r="I2" s="835"/>
      <c r="J2" s="835"/>
      <c r="K2" s="835"/>
      <c r="L2" s="835"/>
      <c r="M2" s="836"/>
    </row>
    <row r="3" spans="1:14" ht="13.5" thickBot="1" x14ac:dyDescent="0.25">
      <c r="A3" s="827"/>
      <c r="B3" s="828"/>
      <c r="C3" s="837" t="s">
        <v>19</v>
      </c>
      <c r="D3" s="838"/>
      <c r="E3" s="838"/>
      <c r="F3" s="838"/>
      <c r="G3" s="839"/>
      <c r="H3" s="840" t="s">
        <v>4</v>
      </c>
      <c r="I3" s="838"/>
      <c r="J3" s="838"/>
      <c r="K3" s="838"/>
      <c r="L3" s="838"/>
      <c r="M3" s="839"/>
    </row>
    <row r="4" spans="1:14" ht="12.75" x14ac:dyDescent="0.2">
      <c r="A4" s="827"/>
      <c r="B4" s="828"/>
      <c r="C4" s="834" t="s">
        <v>2</v>
      </c>
      <c r="D4" s="835"/>
      <c r="E4" s="835"/>
      <c r="F4" s="835"/>
      <c r="G4" s="836"/>
      <c r="H4" s="841" t="s">
        <v>340</v>
      </c>
      <c r="I4" s="842"/>
      <c r="J4" s="842"/>
      <c r="K4" s="843"/>
      <c r="L4" s="89"/>
      <c r="M4" s="90"/>
    </row>
    <row r="5" spans="1:14" ht="13.5" thickBot="1" x14ac:dyDescent="0.25">
      <c r="A5" s="829"/>
      <c r="B5" s="830"/>
      <c r="C5" s="844" t="s">
        <v>20</v>
      </c>
      <c r="D5" s="845"/>
      <c r="E5" s="845"/>
      <c r="F5" s="845"/>
      <c r="G5" s="846"/>
      <c r="H5" s="847"/>
      <c r="I5" s="848"/>
      <c r="J5" s="848"/>
      <c r="K5" s="849"/>
      <c r="L5" s="91"/>
      <c r="M5" s="92"/>
    </row>
    <row r="6" spans="1:14" ht="13.5" thickBot="1" x14ac:dyDescent="0.25">
      <c r="A6" s="8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ht="12.75" x14ac:dyDescent="0.2">
      <c r="A7" s="804" t="s">
        <v>6</v>
      </c>
      <c r="B7" s="806" t="s">
        <v>341</v>
      </c>
      <c r="C7" s="807"/>
      <c r="D7" s="810" t="s">
        <v>342</v>
      </c>
      <c r="E7" s="817" t="s">
        <v>343</v>
      </c>
      <c r="F7" s="818"/>
      <c r="G7" s="818"/>
      <c r="H7" s="818"/>
      <c r="I7" s="818"/>
      <c r="J7" s="819"/>
      <c r="K7" s="817" t="s">
        <v>344</v>
      </c>
      <c r="L7" s="819"/>
      <c r="M7" s="823" t="s">
        <v>345</v>
      </c>
      <c r="N7" s="2"/>
    </row>
    <row r="8" spans="1:14" ht="13.5" thickBot="1" x14ac:dyDescent="0.25">
      <c r="A8" s="805"/>
      <c r="B8" s="808"/>
      <c r="C8" s="809"/>
      <c r="D8" s="811"/>
      <c r="E8" s="548" t="s">
        <v>346</v>
      </c>
      <c r="F8" s="548" t="s">
        <v>347</v>
      </c>
      <c r="G8" s="548" t="s">
        <v>348</v>
      </c>
      <c r="H8" s="548" t="s">
        <v>349</v>
      </c>
      <c r="I8" s="548" t="s">
        <v>350</v>
      </c>
      <c r="J8" s="548" t="s">
        <v>351</v>
      </c>
      <c r="K8" s="548" t="s">
        <v>352</v>
      </c>
      <c r="L8" s="548" t="s">
        <v>353</v>
      </c>
      <c r="M8" s="824"/>
      <c r="N8" s="2"/>
    </row>
    <row r="9" spans="1:14" ht="12.75" x14ac:dyDescent="0.2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ht="12.75" customHeight="1" thickBot="1" x14ac:dyDescent="0.25">
      <c r="A10" s="113"/>
      <c r="B10" s="498"/>
      <c r="C10" s="498"/>
      <c r="D10" s="497"/>
      <c r="E10" s="497"/>
      <c r="F10" s="497"/>
      <c r="G10" s="497"/>
      <c r="H10" s="497"/>
      <c r="I10" s="497"/>
      <c r="J10" s="496"/>
      <c r="K10" s="497"/>
      <c r="L10" s="497"/>
    </row>
    <row r="11" spans="1:14" ht="12.75" customHeight="1" thickBot="1" x14ac:dyDescent="0.25">
      <c r="A11" s="266" t="s">
        <v>915</v>
      </c>
      <c r="B11" s="267" t="str">
        <f>'BM18'!B112</f>
        <v>REVESTIMENTOS</v>
      </c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8"/>
    </row>
    <row r="12" spans="1:14" ht="12.6" customHeight="1" x14ac:dyDescent="0.2">
      <c r="A12" s="914"/>
      <c r="B12" s="914"/>
      <c r="C12" s="914"/>
      <c r="D12" s="914"/>
      <c r="E12" s="914"/>
      <c r="F12" s="914"/>
      <c r="G12" s="914"/>
      <c r="H12" s="914"/>
      <c r="I12" s="914"/>
      <c r="J12" s="914"/>
      <c r="K12" s="914"/>
      <c r="L12" s="914"/>
      <c r="M12" s="914"/>
    </row>
    <row r="13" spans="1:14" ht="12.6" customHeight="1" x14ac:dyDescent="0.2">
      <c r="A13" s="511" t="s">
        <v>529</v>
      </c>
      <c r="B13" s="866" t="str">
        <f>'BM18'!B117</f>
        <v>REVESTIMENTO CERÂMICO PARA PAREDES INTERNAS COM PLACAS TIPO ESMALTADA EXTRA DE DIMENSÕES 33X45 CM APLICADAS EM AMBIENTES DE ÁREA MAIOR QUE 5 M² NA ALTURA INTEIRA DAS PAREDES. AF_06/2014</v>
      </c>
      <c r="C13" s="867"/>
      <c r="D13" s="867"/>
      <c r="E13" s="867"/>
      <c r="F13" s="867"/>
      <c r="G13" s="867"/>
      <c r="H13" s="867"/>
      <c r="I13" s="867"/>
      <c r="J13" s="867"/>
      <c r="K13" s="868"/>
      <c r="L13" s="512">
        <f>SUM(L15:L19)</f>
        <v>45.242999999999995</v>
      </c>
      <c r="M13" s="513" t="s">
        <v>400</v>
      </c>
    </row>
    <row r="14" spans="1:14" ht="12.6" customHeight="1" x14ac:dyDescent="0.2">
      <c r="A14" s="914"/>
      <c r="B14" s="914"/>
      <c r="C14" s="914"/>
      <c r="D14" s="914"/>
      <c r="E14" s="914"/>
      <c r="F14" s="914"/>
      <c r="G14" s="914"/>
      <c r="H14" s="914"/>
      <c r="I14" s="914"/>
      <c r="J14" s="914"/>
      <c r="K14" s="914"/>
      <c r="L14" s="914"/>
      <c r="M14" s="914"/>
    </row>
    <row r="15" spans="1:14" ht="15" x14ac:dyDescent="0.25">
      <c r="A15" s="510"/>
      <c r="B15" s="501" t="s">
        <v>1040</v>
      </c>
      <c r="C15" s="501"/>
      <c r="D15" s="509">
        <v>1</v>
      </c>
      <c r="E15" s="467">
        <v>4.34</v>
      </c>
      <c r="F15" s="501"/>
      <c r="G15" s="467">
        <v>4.1500000000000004</v>
      </c>
      <c r="H15" s="501"/>
      <c r="I15" s="501"/>
      <c r="J15" s="501"/>
      <c r="K15" s="369">
        <f>G15*E15</f>
        <v>18.010999999999999</v>
      </c>
      <c r="L15" s="364">
        <f>K15*D15</f>
        <v>18.010999999999999</v>
      </c>
      <c r="M15" s="510"/>
    </row>
    <row r="16" spans="1:14" ht="15" x14ac:dyDescent="0.25">
      <c r="A16" s="510"/>
      <c r="B16" s="912" t="s">
        <v>1041</v>
      </c>
      <c r="C16" s="913"/>
      <c r="D16" s="509">
        <v>1</v>
      </c>
      <c r="E16" s="467">
        <v>4.8</v>
      </c>
      <c r="F16" s="501"/>
      <c r="G16" s="467">
        <v>2.79</v>
      </c>
      <c r="H16" s="501"/>
      <c r="I16" s="501"/>
      <c r="J16" s="501"/>
      <c r="K16" s="369">
        <f t="shared" ref="K16:K19" si="0">G16*E16</f>
        <v>13.391999999999999</v>
      </c>
      <c r="L16" s="364">
        <f t="shared" ref="L16:L19" si="1">K16*D16</f>
        <v>13.391999999999999</v>
      </c>
      <c r="M16" s="510"/>
    </row>
    <row r="17" spans="1:13" ht="15" x14ac:dyDescent="0.25">
      <c r="A17" s="510"/>
      <c r="B17" s="501" t="s">
        <v>1042</v>
      </c>
      <c r="C17" s="501"/>
      <c r="D17" s="509">
        <v>2</v>
      </c>
      <c r="E17" s="467">
        <v>1.9</v>
      </c>
      <c r="F17" s="501"/>
      <c r="G17" s="467">
        <v>2.4</v>
      </c>
      <c r="H17" s="501"/>
      <c r="I17" s="501"/>
      <c r="J17" s="501"/>
      <c r="K17" s="369">
        <f t="shared" si="0"/>
        <v>4.5599999999999996</v>
      </c>
      <c r="L17" s="364">
        <f t="shared" si="1"/>
        <v>9.1199999999999992</v>
      </c>
      <c r="M17" s="510"/>
    </row>
    <row r="18" spans="1:13" ht="15" x14ac:dyDescent="0.25">
      <c r="A18" s="510"/>
      <c r="B18" s="501" t="s">
        <v>1042</v>
      </c>
      <c r="C18" s="501"/>
      <c r="D18" s="509">
        <v>2</v>
      </c>
      <c r="E18" s="467">
        <f>0.4+0.3</f>
        <v>0.7</v>
      </c>
      <c r="F18" s="501"/>
      <c r="G18" s="467">
        <v>2.15</v>
      </c>
      <c r="H18" s="501"/>
      <c r="I18" s="501"/>
      <c r="J18" s="501"/>
      <c r="K18" s="369">
        <f t="shared" si="0"/>
        <v>1.5049999999999999</v>
      </c>
      <c r="L18" s="364">
        <f t="shared" si="1"/>
        <v>3.01</v>
      </c>
      <c r="M18" s="510"/>
    </row>
    <row r="19" spans="1:13" ht="12.75" x14ac:dyDescent="0.2">
      <c r="A19" s="914"/>
      <c r="B19" s="501" t="s">
        <v>1042</v>
      </c>
      <c r="C19" s="501"/>
      <c r="D19" s="509">
        <v>2</v>
      </c>
      <c r="E19" s="467">
        <v>1.9</v>
      </c>
      <c r="F19" s="501"/>
      <c r="G19" s="467">
        <f>0.3+0.15</f>
        <v>0.44999999999999996</v>
      </c>
      <c r="H19" s="501"/>
      <c r="I19" s="501"/>
      <c r="J19" s="501"/>
      <c r="K19" s="369">
        <f t="shared" si="0"/>
        <v>0.85499999999999987</v>
      </c>
      <c r="L19" s="364">
        <f t="shared" si="1"/>
        <v>1.7099999999999997</v>
      </c>
      <c r="M19" s="914"/>
    </row>
    <row r="20" spans="1:13" ht="12.75" x14ac:dyDescent="0.2">
      <c r="A20" s="914"/>
      <c r="B20" s="915"/>
      <c r="C20" s="915"/>
      <c r="D20" s="526"/>
      <c r="E20" s="916"/>
      <c r="F20" s="915"/>
      <c r="G20" s="916"/>
      <c r="H20" s="915"/>
      <c r="I20" s="915"/>
      <c r="J20" s="915"/>
      <c r="K20" s="527"/>
      <c r="L20" s="460"/>
      <c r="M20" s="914"/>
    </row>
    <row r="21" spans="1:13" ht="28.5" customHeight="1" x14ac:dyDescent="0.2">
      <c r="A21" s="365" t="s">
        <v>531</v>
      </c>
      <c r="B21" s="786" t="str">
        <f>'BM18'!B118</f>
        <v>Revestimento cerâmico para piso ou parede, 61 x 61 cm, c/ piso porcelanato merano branco, INCEPA ou similar, PEI 5, aplicado com argamassa industrializada ac-iii, rejuntado, exclusive regularização de base ou emboço</v>
      </c>
      <c r="C21" s="787"/>
      <c r="D21" s="787"/>
      <c r="E21" s="787"/>
      <c r="F21" s="787"/>
      <c r="G21" s="787"/>
      <c r="H21" s="787"/>
      <c r="I21" s="787"/>
      <c r="J21" s="787"/>
      <c r="K21" s="788"/>
      <c r="L21" s="346">
        <f>SUM(L25:L47)</f>
        <v>211.70309999999998</v>
      </c>
      <c r="M21" s="367" t="s">
        <v>400</v>
      </c>
    </row>
    <row r="22" spans="1:13" ht="12.75" x14ac:dyDescent="0.2">
      <c r="A22" s="509"/>
      <c r="B22" s="509"/>
      <c r="C22" s="509"/>
      <c r="D22" s="509"/>
      <c r="E22" s="509"/>
      <c r="F22" s="509"/>
      <c r="G22" s="509"/>
      <c r="H22" s="509"/>
      <c r="I22" s="509"/>
      <c r="J22" s="509"/>
      <c r="K22" s="509" t="s">
        <v>1031</v>
      </c>
      <c r="L22" s="509">
        <f>'BM18'!H118</f>
        <v>83.01</v>
      </c>
      <c r="M22" s="509"/>
    </row>
    <row r="23" spans="1:13" ht="12.75" x14ac:dyDescent="0.2">
      <c r="A23" s="509"/>
      <c r="B23" s="509"/>
      <c r="C23" s="509"/>
      <c r="D23" s="509"/>
      <c r="E23" s="509"/>
      <c r="F23" s="509"/>
      <c r="G23" s="509"/>
      <c r="H23" s="509"/>
      <c r="I23" s="509"/>
      <c r="J23" s="509"/>
      <c r="K23" s="918" t="s">
        <v>1048</v>
      </c>
      <c r="L23" s="918">
        <f>L21-L22</f>
        <v>128.69309999999996</v>
      </c>
      <c r="M23" s="509"/>
    </row>
    <row r="24" spans="1:13" ht="12.75" x14ac:dyDescent="0.2">
      <c r="A24" s="509"/>
      <c r="B24" s="509"/>
      <c r="C24" s="509"/>
      <c r="D24" s="509"/>
      <c r="E24" s="509"/>
      <c r="F24" s="509"/>
      <c r="G24" s="509"/>
      <c r="H24" s="509"/>
      <c r="I24" s="509"/>
      <c r="J24" s="509"/>
      <c r="K24" s="509"/>
      <c r="L24" s="509"/>
      <c r="M24" s="509"/>
    </row>
    <row r="25" spans="1:13" ht="15" x14ac:dyDescent="0.25">
      <c r="A25" s="509"/>
      <c r="B25" s="919" t="s">
        <v>1049</v>
      </c>
      <c r="C25" s="509"/>
      <c r="D25" s="509">
        <v>1</v>
      </c>
      <c r="E25" s="920">
        <v>18.7</v>
      </c>
      <c r="F25" s="509"/>
      <c r="G25" s="920">
        <v>3.3</v>
      </c>
      <c r="H25" s="509"/>
      <c r="I25" s="509"/>
      <c r="J25" s="509"/>
      <c r="K25" s="369">
        <f>G25*E25</f>
        <v>61.709999999999994</v>
      </c>
      <c r="L25" s="364">
        <f>K25*D25</f>
        <v>61.709999999999994</v>
      </c>
      <c r="M25" s="509"/>
    </row>
    <row r="26" spans="1:13" ht="15" x14ac:dyDescent="0.25">
      <c r="A26" s="509"/>
      <c r="B26" s="919" t="s">
        <v>1054</v>
      </c>
      <c r="C26" s="509"/>
      <c r="D26" s="509">
        <v>1</v>
      </c>
      <c r="E26" s="920">
        <v>4.16</v>
      </c>
      <c r="F26" s="509"/>
      <c r="G26" s="920">
        <v>1.65</v>
      </c>
      <c r="H26" s="509"/>
      <c r="I26" s="509"/>
      <c r="J26" s="509"/>
      <c r="K26" s="369">
        <f t="shared" ref="K26:K45" si="2">G26*E26</f>
        <v>6.8639999999999999</v>
      </c>
      <c r="L26" s="364">
        <f t="shared" ref="L26:L45" si="3">K26*D26</f>
        <v>6.8639999999999999</v>
      </c>
      <c r="M26" s="509"/>
    </row>
    <row r="27" spans="1:13" ht="15" x14ac:dyDescent="0.25">
      <c r="A27" s="509"/>
      <c r="B27" s="919" t="s">
        <v>1055</v>
      </c>
      <c r="C27" s="509"/>
      <c r="D27" s="509">
        <v>1</v>
      </c>
      <c r="E27" s="920">
        <v>4.3499999999999996</v>
      </c>
      <c r="F27" s="509"/>
      <c r="G27" s="920">
        <v>1.7</v>
      </c>
      <c r="H27" s="509"/>
      <c r="I27" s="509"/>
      <c r="J27" s="509"/>
      <c r="K27" s="369">
        <f t="shared" si="2"/>
        <v>7.3949999999999996</v>
      </c>
      <c r="L27" s="364">
        <f t="shared" si="3"/>
        <v>7.3949999999999996</v>
      </c>
      <c r="M27" s="509"/>
    </row>
    <row r="28" spans="1:13" ht="15" x14ac:dyDescent="0.25">
      <c r="A28" s="509"/>
      <c r="B28" s="919" t="s">
        <v>1050</v>
      </c>
      <c r="C28" s="509"/>
      <c r="D28" s="509">
        <v>1</v>
      </c>
      <c r="E28" s="920">
        <v>1.4</v>
      </c>
      <c r="F28" s="509"/>
      <c r="G28" s="920">
        <v>11.4</v>
      </c>
      <c r="H28" s="509"/>
      <c r="I28" s="509"/>
      <c r="J28" s="509"/>
      <c r="K28" s="369">
        <f t="shared" si="2"/>
        <v>15.959999999999999</v>
      </c>
      <c r="L28" s="364">
        <f t="shared" si="3"/>
        <v>15.959999999999999</v>
      </c>
      <c r="M28" s="509"/>
    </row>
    <row r="29" spans="1:13" ht="15" x14ac:dyDescent="0.25">
      <c r="A29" s="509"/>
      <c r="B29" s="921" t="s">
        <v>1051</v>
      </c>
      <c r="C29" s="922"/>
      <c r="D29" s="509">
        <v>1</v>
      </c>
      <c r="E29" s="920">
        <v>0.1</v>
      </c>
      <c r="F29" s="509"/>
      <c r="G29" s="920">
        <v>13.8</v>
      </c>
      <c r="H29" s="509"/>
      <c r="I29" s="509"/>
      <c r="J29" s="509"/>
      <c r="K29" s="369">
        <f>G29*E29</f>
        <v>1.3800000000000001</v>
      </c>
      <c r="L29" s="364">
        <f>K29*D29</f>
        <v>1.3800000000000001</v>
      </c>
      <c r="M29" s="509"/>
    </row>
    <row r="30" spans="1:13" ht="15" x14ac:dyDescent="0.25">
      <c r="A30" s="509"/>
      <c r="B30" s="921" t="s">
        <v>1051</v>
      </c>
      <c r="C30" s="922"/>
      <c r="D30" s="509">
        <v>1</v>
      </c>
      <c r="E30" s="920">
        <v>0.32</v>
      </c>
      <c r="F30" s="509"/>
      <c r="G30" s="920">
        <v>14</v>
      </c>
      <c r="H30" s="509"/>
      <c r="I30" s="509"/>
      <c r="J30" s="509"/>
      <c r="K30" s="369">
        <f>G30*E30</f>
        <v>4.4800000000000004</v>
      </c>
      <c r="L30" s="364">
        <f>K30*D30</f>
        <v>4.4800000000000004</v>
      </c>
      <c r="M30" s="509"/>
    </row>
    <row r="31" spans="1:13" ht="15" x14ac:dyDescent="0.25">
      <c r="A31" s="509"/>
      <c r="B31" s="921" t="s">
        <v>1051</v>
      </c>
      <c r="C31" s="922"/>
      <c r="D31" s="509">
        <v>1</v>
      </c>
      <c r="E31" s="920">
        <v>0.32</v>
      </c>
      <c r="F31" s="509"/>
      <c r="G31" s="920">
        <v>14.4</v>
      </c>
      <c r="H31" s="509"/>
      <c r="I31" s="509"/>
      <c r="J31" s="509"/>
      <c r="K31" s="369">
        <f>G31*E31</f>
        <v>4.6080000000000005</v>
      </c>
      <c r="L31" s="364">
        <f>K31*D31</f>
        <v>4.6080000000000005</v>
      </c>
      <c r="M31" s="509"/>
    </row>
    <row r="32" spans="1:13" ht="15" x14ac:dyDescent="0.25">
      <c r="A32" s="509"/>
      <c r="B32" s="921" t="s">
        <v>1056</v>
      </c>
      <c r="C32" s="922"/>
      <c r="D32" s="509">
        <v>1</v>
      </c>
      <c r="E32" s="920">
        <v>6.5</v>
      </c>
      <c r="F32" s="509"/>
      <c r="G32" s="920">
        <v>5</v>
      </c>
      <c r="H32" s="509"/>
      <c r="I32" s="509"/>
      <c r="J32" s="509"/>
      <c r="K32" s="369">
        <f t="shared" si="2"/>
        <v>32.5</v>
      </c>
      <c r="L32" s="364">
        <f t="shared" si="3"/>
        <v>32.5</v>
      </c>
      <c r="M32" s="509"/>
    </row>
    <row r="33" spans="1:13" ht="15" x14ac:dyDescent="0.25">
      <c r="A33" s="509"/>
      <c r="B33" s="921" t="s">
        <v>1058</v>
      </c>
      <c r="C33" s="922"/>
      <c r="D33" s="509">
        <v>1</v>
      </c>
      <c r="E33" s="920">
        <v>8.6999999999999993</v>
      </c>
      <c r="F33" s="509"/>
      <c r="G33" s="920">
        <v>1.2</v>
      </c>
      <c r="H33" s="509"/>
      <c r="I33" s="509"/>
      <c r="J33" s="509"/>
      <c r="K33" s="369">
        <f t="shared" si="2"/>
        <v>10.44</v>
      </c>
      <c r="L33" s="364">
        <f t="shared" si="3"/>
        <v>10.44</v>
      </c>
      <c r="M33" s="509"/>
    </row>
    <row r="34" spans="1:13" ht="15" x14ac:dyDescent="0.25">
      <c r="A34" s="509"/>
      <c r="B34" s="921" t="s">
        <v>1059</v>
      </c>
      <c r="C34" s="922"/>
      <c r="D34" s="509">
        <v>1</v>
      </c>
      <c r="E34" s="920">
        <v>0.33</v>
      </c>
      <c r="F34" s="509"/>
      <c r="G34" s="920">
        <v>8.6999999999999993</v>
      </c>
      <c r="H34" s="509"/>
      <c r="I34" s="509"/>
      <c r="J34" s="509"/>
      <c r="K34" s="369">
        <f t="shared" si="2"/>
        <v>2.871</v>
      </c>
      <c r="L34" s="364">
        <f t="shared" si="3"/>
        <v>2.871</v>
      </c>
      <c r="M34" s="509"/>
    </row>
    <row r="35" spans="1:13" ht="15" x14ac:dyDescent="0.25">
      <c r="A35" s="509"/>
      <c r="B35" s="921" t="s">
        <v>1059</v>
      </c>
      <c r="C35" s="922"/>
      <c r="D35" s="509">
        <v>1</v>
      </c>
      <c r="E35" s="920">
        <v>0.33</v>
      </c>
      <c r="F35" s="509"/>
      <c r="G35" s="920">
        <v>8.9499999999999993</v>
      </c>
      <c r="H35" s="509"/>
      <c r="I35" s="509"/>
      <c r="J35" s="509"/>
      <c r="K35" s="369">
        <f t="shared" ref="K35" si="4">G35*E35</f>
        <v>2.9535</v>
      </c>
      <c r="L35" s="364">
        <f t="shared" ref="L35" si="5">K35*D35</f>
        <v>2.9535</v>
      </c>
      <c r="M35" s="509"/>
    </row>
    <row r="36" spans="1:13" ht="15" x14ac:dyDescent="0.25">
      <c r="A36" s="509"/>
      <c r="B36" s="921" t="s">
        <v>1059</v>
      </c>
      <c r="C36" s="922"/>
      <c r="D36" s="509">
        <v>1</v>
      </c>
      <c r="E36" s="920">
        <v>0.33</v>
      </c>
      <c r="F36" s="509"/>
      <c r="G36" s="920">
        <v>9.25</v>
      </c>
      <c r="H36" s="509"/>
      <c r="I36" s="509"/>
      <c r="J36" s="509"/>
      <c r="K36" s="369">
        <f t="shared" ref="K36" si="6">G36*E36</f>
        <v>3.0525000000000002</v>
      </c>
      <c r="L36" s="364">
        <f t="shared" ref="L36" si="7">K36*D36</f>
        <v>3.0525000000000002</v>
      </c>
      <c r="M36" s="509"/>
    </row>
    <row r="37" spans="1:13" ht="15" x14ac:dyDescent="0.25">
      <c r="A37" s="509"/>
      <c r="B37" s="921" t="s">
        <v>876</v>
      </c>
      <c r="C37" s="922"/>
      <c r="D37" s="509">
        <v>1</v>
      </c>
      <c r="E37" s="920">
        <v>0.33</v>
      </c>
      <c r="F37" s="509"/>
      <c r="G37" s="920">
        <v>1.64</v>
      </c>
      <c r="H37" s="509"/>
      <c r="I37" s="509"/>
      <c r="J37" s="509"/>
      <c r="K37" s="369">
        <f t="shared" si="2"/>
        <v>0.54120000000000001</v>
      </c>
      <c r="L37" s="364">
        <f t="shared" si="3"/>
        <v>0.54120000000000001</v>
      </c>
      <c r="M37" s="509"/>
    </row>
    <row r="38" spans="1:13" ht="15" x14ac:dyDescent="0.25">
      <c r="A38" s="509"/>
      <c r="B38" s="921" t="s">
        <v>876</v>
      </c>
      <c r="C38" s="922"/>
      <c r="D38" s="509">
        <v>1</v>
      </c>
      <c r="E38" s="920">
        <v>0.33</v>
      </c>
      <c r="F38" s="509"/>
      <c r="G38" s="920">
        <v>1.75</v>
      </c>
      <c r="H38" s="509"/>
      <c r="I38" s="509"/>
      <c r="J38" s="509"/>
      <c r="K38" s="369">
        <f t="shared" si="2"/>
        <v>0.57750000000000001</v>
      </c>
      <c r="L38" s="364">
        <f t="shared" si="3"/>
        <v>0.57750000000000001</v>
      </c>
      <c r="M38" s="509"/>
    </row>
    <row r="39" spans="1:13" ht="15" x14ac:dyDescent="0.25">
      <c r="A39" s="509"/>
      <c r="B39" s="919" t="s">
        <v>876</v>
      </c>
      <c r="C39" s="509"/>
      <c r="D39" s="509">
        <v>1</v>
      </c>
      <c r="E39" s="920">
        <v>0.33</v>
      </c>
      <c r="F39" s="509"/>
      <c r="G39" s="920">
        <v>1.95</v>
      </c>
      <c r="H39" s="509"/>
      <c r="I39" s="509"/>
      <c r="J39" s="509"/>
      <c r="K39" s="369">
        <f t="shared" ref="K39" si="8">G39*E39</f>
        <v>0.64349999999999996</v>
      </c>
      <c r="L39" s="364">
        <f t="shared" ref="L39" si="9">K39*D39</f>
        <v>0.64349999999999996</v>
      </c>
      <c r="M39" s="509"/>
    </row>
    <row r="40" spans="1:13" ht="15" x14ac:dyDescent="0.25">
      <c r="A40" s="509"/>
      <c r="B40" s="921" t="s">
        <v>1057</v>
      </c>
      <c r="C40" s="922"/>
      <c r="D40" s="509">
        <v>1</v>
      </c>
      <c r="E40" s="920">
        <v>1.83</v>
      </c>
      <c r="F40" s="509"/>
      <c r="G40" s="920">
        <v>2.4300000000000002</v>
      </c>
      <c r="H40" s="509"/>
      <c r="I40" s="509"/>
      <c r="J40" s="509"/>
      <c r="K40" s="369">
        <f t="shared" si="2"/>
        <v>4.4469000000000003</v>
      </c>
      <c r="L40" s="364">
        <f t="shared" si="3"/>
        <v>4.4469000000000003</v>
      </c>
      <c r="M40" s="509"/>
    </row>
    <row r="41" spans="1:13" ht="15" x14ac:dyDescent="0.25">
      <c r="A41" s="509"/>
      <c r="B41" s="921" t="s">
        <v>1052</v>
      </c>
      <c r="C41" s="922"/>
      <c r="D41" s="509">
        <v>1</v>
      </c>
      <c r="E41" s="920">
        <v>1.75</v>
      </c>
      <c r="F41" s="509"/>
      <c r="G41" s="920">
        <v>1.42</v>
      </c>
      <c r="H41" s="509"/>
      <c r="I41" s="509"/>
      <c r="J41" s="509"/>
      <c r="K41" s="369">
        <f t="shared" si="2"/>
        <v>2.4849999999999999</v>
      </c>
      <c r="L41" s="364">
        <f t="shared" si="3"/>
        <v>2.4849999999999999</v>
      </c>
      <c r="M41" s="509"/>
    </row>
    <row r="42" spans="1:13" ht="15" x14ac:dyDescent="0.25">
      <c r="A42" s="509"/>
      <c r="B42" s="921" t="s">
        <v>1052</v>
      </c>
      <c r="C42" s="922"/>
      <c r="D42" s="509">
        <v>1</v>
      </c>
      <c r="E42" s="920">
        <v>1.75</v>
      </c>
      <c r="F42" s="509"/>
      <c r="G42" s="920">
        <v>1.5</v>
      </c>
      <c r="H42" s="509"/>
      <c r="I42" s="509"/>
      <c r="J42" s="509"/>
      <c r="K42" s="369">
        <f t="shared" si="2"/>
        <v>2.625</v>
      </c>
      <c r="L42" s="364">
        <f t="shared" si="3"/>
        <v>2.625</v>
      </c>
      <c r="M42" s="509"/>
    </row>
    <row r="43" spans="1:13" ht="15" x14ac:dyDescent="0.25">
      <c r="A43" s="509"/>
      <c r="B43" s="921" t="s">
        <v>1053</v>
      </c>
      <c r="C43" s="922"/>
      <c r="D43" s="509">
        <v>1</v>
      </c>
      <c r="E43" s="920">
        <f>1.75+1.75+1.5+1.5</f>
        <v>6.5</v>
      </c>
      <c r="F43" s="509"/>
      <c r="G43" s="920">
        <v>2.5</v>
      </c>
      <c r="H43" s="509"/>
      <c r="I43" s="509"/>
      <c r="J43" s="509"/>
      <c r="K43" s="369">
        <f t="shared" si="2"/>
        <v>16.25</v>
      </c>
      <c r="L43" s="364">
        <f t="shared" si="3"/>
        <v>16.25</v>
      </c>
      <c r="M43" s="509"/>
    </row>
    <row r="44" spans="1:13" ht="15" x14ac:dyDescent="0.25">
      <c r="A44" s="509"/>
      <c r="B44" s="921" t="s">
        <v>1053</v>
      </c>
      <c r="C44" s="922"/>
      <c r="D44" s="509">
        <v>1</v>
      </c>
      <c r="E44" s="920">
        <f>1.75+1.75+1.42+1.42</f>
        <v>6.34</v>
      </c>
      <c r="F44" s="509"/>
      <c r="G44" s="920">
        <v>2.5</v>
      </c>
      <c r="H44" s="509"/>
      <c r="I44" s="509"/>
      <c r="J44" s="509"/>
      <c r="K44" s="369">
        <f t="shared" si="2"/>
        <v>15.85</v>
      </c>
      <c r="L44" s="364">
        <f t="shared" si="3"/>
        <v>15.85</v>
      </c>
      <c r="M44" s="509"/>
    </row>
    <row r="45" spans="1:13" ht="15" x14ac:dyDescent="0.25">
      <c r="A45" s="509"/>
      <c r="B45" s="921" t="s">
        <v>1060</v>
      </c>
      <c r="C45" s="922"/>
      <c r="D45" s="509">
        <v>1</v>
      </c>
      <c r="E45" s="920">
        <f>(1.83+1.83+2.43+2.43)</f>
        <v>8.52</v>
      </c>
      <c r="F45" s="509"/>
      <c r="G45" s="920">
        <v>2.5</v>
      </c>
      <c r="H45" s="509"/>
      <c r="I45" s="509"/>
      <c r="J45" s="509"/>
      <c r="K45" s="369">
        <f t="shared" si="2"/>
        <v>21.299999999999997</v>
      </c>
      <c r="L45" s="364">
        <f t="shared" si="3"/>
        <v>21.299999999999997</v>
      </c>
      <c r="M45" s="509"/>
    </row>
    <row r="46" spans="1:13" ht="15" x14ac:dyDescent="0.25">
      <c r="A46" s="509"/>
      <c r="B46" s="921" t="s">
        <v>1061</v>
      </c>
      <c r="C46" s="922"/>
      <c r="D46" s="509">
        <v>-3</v>
      </c>
      <c r="E46" s="920">
        <v>0.9</v>
      </c>
      <c r="F46" s="509"/>
      <c r="G46" s="920">
        <v>2.4</v>
      </c>
      <c r="H46" s="509"/>
      <c r="I46" s="509"/>
      <c r="J46" s="509"/>
      <c r="K46" s="369">
        <f t="shared" ref="K46" si="10">G46*E46</f>
        <v>2.16</v>
      </c>
      <c r="L46" s="364">
        <f t="shared" ref="L46" si="11">K46*D46</f>
        <v>-6.48</v>
      </c>
      <c r="M46" s="509"/>
    </row>
    <row r="47" spans="1:13" ht="15" x14ac:dyDescent="0.25">
      <c r="A47" s="509"/>
      <c r="B47" s="921" t="s">
        <v>1062</v>
      </c>
      <c r="C47" s="922"/>
      <c r="D47" s="509">
        <v>-3</v>
      </c>
      <c r="E47" s="920">
        <v>0.5</v>
      </c>
      <c r="F47" s="509"/>
      <c r="G47" s="920">
        <v>0.5</v>
      </c>
      <c r="H47" s="509"/>
      <c r="I47" s="509"/>
      <c r="J47" s="509"/>
      <c r="K47" s="369">
        <f t="shared" ref="K47" si="12">G47*E47</f>
        <v>0.25</v>
      </c>
      <c r="L47" s="364">
        <f t="shared" ref="L47" si="13">K47*D47</f>
        <v>-0.75</v>
      </c>
      <c r="M47" s="509"/>
    </row>
    <row r="48" spans="1:13" ht="12.75" x14ac:dyDescent="0.2">
      <c r="A48" s="914"/>
      <c r="B48" s="915"/>
      <c r="C48" s="915"/>
      <c r="D48" s="526"/>
      <c r="E48" s="916"/>
      <c r="F48" s="915"/>
      <c r="G48" s="916"/>
      <c r="H48" s="915"/>
      <c r="I48" s="915"/>
      <c r="J48" s="915"/>
      <c r="K48" s="527"/>
      <c r="L48" s="460"/>
      <c r="M48" s="914"/>
    </row>
    <row r="49" spans="1:13" ht="12.75" x14ac:dyDescent="0.2">
      <c r="A49" s="914"/>
      <c r="B49" s="915"/>
      <c r="C49" s="915"/>
      <c r="D49" s="526"/>
      <c r="E49" s="916"/>
      <c r="F49" s="915"/>
      <c r="G49" s="916"/>
      <c r="H49" s="915"/>
      <c r="I49" s="915"/>
      <c r="J49" s="915"/>
      <c r="K49" s="527"/>
      <c r="L49" s="460"/>
      <c r="M49" s="914"/>
    </row>
    <row r="50" spans="1:13" ht="12.6" customHeight="1" x14ac:dyDescent="0.2">
      <c r="A50" s="511" t="s">
        <v>863</v>
      </c>
      <c r="B50" s="866" t="s">
        <v>864</v>
      </c>
      <c r="C50" s="867"/>
      <c r="D50" s="867"/>
      <c r="E50" s="867"/>
      <c r="F50" s="867"/>
      <c r="G50" s="867"/>
      <c r="H50" s="867"/>
      <c r="I50" s="867"/>
      <c r="J50" s="867"/>
      <c r="K50" s="868"/>
      <c r="L50" s="512">
        <f>SUM(L54:L78)</f>
        <v>181.81400000000002</v>
      </c>
      <c r="M50" s="513" t="s">
        <v>400</v>
      </c>
    </row>
    <row r="51" spans="1:13" ht="12.6" customHeight="1" x14ac:dyDescent="0.2">
      <c r="A51" s="509"/>
      <c r="B51" s="509"/>
      <c r="C51" s="509"/>
      <c r="D51" s="509"/>
      <c r="E51" s="509"/>
      <c r="F51" s="509"/>
      <c r="G51" s="509"/>
      <c r="H51" s="509"/>
      <c r="I51" s="509"/>
      <c r="J51" s="509"/>
      <c r="K51" s="509" t="s">
        <v>1031</v>
      </c>
      <c r="L51" s="509">
        <f>'BM18'!H120</f>
        <v>165.11</v>
      </c>
      <c r="M51" s="509"/>
    </row>
    <row r="52" spans="1:13" ht="12.6" customHeight="1" x14ac:dyDescent="0.2">
      <c r="A52" s="509"/>
      <c r="B52" s="509"/>
      <c r="C52" s="509"/>
      <c r="D52" s="509"/>
      <c r="E52" s="509"/>
      <c r="F52" s="509"/>
      <c r="G52" s="509"/>
      <c r="H52" s="509"/>
      <c r="I52" s="509"/>
      <c r="J52" s="509"/>
      <c r="K52" s="918" t="s">
        <v>1048</v>
      </c>
      <c r="L52" s="918">
        <f>L50-L51</f>
        <v>16.704000000000008</v>
      </c>
      <c r="M52" s="509"/>
    </row>
    <row r="53" spans="1:13" ht="12.6" customHeight="1" x14ac:dyDescent="0.2">
      <c r="A53" s="914"/>
      <c r="B53" s="914" t="s">
        <v>1063</v>
      </c>
      <c r="C53" s="914"/>
      <c r="D53" s="914"/>
      <c r="E53" s="914"/>
      <c r="F53" s="914"/>
      <c r="G53" s="914"/>
      <c r="H53" s="914"/>
      <c r="I53" s="914"/>
      <c r="J53" s="914"/>
      <c r="K53" s="914"/>
      <c r="L53" s="914"/>
      <c r="M53" s="914"/>
    </row>
    <row r="54" spans="1:13" ht="15" x14ac:dyDescent="0.25">
      <c r="A54" s="510"/>
      <c r="B54" s="501" t="s">
        <v>1043</v>
      </c>
      <c r="C54" s="501"/>
      <c r="D54" s="509">
        <v>1</v>
      </c>
      <c r="E54" s="467">
        <v>4.18</v>
      </c>
      <c r="F54" s="501"/>
      <c r="G54" s="467">
        <v>3.7</v>
      </c>
      <c r="H54" s="501"/>
      <c r="I54" s="501"/>
      <c r="J54" s="501"/>
      <c r="K54" s="369">
        <f t="shared" ref="K54:K78" si="14">G54*E54</f>
        <v>15.465999999999999</v>
      </c>
      <c r="L54" s="364">
        <f t="shared" ref="L54:L78" si="15">K54*D54</f>
        <v>15.465999999999999</v>
      </c>
      <c r="M54" s="510"/>
    </row>
    <row r="55" spans="1:13" ht="15" x14ac:dyDescent="0.25">
      <c r="A55" s="510"/>
      <c r="B55" s="501" t="s">
        <v>1043</v>
      </c>
      <c r="C55" s="501"/>
      <c r="D55" s="509">
        <v>1</v>
      </c>
      <c r="E55" s="467">
        <v>4.2</v>
      </c>
      <c r="F55" s="501"/>
      <c r="G55" s="467">
        <v>3.7</v>
      </c>
      <c r="H55" s="501"/>
      <c r="I55" s="501"/>
      <c r="J55" s="501"/>
      <c r="K55" s="369">
        <f t="shared" si="14"/>
        <v>15.540000000000001</v>
      </c>
      <c r="L55" s="364">
        <f t="shared" si="15"/>
        <v>15.540000000000001</v>
      </c>
      <c r="M55" s="510"/>
    </row>
    <row r="56" spans="1:13" ht="15" x14ac:dyDescent="0.25">
      <c r="A56" s="510"/>
      <c r="B56" s="501" t="s">
        <v>1043</v>
      </c>
      <c r="C56" s="501"/>
      <c r="D56" s="509">
        <v>1</v>
      </c>
      <c r="E56" s="467">
        <v>2.5499999999999998</v>
      </c>
      <c r="F56" s="501"/>
      <c r="G56" s="467">
        <v>3.7</v>
      </c>
      <c r="H56" s="501"/>
      <c r="I56" s="501"/>
      <c r="J56" s="501"/>
      <c r="K56" s="369">
        <f t="shared" si="14"/>
        <v>9.4350000000000005</v>
      </c>
      <c r="L56" s="364">
        <f t="shared" si="15"/>
        <v>9.4350000000000005</v>
      </c>
      <c r="M56" s="510"/>
    </row>
    <row r="57" spans="1:13" ht="15" x14ac:dyDescent="0.25">
      <c r="A57" s="510"/>
      <c r="B57" s="501" t="s">
        <v>1043</v>
      </c>
      <c r="C57" s="501"/>
      <c r="D57" s="509">
        <v>1</v>
      </c>
      <c r="E57" s="467">
        <v>3.9</v>
      </c>
      <c r="F57" s="501"/>
      <c r="G57" s="467">
        <v>3.95</v>
      </c>
      <c r="H57" s="501"/>
      <c r="I57" s="501"/>
      <c r="J57" s="501"/>
      <c r="K57" s="369">
        <f t="shared" ref="K57" si="16">G57*E57</f>
        <v>15.405000000000001</v>
      </c>
      <c r="L57" s="364">
        <f t="shared" ref="L57" si="17">K57*D57</f>
        <v>15.405000000000001</v>
      </c>
      <c r="M57" s="510"/>
    </row>
    <row r="58" spans="1:13" ht="15" x14ac:dyDescent="0.25">
      <c r="A58" s="510"/>
      <c r="B58" s="501" t="s">
        <v>1043</v>
      </c>
      <c r="C58" s="501"/>
      <c r="D58" s="509">
        <v>1</v>
      </c>
      <c r="E58" s="467">
        <v>0.77</v>
      </c>
      <c r="F58" s="501"/>
      <c r="G58" s="467">
        <v>4</v>
      </c>
      <c r="H58" s="501"/>
      <c r="I58" s="501"/>
      <c r="J58" s="501"/>
      <c r="K58" s="369">
        <f t="shared" ref="K58" si="18">G58*E58</f>
        <v>3.08</v>
      </c>
      <c r="L58" s="364">
        <f t="shared" ref="L58" si="19">K58*D58</f>
        <v>3.08</v>
      </c>
      <c r="M58" s="510"/>
    </row>
    <row r="59" spans="1:13" ht="15" x14ac:dyDescent="0.25">
      <c r="A59" s="510"/>
      <c r="B59" s="501" t="s">
        <v>1043</v>
      </c>
      <c r="C59" s="501"/>
      <c r="D59" s="509">
        <v>1</v>
      </c>
      <c r="E59" s="467">
        <v>0.45</v>
      </c>
      <c r="F59" s="501"/>
      <c r="G59" s="467">
        <v>4</v>
      </c>
      <c r="H59" s="501"/>
      <c r="I59" s="501"/>
      <c r="J59" s="501"/>
      <c r="K59" s="369">
        <f t="shared" ref="K59" si="20">G59*E59</f>
        <v>1.8</v>
      </c>
      <c r="L59" s="364">
        <f t="shared" ref="L59" si="21">K59*D59</f>
        <v>1.8</v>
      </c>
      <c r="M59" s="510"/>
    </row>
    <row r="60" spans="1:13" ht="15" x14ac:dyDescent="0.25">
      <c r="A60" s="510"/>
      <c r="B60" s="501" t="s">
        <v>1043</v>
      </c>
      <c r="C60" s="501"/>
      <c r="D60" s="509">
        <v>1</v>
      </c>
      <c r="E60" s="467">
        <v>1.26</v>
      </c>
      <c r="F60" s="501"/>
      <c r="G60" s="467">
        <v>4.0999999999999996</v>
      </c>
      <c r="H60" s="501"/>
      <c r="I60" s="501"/>
      <c r="J60" s="501"/>
      <c r="K60" s="369">
        <f t="shared" ref="K60" si="22">G60*E60</f>
        <v>5.1659999999999995</v>
      </c>
      <c r="L60" s="364">
        <f t="shared" ref="L60" si="23">K60*D60</f>
        <v>5.1659999999999995</v>
      </c>
      <c r="M60" s="510"/>
    </row>
    <row r="61" spans="1:13" ht="15" x14ac:dyDescent="0.25">
      <c r="A61" s="510"/>
      <c r="B61" s="501" t="s">
        <v>1043</v>
      </c>
      <c r="C61" s="501"/>
      <c r="D61" s="509">
        <v>1</v>
      </c>
      <c r="E61" s="467">
        <v>0.77</v>
      </c>
      <c r="F61" s="501"/>
      <c r="G61" s="467">
        <v>4.2</v>
      </c>
      <c r="H61" s="501"/>
      <c r="I61" s="501"/>
      <c r="J61" s="501"/>
      <c r="K61" s="369">
        <f t="shared" ref="K61" si="24">G61*E61</f>
        <v>3.2340000000000004</v>
      </c>
      <c r="L61" s="364">
        <f t="shared" ref="L61" si="25">K61*D61</f>
        <v>3.2340000000000004</v>
      </c>
      <c r="M61" s="510"/>
    </row>
    <row r="62" spans="1:13" ht="15" x14ac:dyDescent="0.25">
      <c r="A62" s="510"/>
      <c r="B62" s="501" t="s">
        <v>1043</v>
      </c>
      <c r="C62" s="501"/>
      <c r="D62" s="509">
        <v>1</v>
      </c>
      <c r="E62" s="467">
        <v>0.1</v>
      </c>
      <c r="F62" s="501"/>
      <c r="G62" s="467">
        <v>4.2</v>
      </c>
      <c r="H62" s="501"/>
      <c r="I62" s="501"/>
      <c r="J62" s="501"/>
      <c r="K62" s="369">
        <f t="shared" ref="K62" si="26">G62*E62</f>
        <v>0.42000000000000004</v>
      </c>
      <c r="L62" s="364">
        <f t="shared" ref="L62" si="27">K62*D62</f>
        <v>0.42000000000000004</v>
      </c>
      <c r="M62" s="510"/>
    </row>
    <row r="63" spans="1:13" ht="15" x14ac:dyDescent="0.25">
      <c r="A63" s="510"/>
      <c r="B63" s="501" t="s">
        <v>1061</v>
      </c>
      <c r="C63" s="501"/>
      <c r="D63" s="509">
        <v>-1</v>
      </c>
      <c r="E63" s="467">
        <v>1.1000000000000001</v>
      </c>
      <c r="F63" s="501"/>
      <c r="G63" s="467">
        <v>2.4</v>
      </c>
      <c r="H63" s="501"/>
      <c r="I63" s="501"/>
      <c r="J63" s="501"/>
      <c r="K63" s="369">
        <f t="shared" ref="K63" si="28">G63*E63</f>
        <v>2.64</v>
      </c>
      <c r="L63" s="364">
        <f t="shared" ref="L63" si="29">K63*D63</f>
        <v>-2.64</v>
      </c>
      <c r="M63" s="510"/>
    </row>
    <row r="64" spans="1:13" ht="15" x14ac:dyDescent="0.25">
      <c r="A64" s="510"/>
      <c r="B64" s="501"/>
      <c r="C64" s="501"/>
      <c r="D64" s="509"/>
      <c r="E64" s="467"/>
      <c r="F64" s="501"/>
      <c r="G64" s="467"/>
      <c r="H64" s="501"/>
      <c r="I64" s="501"/>
      <c r="J64" s="501"/>
      <c r="K64" s="369"/>
      <c r="L64" s="364"/>
      <c r="M64" s="510"/>
    </row>
    <row r="65" spans="1:13" ht="15" x14ac:dyDescent="0.25">
      <c r="A65" s="510"/>
      <c r="B65" s="501" t="s">
        <v>1044</v>
      </c>
      <c r="C65" s="501"/>
      <c r="D65" s="509">
        <v>1</v>
      </c>
      <c r="E65" s="467">
        <v>3.7</v>
      </c>
      <c r="F65" s="501"/>
      <c r="G65" s="467">
        <v>4.25</v>
      </c>
      <c r="H65" s="501"/>
      <c r="I65" s="501"/>
      <c r="J65" s="501"/>
      <c r="K65" s="369">
        <f t="shared" ref="K65" si="30">G65*E65</f>
        <v>15.725000000000001</v>
      </c>
      <c r="L65" s="364">
        <f t="shared" ref="L65" si="31">K65*D65</f>
        <v>15.725000000000001</v>
      </c>
      <c r="M65" s="510"/>
    </row>
    <row r="66" spans="1:13" ht="15" x14ac:dyDescent="0.25">
      <c r="A66" s="510"/>
      <c r="B66" s="501" t="s">
        <v>1044</v>
      </c>
      <c r="C66" s="501"/>
      <c r="D66" s="509">
        <v>1</v>
      </c>
      <c r="E66" s="467">
        <v>3.89</v>
      </c>
      <c r="F66" s="501"/>
      <c r="G66" s="467">
        <v>3.75</v>
      </c>
      <c r="H66" s="501"/>
      <c r="I66" s="501"/>
      <c r="J66" s="501"/>
      <c r="K66" s="369">
        <f t="shared" si="14"/>
        <v>14.5875</v>
      </c>
      <c r="L66" s="364">
        <f t="shared" si="15"/>
        <v>14.5875</v>
      </c>
      <c r="M66" s="510"/>
    </row>
    <row r="67" spans="1:13" ht="15" x14ac:dyDescent="0.25">
      <c r="A67" s="510"/>
      <c r="B67" s="501" t="s">
        <v>1044</v>
      </c>
      <c r="C67" s="501"/>
      <c r="D67" s="509">
        <v>1</v>
      </c>
      <c r="E67" s="467">
        <v>2.6</v>
      </c>
      <c r="F67" s="501"/>
      <c r="G67" s="467">
        <v>3.7</v>
      </c>
      <c r="H67" s="501"/>
      <c r="I67" s="501"/>
      <c r="J67" s="501"/>
      <c r="K67" s="369">
        <f t="shared" si="14"/>
        <v>9.620000000000001</v>
      </c>
      <c r="L67" s="364">
        <f t="shared" si="15"/>
        <v>9.620000000000001</v>
      </c>
      <c r="M67" s="510"/>
    </row>
    <row r="68" spans="1:13" ht="15" x14ac:dyDescent="0.25">
      <c r="A68" s="510"/>
      <c r="B68" s="501" t="s">
        <v>1044</v>
      </c>
      <c r="C68" s="501"/>
      <c r="D68" s="509">
        <v>1</v>
      </c>
      <c r="E68" s="467">
        <v>3.7</v>
      </c>
      <c r="F68" s="501"/>
      <c r="G68" s="467">
        <v>3.8</v>
      </c>
      <c r="H68" s="501"/>
      <c r="I68" s="501"/>
      <c r="J68" s="501"/>
      <c r="K68" s="369">
        <f t="shared" si="14"/>
        <v>14.06</v>
      </c>
      <c r="L68" s="364">
        <f t="shared" si="15"/>
        <v>14.06</v>
      </c>
      <c r="M68" s="510"/>
    </row>
    <row r="69" spans="1:13" ht="15" x14ac:dyDescent="0.25">
      <c r="A69" s="510"/>
      <c r="B69" s="501" t="s">
        <v>1044</v>
      </c>
      <c r="C69" s="501"/>
      <c r="D69" s="509">
        <v>1</v>
      </c>
      <c r="E69" s="467">
        <v>0.9</v>
      </c>
      <c r="F69" s="501"/>
      <c r="G69" s="467">
        <v>3.85</v>
      </c>
      <c r="H69" s="501"/>
      <c r="I69" s="501"/>
      <c r="J69" s="501"/>
      <c r="K69" s="369">
        <f t="shared" ref="K69" si="32">G69*E69</f>
        <v>3.4650000000000003</v>
      </c>
      <c r="L69" s="364">
        <f t="shared" ref="L69" si="33">K69*D69</f>
        <v>3.4650000000000003</v>
      </c>
      <c r="M69" s="510"/>
    </row>
    <row r="70" spans="1:13" ht="15" x14ac:dyDescent="0.25">
      <c r="A70" s="510"/>
      <c r="B70" s="501" t="s">
        <v>1044</v>
      </c>
      <c r="C70" s="501"/>
      <c r="D70" s="509">
        <v>1</v>
      </c>
      <c r="E70" s="467">
        <v>2</v>
      </c>
      <c r="F70" s="501"/>
      <c r="G70" s="467">
        <v>3.9</v>
      </c>
      <c r="H70" s="501"/>
      <c r="I70" s="501"/>
      <c r="J70" s="501"/>
      <c r="K70" s="369">
        <f t="shared" ref="K70" si="34">G70*E70</f>
        <v>7.8</v>
      </c>
      <c r="L70" s="364">
        <f t="shared" ref="L70" si="35">K70*D70</f>
        <v>7.8</v>
      </c>
      <c r="M70" s="510"/>
    </row>
    <row r="71" spans="1:13" ht="15" x14ac:dyDescent="0.25">
      <c r="A71" s="510"/>
      <c r="B71" s="501" t="s">
        <v>1044</v>
      </c>
      <c r="C71" s="501"/>
      <c r="D71" s="509">
        <v>1</v>
      </c>
      <c r="E71" s="467">
        <v>1</v>
      </c>
      <c r="F71" s="501"/>
      <c r="G71" s="467">
        <v>4</v>
      </c>
      <c r="H71" s="501"/>
      <c r="I71" s="501"/>
      <c r="J71" s="501"/>
      <c r="K71" s="369">
        <f t="shared" ref="K71:K72" si="36">G71*E71</f>
        <v>4</v>
      </c>
      <c r="L71" s="364">
        <f t="shared" ref="L71:L72" si="37">K71*D71</f>
        <v>4</v>
      </c>
      <c r="M71" s="510"/>
    </row>
    <row r="72" spans="1:13" ht="15" x14ac:dyDescent="0.25">
      <c r="A72" s="510"/>
      <c r="B72" s="501" t="s">
        <v>1061</v>
      </c>
      <c r="C72" s="501"/>
      <c r="D72" s="509">
        <v>-1</v>
      </c>
      <c r="E72" s="467">
        <v>1.1000000000000001</v>
      </c>
      <c r="F72" s="501"/>
      <c r="G72" s="467">
        <v>2.35</v>
      </c>
      <c r="H72" s="501"/>
      <c r="I72" s="501"/>
      <c r="J72" s="501"/>
      <c r="K72" s="369">
        <f t="shared" si="36"/>
        <v>2.5850000000000004</v>
      </c>
      <c r="L72" s="364">
        <f t="shared" si="37"/>
        <v>-2.5850000000000004</v>
      </c>
      <c r="M72" s="510"/>
    </row>
    <row r="73" spans="1:13" ht="15" x14ac:dyDescent="0.25">
      <c r="A73" s="510"/>
      <c r="B73" s="501"/>
      <c r="C73" s="501"/>
      <c r="D73" s="509"/>
      <c r="E73" s="467"/>
      <c r="F73" s="501"/>
      <c r="G73" s="467"/>
      <c r="H73" s="501"/>
      <c r="I73" s="501"/>
      <c r="J73" s="501"/>
      <c r="K73" s="369"/>
      <c r="L73" s="364"/>
      <c r="M73" s="510"/>
    </row>
    <row r="74" spans="1:13" ht="15" x14ac:dyDescent="0.25">
      <c r="A74" s="510"/>
      <c r="B74" s="501" t="s">
        <v>1045</v>
      </c>
      <c r="C74" s="501"/>
      <c r="D74" s="509">
        <v>1</v>
      </c>
      <c r="E74" s="467">
        <v>3.65</v>
      </c>
      <c r="F74" s="501"/>
      <c r="G74" s="467">
        <v>3.68</v>
      </c>
      <c r="H74" s="501"/>
      <c r="I74" s="501"/>
      <c r="J74" s="501"/>
      <c r="K74" s="369">
        <f t="shared" si="14"/>
        <v>13.432</v>
      </c>
      <c r="L74" s="364">
        <f t="shared" si="15"/>
        <v>13.432</v>
      </c>
      <c r="M74" s="510"/>
    </row>
    <row r="75" spans="1:13" ht="15" x14ac:dyDescent="0.25">
      <c r="A75" s="510"/>
      <c r="B75" s="501" t="s">
        <v>1045</v>
      </c>
      <c r="C75" s="501"/>
      <c r="D75" s="509">
        <v>1</v>
      </c>
      <c r="E75" s="467">
        <v>2.5</v>
      </c>
      <c r="F75" s="501"/>
      <c r="G75" s="467">
        <v>4</v>
      </c>
      <c r="H75" s="501"/>
      <c r="I75" s="501"/>
      <c r="J75" s="501"/>
      <c r="K75" s="369">
        <f t="shared" si="14"/>
        <v>10</v>
      </c>
      <c r="L75" s="364">
        <f t="shared" si="15"/>
        <v>10</v>
      </c>
      <c r="M75" s="510"/>
    </row>
    <row r="76" spans="1:13" ht="15" x14ac:dyDescent="0.25">
      <c r="A76" s="510"/>
      <c r="B76" s="501" t="s">
        <v>1045</v>
      </c>
      <c r="C76" s="501"/>
      <c r="D76" s="509">
        <v>1</v>
      </c>
      <c r="E76" s="467">
        <v>2.8</v>
      </c>
      <c r="F76" s="501"/>
      <c r="G76" s="467">
        <v>4.1500000000000004</v>
      </c>
      <c r="H76" s="501"/>
      <c r="I76" s="501"/>
      <c r="J76" s="501"/>
      <c r="K76" s="369">
        <f t="shared" ref="K76" si="38">G76*E76</f>
        <v>11.620000000000001</v>
      </c>
      <c r="L76" s="364">
        <f t="shared" ref="L76" si="39">K76*D76</f>
        <v>11.620000000000001</v>
      </c>
      <c r="M76" s="510"/>
    </row>
    <row r="77" spans="1:13" ht="15" x14ac:dyDescent="0.25">
      <c r="A77" s="510"/>
      <c r="B77" s="301" t="s">
        <v>1046</v>
      </c>
      <c r="C77" s="917"/>
      <c r="D77" s="509">
        <v>1</v>
      </c>
      <c r="E77" s="467">
        <v>2.17</v>
      </c>
      <c r="F77" s="501"/>
      <c r="G77" s="467">
        <v>3.3</v>
      </c>
      <c r="H77" s="501"/>
      <c r="I77" s="501"/>
      <c r="J77" s="501"/>
      <c r="K77" s="369">
        <f t="shared" si="14"/>
        <v>7.1609999999999996</v>
      </c>
      <c r="L77" s="364">
        <f t="shared" si="15"/>
        <v>7.1609999999999996</v>
      </c>
      <c r="M77" s="510"/>
    </row>
    <row r="78" spans="1:13" ht="12.75" x14ac:dyDescent="0.2">
      <c r="A78" s="914"/>
      <c r="B78" s="501" t="s">
        <v>1047</v>
      </c>
      <c r="C78" s="501"/>
      <c r="D78" s="509">
        <v>1</v>
      </c>
      <c r="E78" s="467">
        <v>1.65</v>
      </c>
      <c r="F78" s="501"/>
      <c r="G78" s="467">
        <v>3.65</v>
      </c>
      <c r="H78" s="501"/>
      <c r="I78" s="501"/>
      <c r="J78" s="501"/>
      <c r="K78" s="369">
        <f t="shared" si="14"/>
        <v>6.0225</v>
      </c>
      <c r="L78" s="364">
        <f t="shared" si="15"/>
        <v>6.0225</v>
      </c>
      <c r="M78" s="914"/>
    </row>
    <row r="79" spans="1:13" ht="12.6" customHeight="1" thickBot="1" x14ac:dyDescent="0.25"/>
    <row r="80" spans="1:13" ht="12.6" customHeight="1" thickBot="1" x14ac:dyDescent="0.25">
      <c r="A80" s="266" t="s">
        <v>1068</v>
      </c>
      <c r="B80" s="267" t="str">
        <f>'BM18'!B169</f>
        <v>INSTALAÇÕES ELÉTRICAS</v>
      </c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8"/>
    </row>
    <row r="81" spans="1:13" ht="12.6" customHeight="1" x14ac:dyDescent="0.2">
      <c r="A81" s="914"/>
      <c r="B81" s="914"/>
      <c r="C81" s="914"/>
      <c r="D81" s="914"/>
      <c r="E81" s="914"/>
      <c r="F81" s="914"/>
      <c r="G81" s="914"/>
      <c r="H81" s="914"/>
      <c r="I81" s="914"/>
      <c r="J81" s="914"/>
      <c r="K81" s="914"/>
      <c r="L81" s="914"/>
      <c r="M81" s="914"/>
    </row>
    <row r="82" spans="1:13" ht="12.6" customHeight="1" x14ac:dyDescent="0.2">
      <c r="A82" s="511" t="str">
        <f>'BM18'!A191</f>
        <v>10.22</v>
      </c>
      <c r="B82" s="866" t="str">
        <f>'BM18'!B189</f>
        <v>LUMINÁRIA PLAFON DE TETO TIPO EMBUTIR RETÂNGULAR BRANCA COM LUZ QUENTE 24W</v>
      </c>
      <c r="C82" s="867"/>
      <c r="D82" s="867"/>
      <c r="E82" s="867"/>
      <c r="F82" s="867"/>
      <c r="G82" s="867"/>
      <c r="H82" s="867"/>
      <c r="I82" s="867"/>
      <c r="J82" s="867"/>
      <c r="K82" s="868"/>
      <c r="L82" s="512">
        <f>SUM(L84:L85)</f>
        <v>12</v>
      </c>
      <c r="M82" s="513" t="s">
        <v>961</v>
      </c>
    </row>
    <row r="83" spans="1:13" ht="12.6" customHeight="1" x14ac:dyDescent="0.2">
      <c r="A83" s="914"/>
      <c r="B83" s="914"/>
      <c r="C83" s="914"/>
      <c r="D83" s="914"/>
      <c r="E83" s="914"/>
      <c r="F83" s="914"/>
      <c r="G83" s="914"/>
      <c r="H83" s="914"/>
      <c r="I83" s="914"/>
      <c r="J83" s="914"/>
      <c r="K83" s="914"/>
      <c r="L83" s="914"/>
      <c r="M83" s="914"/>
    </row>
    <row r="84" spans="1:13" ht="12.6" customHeight="1" x14ac:dyDescent="0.25">
      <c r="A84" s="510"/>
      <c r="B84" s="501" t="s">
        <v>1064</v>
      </c>
      <c r="C84" s="501"/>
      <c r="D84" s="509">
        <v>6</v>
      </c>
      <c r="E84" s="467"/>
      <c r="F84" s="501"/>
      <c r="G84" s="467"/>
      <c r="H84" s="501"/>
      <c r="I84" s="501"/>
      <c r="J84" s="501"/>
      <c r="K84" s="369">
        <f>D84</f>
        <v>6</v>
      </c>
      <c r="L84" s="364">
        <f>K84</f>
        <v>6</v>
      </c>
      <c r="M84" s="510"/>
    </row>
    <row r="85" spans="1:13" ht="12.6" customHeight="1" x14ac:dyDescent="0.25">
      <c r="A85" s="510"/>
      <c r="B85" s="912" t="s">
        <v>1065</v>
      </c>
      <c r="C85" s="913"/>
      <c r="D85" s="509">
        <v>6</v>
      </c>
      <c r="E85" s="467"/>
      <c r="F85" s="501"/>
      <c r="G85" s="467"/>
      <c r="H85" s="501"/>
      <c r="I85" s="501"/>
      <c r="J85" s="501"/>
      <c r="K85" s="369">
        <f>D85</f>
        <v>6</v>
      </c>
      <c r="L85" s="364">
        <f>K85</f>
        <v>6</v>
      </c>
      <c r="M85" s="510"/>
    </row>
    <row r="87" spans="1:13" ht="12.6" customHeight="1" x14ac:dyDescent="0.2">
      <c r="A87" s="511" t="str">
        <f>'BM18'!A196</f>
        <v>10.27</v>
      </c>
      <c r="B87" s="866" t="str">
        <f>'BM18'!B195</f>
        <v>CALHA LUMINOSA EM LED</v>
      </c>
      <c r="C87" s="867"/>
      <c r="D87" s="867"/>
      <c r="E87" s="867"/>
      <c r="F87" s="867"/>
      <c r="G87" s="867"/>
      <c r="H87" s="867"/>
      <c r="I87" s="867"/>
      <c r="J87" s="867"/>
      <c r="K87" s="868"/>
      <c r="L87" s="512">
        <f>SUM(L89:L90)</f>
        <v>55.800000000000004</v>
      </c>
      <c r="M87" s="513" t="s">
        <v>67</v>
      </c>
    </row>
    <row r="88" spans="1:13" ht="12.6" customHeight="1" x14ac:dyDescent="0.2">
      <c r="A88" s="914"/>
      <c r="B88" s="914"/>
      <c r="C88" s="914"/>
      <c r="D88" s="914"/>
      <c r="E88" s="914"/>
      <c r="F88" s="914"/>
      <c r="G88" s="914"/>
      <c r="H88" s="914"/>
      <c r="I88" s="914"/>
      <c r="J88" s="914"/>
      <c r="K88" s="914"/>
      <c r="L88" s="914"/>
      <c r="M88" s="914"/>
    </row>
    <row r="89" spans="1:13" ht="12.6" customHeight="1" x14ac:dyDescent="0.25">
      <c r="A89" s="510"/>
      <c r="B89" s="501" t="s">
        <v>1066</v>
      </c>
      <c r="C89" s="501"/>
      <c r="D89" s="509">
        <v>9</v>
      </c>
      <c r="E89" s="467">
        <v>4.2</v>
      </c>
      <c r="F89" s="501"/>
      <c r="G89" s="467"/>
      <c r="H89" s="501"/>
      <c r="I89" s="501"/>
      <c r="J89" s="501"/>
      <c r="K89" s="369">
        <f>E89</f>
        <v>4.2</v>
      </c>
      <c r="L89" s="364">
        <f>K89*D89</f>
        <v>37.800000000000004</v>
      </c>
      <c r="M89" s="510"/>
    </row>
    <row r="90" spans="1:13" ht="12.6" customHeight="1" x14ac:dyDescent="0.25">
      <c r="A90" s="510"/>
      <c r="B90" s="912" t="s">
        <v>1065</v>
      </c>
      <c r="C90" s="913"/>
      <c r="D90" s="509">
        <v>2</v>
      </c>
      <c r="E90" s="467">
        <v>9</v>
      </c>
      <c r="F90" s="501"/>
      <c r="G90" s="467"/>
      <c r="H90" s="501"/>
      <c r="I90" s="501"/>
      <c r="J90" s="501"/>
      <c r="K90" s="369">
        <f>E90</f>
        <v>9</v>
      </c>
      <c r="L90" s="364">
        <f>K90*D90</f>
        <v>18</v>
      </c>
      <c r="M90" s="510"/>
    </row>
    <row r="91" spans="1:13" ht="12.6" customHeight="1" thickBot="1" x14ac:dyDescent="0.25"/>
    <row r="92" spans="1:13" ht="12.6" customHeight="1" thickBot="1" x14ac:dyDescent="0.25">
      <c r="A92" s="266" t="s">
        <v>1067</v>
      </c>
      <c r="B92" s="267" t="str">
        <f>'BM18'!B274</f>
        <v>SERVIÇOS FINAIS</v>
      </c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8"/>
    </row>
    <row r="93" spans="1:13" ht="12.6" customHeight="1" x14ac:dyDescent="0.2">
      <c r="A93" s="914"/>
      <c r="B93" s="914"/>
      <c r="C93" s="914"/>
      <c r="D93" s="914"/>
      <c r="E93" s="914"/>
      <c r="F93" s="914"/>
      <c r="G93" s="914"/>
      <c r="H93" s="914"/>
      <c r="I93" s="914"/>
      <c r="J93" s="914"/>
      <c r="K93" s="914"/>
      <c r="L93" s="914"/>
      <c r="M93" s="914"/>
    </row>
    <row r="94" spans="1:13" ht="12.6" customHeight="1" x14ac:dyDescent="0.2">
      <c r="A94" s="511" t="s">
        <v>794</v>
      </c>
      <c r="B94" s="866" t="str">
        <f>'BM18'!B279</f>
        <v>PLACA EM ACM</v>
      </c>
      <c r="C94" s="867"/>
      <c r="D94" s="867"/>
      <c r="E94" s="867"/>
      <c r="F94" s="867"/>
      <c r="G94" s="867"/>
      <c r="H94" s="867"/>
      <c r="I94" s="867"/>
      <c r="J94" s="867"/>
      <c r="K94" s="868"/>
      <c r="L94" s="512">
        <f>SUM(L96:L97)</f>
        <v>5.4</v>
      </c>
      <c r="M94" s="513" t="s">
        <v>400</v>
      </c>
    </row>
    <row r="95" spans="1:13" ht="12.6" customHeight="1" x14ac:dyDescent="0.2">
      <c r="A95" s="914"/>
      <c r="B95" s="914"/>
      <c r="C95" s="914"/>
      <c r="D95" s="914"/>
      <c r="E95" s="914"/>
      <c r="F95" s="914"/>
      <c r="G95" s="914"/>
      <c r="H95" s="914"/>
      <c r="I95" s="914"/>
      <c r="J95" s="914"/>
      <c r="K95" s="914"/>
      <c r="L95" s="914"/>
      <c r="M95" s="914"/>
    </row>
    <row r="96" spans="1:13" ht="12.6" customHeight="1" x14ac:dyDescent="0.25">
      <c r="A96" s="510"/>
      <c r="B96" s="501" t="s">
        <v>1064</v>
      </c>
      <c r="C96" s="501"/>
      <c r="D96" s="509">
        <v>2</v>
      </c>
      <c r="E96" s="467">
        <v>0.5</v>
      </c>
      <c r="F96" s="501"/>
      <c r="G96" s="467">
        <v>2.5</v>
      </c>
      <c r="H96" s="501"/>
      <c r="I96" s="501"/>
      <c r="J96" s="501"/>
      <c r="K96" s="369">
        <f>G96*E96</f>
        <v>1.25</v>
      </c>
      <c r="L96" s="364">
        <f>K96*D96</f>
        <v>2.5</v>
      </c>
      <c r="M96" s="510"/>
    </row>
    <row r="97" spans="1:13" ht="12.6" customHeight="1" x14ac:dyDescent="0.25">
      <c r="A97" s="510"/>
      <c r="B97" s="912" t="s">
        <v>1065</v>
      </c>
      <c r="C97" s="913"/>
      <c r="D97" s="509">
        <v>2</v>
      </c>
      <c r="E97" s="467">
        <v>0.5</v>
      </c>
      <c r="F97" s="501"/>
      <c r="G97" s="467">
        <v>2.9</v>
      </c>
      <c r="H97" s="501"/>
      <c r="I97" s="501"/>
      <c r="J97" s="501"/>
      <c r="K97" s="369">
        <f>G97*E97</f>
        <v>1.45</v>
      </c>
      <c r="L97" s="364">
        <f>K97*D97</f>
        <v>2.9</v>
      </c>
      <c r="M97" s="510"/>
    </row>
  </sheetData>
  <protectedRanges>
    <protectedRange sqref="L7 L9" name="Intervalo1_1"/>
    <protectedRange sqref="L11 L80 L92" name="Intervalo1_1_1_2"/>
  </protectedRanges>
  <mergeCells count="44">
    <mergeCell ref="B94:K94"/>
    <mergeCell ref="B97:C97"/>
    <mergeCell ref="B47:C47"/>
    <mergeCell ref="B82:K82"/>
    <mergeCell ref="B85:C85"/>
    <mergeCell ref="B87:K87"/>
    <mergeCell ref="B90:C90"/>
    <mergeCell ref="B41:C41"/>
    <mergeCell ref="B42:C42"/>
    <mergeCell ref="B43:C43"/>
    <mergeCell ref="B45:C45"/>
    <mergeCell ref="B46:C46"/>
    <mergeCell ref="B13:K13"/>
    <mergeCell ref="B50:K50"/>
    <mergeCell ref="B16:C16"/>
    <mergeCell ref="B21:K21"/>
    <mergeCell ref="B29:C29"/>
    <mergeCell ref="B30:C30"/>
    <mergeCell ref="B31:C31"/>
    <mergeCell ref="B32:C32"/>
    <mergeCell ref="B33:C33"/>
    <mergeCell ref="B34:C34"/>
    <mergeCell ref="B37:C37"/>
    <mergeCell ref="B35:C35"/>
    <mergeCell ref="B36:C36"/>
    <mergeCell ref="B38:C38"/>
    <mergeCell ref="B44:C44"/>
    <mergeCell ref="B40:C40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0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6"/>
  <sheetViews>
    <sheetView topLeftCell="A7" workbookViewId="0">
      <selection activeCell="B25" sqref="B25"/>
    </sheetView>
  </sheetViews>
  <sheetFormatPr defaultRowHeight="15" x14ac:dyDescent="0.25"/>
  <cols>
    <col min="1" max="1" width="9.140625" style="510"/>
    <col min="2" max="2" width="16.140625" style="510" bestFit="1" customWidth="1"/>
    <col min="3" max="5" width="9.140625" style="510"/>
    <col min="6" max="6" width="16.140625" style="510" bestFit="1" customWidth="1"/>
    <col min="7" max="16384" width="9.140625" style="510"/>
  </cols>
  <sheetData>
    <row r="7" spans="1:6" x14ac:dyDescent="0.25">
      <c r="A7" s="510" t="s">
        <v>1016</v>
      </c>
      <c r="B7" s="578">
        <v>55322.669999999991</v>
      </c>
    </row>
    <row r="8" spans="1:6" x14ac:dyDescent="0.25">
      <c r="A8" s="510" t="s">
        <v>1017</v>
      </c>
      <c r="B8" s="578">
        <v>81506.110000000015</v>
      </c>
    </row>
    <row r="9" spans="1:6" x14ac:dyDescent="0.25">
      <c r="A9" s="510" t="s">
        <v>1018</v>
      </c>
      <c r="B9" s="578">
        <v>79324.279999999984</v>
      </c>
    </row>
    <row r="10" spans="1:6" x14ac:dyDescent="0.25">
      <c r="A10" s="510" t="s">
        <v>1019</v>
      </c>
      <c r="B10" s="578">
        <v>48629.340000000004</v>
      </c>
      <c r="F10" s="579">
        <f>SUM(B7:B11)</f>
        <v>327433.08</v>
      </c>
    </row>
    <row r="11" spans="1:6" x14ac:dyDescent="0.25">
      <c r="A11" s="510" t="s">
        <v>1020</v>
      </c>
      <c r="B11" s="578">
        <v>62650.68</v>
      </c>
    </row>
    <row r="12" spans="1:6" x14ac:dyDescent="0.25">
      <c r="A12" s="510" t="s">
        <v>1021</v>
      </c>
      <c r="B12" s="578">
        <v>49991.87</v>
      </c>
    </row>
    <row r="13" spans="1:6" x14ac:dyDescent="0.25">
      <c r="A13" s="510" t="s">
        <v>1022</v>
      </c>
      <c r="B13" s="578">
        <v>76515.850000000006</v>
      </c>
    </row>
    <row r="14" spans="1:6" x14ac:dyDescent="0.25">
      <c r="A14" s="510" t="s">
        <v>1023</v>
      </c>
      <c r="B14" s="578">
        <v>30673.279999999999</v>
      </c>
    </row>
    <row r="15" spans="1:6" x14ac:dyDescent="0.25">
      <c r="A15" s="510" t="s">
        <v>1024</v>
      </c>
      <c r="B15" s="578">
        <v>49286.299999999996</v>
      </c>
    </row>
    <row r="16" spans="1:6" x14ac:dyDescent="0.25">
      <c r="A16" s="510" t="s">
        <v>1025</v>
      </c>
      <c r="B16" s="578">
        <v>60632.640000000007</v>
      </c>
    </row>
    <row r="17" spans="1:2" x14ac:dyDescent="0.25">
      <c r="A17" s="510" t="s">
        <v>1026</v>
      </c>
      <c r="B17" s="578">
        <v>18230.759999999998</v>
      </c>
    </row>
    <row r="18" spans="1:2" x14ac:dyDescent="0.25">
      <c r="A18" s="510" t="s">
        <v>1027</v>
      </c>
      <c r="B18" s="578">
        <v>75633.239999999991</v>
      </c>
    </row>
    <row r="19" spans="1:2" x14ac:dyDescent="0.25">
      <c r="A19" s="510" t="s">
        <v>1028</v>
      </c>
      <c r="B19" s="578">
        <v>80004.13</v>
      </c>
    </row>
    <row r="20" spans="1:2" x14ac:dyDescent="0.25">
      <c r="A20" s="510" t="s">
        <v>1029</v>
      </c>
      <c r="B20" s="578">
        <v>33849.129999999997</v>
      </c>
    </row>
    <row r="21" spans="1:2" x14ac:dyDescent="0.25">
      <c r="A21" s="510" t="s">
        <v>1030</v>
      </c>
      <c r="B21" s="578">
        <f>[5]BM15!J259</f>
        <v>15851.05</v>
      </c>
    </row>
    <row r="22" spans="1:2" x14ac:dyDescent="0.25">
      <c r="A22" s="510" t="s">
        <v>1031</v>
      </c>
      <c r="B22" s="578">
        <v>66928.92</v>
      </c>
    </row>
    <row r="23" spans="1:2" x14ac:dyDescent="0.25">
      <c r="A23" s="510" t="s">
        <v>1035</v>
      </c>
      <c r="B23" s="578">
        <v>20804.099999999999</v>
      </c>
    </row>
    <row r="24" spans="1:2" x14ac:dyDescent="0.25">
      <c r="A24" s="510" t="s">
        <v>1039</v>
      </c>
      <c r="B24" s="578">
        <f>'BM18'!J284</f>
        <v>28422.54</v>
      </c>
    </row>
    <row r="25" spans="1:2" x14ac:dyDescent="0.25">
      <c r="B25" s="578"/>
    </row>
    <row r="26" spans="1:2" x14ac:dyDescent="0.25">
      <c r="B26" s="579">
        <f>SUM(B7:B24)</f>
        <v>934256.89000000025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3</vt:i4>
      </vt:variant>
    </vt:vector>
  </HeadingPairs>
  <TitlesOfParts>
    <vt:vector size="11" baseType="lpstr">
      <vt:lpstr>RESUMO COTAÇÕES</vt:lpstr>
      <vt:lpstr>REPROGRAMAÇÃO</vt:lpstr>
      <vt:lpstr>Preço novos</vt:lpstr>
      <vt:lpstr>Plan1</vt:lpstr>
      <vt:lpstr>Memorial</vt:lpstr>
      <vt:lpstr>BM18</vt:lpstr>
      <vt:lpstr>Memorial 18</vt:lpstr>
      <vt:lpstr>Plan2</vt:lpstr>
      <vt:lpstr>'BM18'!Area_de_impressao</vt:lpstr>
      <vt:lpstr>'RESUMO COTAÇÕES'!Area_de_impressao</vt:lpstr>
      <vt:lpstr>'RESUMO COTAÇÕES'!Titulos_de_impressao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pc</cp:lastModifiedBy>
  <cp:lastPrinted>2024-10-17T18:32:16Z</cp:lastPrinted>
  <dcterms:created xsi:type="dcterms:W3CDTF">2021-03-19T13:17:42Z</dcterms:created>
  <dcterms:modified xsi:type="dcterms:W3CDTF">2024-10-17T18:48:36Z</dcterms:modified>
</cp:coreProperties>
</file>