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BDE18D95-6807-4049-BEF7-8686B5123CE6}" xr6:coauthVersionLast="47" xr6:coauthVersionMax="47" xr10:uidLastSave="{00000000-0000-0000-0000-000000000000}"/>
  <bookViews>
    <workbookView xWindow="-120" yWindow="-120" windowWidth="20730" windowHeight="11160" firstSheet="5" activeTab="10" xr2:uid="{938FBB94-A1E3-4217-B0B9-89B11A98672E}"/>
  </bookViews>
  <sheets>
    <sheet name="BM 01" sheetId="2" r:id="rId1"/>
    <sheet name="Memória 01" sheetId="3" r:id="rId2"/>
    <sheet name="BM 02" sheetId="4" r:id="rId3"/>
    <sheet name="Memória 02" sheetId="5" r:id="rId4"/>
    <sheet name="BM 03" sheetId="6" r:id="rId5"/>
    <sheet name="Memória 03" sheetId="7" r:id="rId6"/>
    <sheet name="BM 04" sheetId="8" r:id="rId7"/>
    <sheet name="Memória 04" sheetId="9" r:id="rId8"/>
    <sheet name="BM 05" sheetId="10" r:id="rId9"/>
    <sheet name="Memória 05" sheetId="11" r:id="rId10"/>
    <sheet name="BM 06" sheetId="12" r:id="rId11"/>
    <sheet name="Memória 06" sheetId="13" r:id="rId12"/>
    <sheet name="Planilha1" sheetId="1" r:id="rId13"/>
  </sheets>
  <externalReferences>
    <externalReference r:id="rId14"/>
    <externalReference r:id="rId15"/>
    <externalReference r:id="rId16"/>
    <externalReference r:id="rId17"/>
  </externalReferences>
  <definedNames>
    <definedName name="ADITIVO" localSheetId="4">OFFSET([1]Lista!$E$2,0,0,COUNTA([1]Lista!$E$2:$E$101),1)</definedName>
    <definedName name="ADITIVO" localSheetId="6">OFFSET([1]Lista!$E$2,0,0,COUNTA([1]Lista!$E$2:$E$101),1)</definedName>
    <definedName name="ADITIVO" localSheetId="8">OFFSET([1]Lista!$E$2,0,0,COUNTA([1]Lista!$E$2:$E$101),1)</definedName>
    <definedName name="ADITIVO" localSheetId="10">OFFSET([1]Lista!$E$2,0,0,COUNTA([1]Lista!$E$2:$E$101),1)</definedName>
    <definedName name="ADITIVO" localSheetId="5">OFFSET([1]Lista!$E$2,0,0,COUNTA([1]Lista!$E$2:$E$101),1)</definedName>
    <definedName name="ADITIVO" localSheetId="7">OFFSET([1]Lista!$E$2,0,0,COUNTA([1]Lista!$E$2:$E$101),1)</definedName>
    <definedName name="ADITIVO" localSheetId="9">OFFSET([1]Lista!$E$2,0,0,COUNTA([1]Lista!$E$2:$E$101),1)</definedName>
    <definedName name="ADITIVO" localSheetId="11">OFFSET([1]Lista!$E$2,0,0,COUNTA([1]Lista!$E$2:$E$101),1)</definedName>
    <definedName name="ADITIVO">OFFSET([2]Lista!$E$2,0,0,COUNTA([2]Lista!$E$2:$E$101),1)</definedName>
    <definedName name="_xlnm.Print_Area" localSheetId="0">'BM 01'!$B$2:$K$229</definedName>
    <definedName name="_xlnm.Print_Area" localSheetId="2">'BM 02'!$B$2:$K$229</definedName>
    <definedName name="_xlnm.Print_Area" localSheetId="4">'BM 03'!$B$2:$K$252</definedName>
    <definedName name="_xlnm.Print_Area" localSheetId="6">'BM 04'!$B$2:$K$252</definedName>
    <definedName name="_xlnm.Print_Area" localSheetId="8">'BM 05'!$B$2:$K$252</definedName>
    <definedName name="_xlnm.Print_Area" localSheetId="10">'BM 06'!$B$2:$K$252</definedName>
    <definedName name="_xlnm.Print_Area" localSheetId="1">'Memória 01'!$A$1:$J$229</definedName>
    <definedName name="_xlnm.Print_Area" localSheetId="3">'Memória 02'!$A$1:$J$229</definedName>
    <definedName name="_xlnm.Print_Area" localSheetId="5">'Memória 03'!$A$1:$J$238</definedName>
    <definedName name="_xlnm.Print_Area" localSheetId="7">'Memória 04'!$A$1:$J$238</definedName>
    <definedName name="_xlnm.Print_Area" localSheetId="9">'Memória 05'!$A$1:$J$238</definedName>
    <definedName name="_xlnm.Print_Area" localSheetId="11">'Memória 06'!$A$1:$J$238</definedName>
    <definedName name="MODALIDADE" localSheetId="4">OFFSET([1]Lista!$D$2,0,0,COUNTA([1]Lista!$D$2:$D$101),1)</definedName>
    <definedName name="MODALIDADE" localSheetId="6">OFFSET([1]Lista!$D$2,0,0,COUNTA([1]Lista!$D$2:$D$101),1)</definedName>
    <definedName name="MODALIDADE" localSheetId="8">OFFSET([1]Lista!$D$2,0,0,COUNTA([1]Lista!$D$2:$D$101),1)</definedName>
    <definedName name="MODALIDADE" localSheetId="10">OFFSET([1]Lista!$D$2,0,0,COUNTA([1]Lista!$D$2:$D$101),1)</definedName>
    <definedName name="MODALIDADE" localSheetId="5">OFFSET([1]Lista!$D$2,0,0,COUNTA([1]Lista!$D$2:$D$101),1)</definedName>
    <definedName name="MODALIDADE" localSheetId="7">OFFSET([1]Lista!$D$2,0,0,COUNTA([1]Lista!$D$2:$D$101),1)</definedName>
    <definedName name="MODALIDADE" localSheetId="9">OFFSET([1]Lista!$D$2,0,0,COUNTA([1]Lista!$D$2:$D$101),1)</definedName>
    <definedName name="MODALIDADE" localSheetId="11">OFFSET([1]Lista!$D$2,0,0,COUNTA([1]Lista!$D$2:$D$101),1)</definedName>
    <definedName name="MODALIDADE">OFFSET([2]Lista!$D$2,0,0,COUNTA([2]Lista!$D$2:$D$101),1)</definedName>
    <definedName name="MUNICÍPIO" localSheetId="4">OFFSET([1]Lista!$A$2,0,0,COUNTA([1]Lista!$A$2:$A$1000),1)</definedName>
    <definedName name="MUNICÍPIO" localSheetId="6">OFFSET([1]Lista!$A$2,0,0,COUNTA([1]Lista!$A$2:$A$1000),1)</definedName>
    <definedName name="MUNICÍPIO" localSheetId="8">OFFSET([1]Lista!$A$2,0,0,COUNTA([1]Lista!$A$2:$A$1000),1)</definedName>
    <definedName name="MUNICÍPIO" localSheetId="10">OFFSET([1]Lista!$A$2,0,0,COUNTA([1]Lista!$A$2:$A$1000),1)</definedName>
    <definedName name="MUNICÍPIO" localSheetId="5">OFFSET([1]Lista!$A$2,0,0,COUNTA([1]Lista!$A$2:$A$1000),1)</definedName>
    <definedName name="MUNICÍPIO" localSheetId="7">OFFSET([1]Lista!$A$2,0,0,COUNTA([1]Lista!$A$2:$A$1000),1)</definedName>
    <definedName name="MUNICÍPIO" localSheetId="9">OFFSET([1]Lista!$A$2,0,0,COUNTA([1]Lista!$A$2:$A$1000),1)</definedName>
    <definedName name="MUNICÍPIO" localSheetId="11">OFFSET([1]Lista!$A$2,0,0,COUNTA([1]Lista!$A$2:$A$1000),1)</definedName>
    <definedName name="MUNICÍPIO">OFFSET([2]Lista!$A$2,0,0,COUNTA([2]Lista!$A$2:$A$1000),1)</definedName>
    <definedName name="PROGRAMA_BDMG" localSheetId="4">OFFSET([1]Lista!$B$2,0,0,COUNTA([1]Lista!$B$2:$B$101),1)</definedName>
    <definedName name="PROGRAMA_BDMG" localSheetId="6">OFFSET([1]Lista!$B$2,0,0,COUNTA([1]Lista!$B$2:$B$101),1)</definedName>
    <definedName name="PROGRAMA_BDMG" localSheetId="8">OFFSET([1]Lista!$B$2,0,0,COUNTA([1]Lista!$B$2:$B$101),1)</definedName>
    <definedName name="PROGRAMA_BDMG" localSheetId="10">OFFSET([1]Lista!$B$2,0,0,COUNTA([1]Lista!$B$2:$B$101),1)</definedName>
    <definedName name="PROGRAMA_BDMG" localSheetId="5">OFFSET([1]Lista!$B$2,0,0,COUNTA([1]Lista!$B$2:$B$101),1)</definedName>
    <definedName name="PROGRAMA_BDMG" localSheetId="7">OFFSET([1]Lista!$B$2,0,0,COUNTA([1]Lista!$B$2:$B$101),1)</definedName>
    <definedName name="PROGRAMA_BDMG" localSheetId="9">OFFSET([1]Lista!$B$2,0,0,COUNTA([1]Lista!$B$2:$B$101),1)</definedName>
    <definedName name="PROGRAMA_BDMG" localSheetId="11">OFFSET([1]Lista!$B$2,0,0,COUNTA([1]Lista!$B$2:$B$101),1)</definedName>
    <definedName name="PROGRAMA_BDMG">OFFSET([2]Lista!$B$2,0,0,COUNTA([2]Lista!$B$2:$B$101),1)</definedName>
    <definedName name="TIPO_DE_OBRA" localSheetId="4">OFFSET([1]Lista!$C$2,0,0,COUNTA([1]Lista!$C$2:$C$101),1)</definedName>
    <definedName name="TIPO_DE_OBRA" localSheetId="6">OFFSET([1]Lista!$C$2,0,0,COUNTA([1]Lista!$C$2:$C$101),1)</definedName>
    <definedName name="TIPO_DE_OBRA" localSheetId="8">OFFSET([1]Lista!$C$2,0,0,COUNTA([1]Lista!$C$2:$C$101),1)</definedName>
    <definedName name="TIPO_DE_OBRA" localSheetId="10">OFFSET([1]Lista!$C$2,0,0,COUNTA([1]Lista!$C$2:$C$101),1)</definedName>
    <definedName name="TIPO_DE_OBRA" localSheetId="5">OFFSET([1]Lista!$C$2,0,0,COUNTA([1]Lista!$C$2:$C$101),1)</definedName>
    <definedName name="TIPO_DE_OBRA" localSheetId="7">OFFSET([1]Lista!$C$2,0,0,COUNTA([1]Lista!$C$2:$C$101),1)</definedName>
    <definedName name="TIPO_DE_OBRA" localSheetId="9">OFFSET([1]Lista!$C$2,0,0,COUNTA([1]Lista!$C$2:$C$101),1)</definedName>
    <definedName name="TIPO_DE_OBRA" localSheetId="11">OFFSET([1]Lista!$C$2,0,0,COUNTA([1]Lista!$C$2:$C$101),1)</definedName>
    <definedName name="TIPO_DE_OBRA">OFFSET([2]Lista!$C$2,0,0,COUNTA([2]Lista!$C$2:$C$101),1)</definedName>
    <definedName name="_xlnm.Print_Titles" localSheetId="0">'BM 01'!$2:$10</definedName>
    <definedName name="_xlnm.Print_Titles" localSheetId="2">'BM 02'!$2:$10</definedName>
    <definedName name="_xlnm.Print_Titles" localSheetId="4">'BM 03'!$2:$10</definedName>
    <definedName name="_xlnm.Print_Titles" localSheetId="6">'BM 04'!$2:$10</definedName>
    <definedName name="_xlnm.Print_Titles" localSheetId="8">'BM 05'!$2:$10</definedName>
    <definedName name="_xlnm.Print_Titles" localSheetId="10">'BM 06'!$2:$10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4" i="13" l="1"/>
  <c r="B234" i="13"/>
  <c r="A234" i="13"/>
  <c r="C233" i="13"/>
  <c r="B233" i="13"/>
  <c r="A233" i="13"/>
  <c r="C232" i="13"/>
  <c r="B232" i="13"/>
  <c r="A232" i="13"/>
  <c r="B231" i="13"/>
  <c r="A231" i="13"/>
  <c r="C230" i="13"/>
  <c r="B230" i="13"/>
  <c r="A230" i="13"/>
  <c r="C229" i="13"/>
  <c r="B229" i="13"/>
  <c r="A229" i="13"/>
  <c r="B228" i="13"/>
  <c r="A228" i="13"/>
  <c r="C227" i="13"/>
  <c r="B227" i="13"/>
  <c r="A227" i="13"/>
  <c r="C226" i="13"/>
  <c r="B226" i="13"/>
  <c r="A226" i="13"/>
  <c r="L225" i="13"/>
  <c r="C225" i="13"/>
  <c r="B225" i="13"/>
  <c r="A225" i="13"/>
  <c r="C224" i="13"/>
  <c r="B224" i="13"/>
  <c r="A224" i="13"/>
  <c r="B223" i="13"/>
  <c r="A223" i="13"/>
  <c r="B222" i="13"/>
  <c r="A222" i="13"/>
  <c r="L133" i="13"/>
  <c r="K122" i="13"/>
  <c r="L108" i="13"/>
  <c r="M67" i="13"/>
  <c r="M66" i="13"/>
  <c r="L65" i="13"/>
  <c r="L60" i="13"/>
  <c r="L53" i="13"/>
  <c r="M51" i="13"/>
  <c r="L51" i="13"/>
  <c r="M42" i="13"/>
  <c r="L42" i="13"/>
  <c r="N40" i="13"/>
  <c r="M40" i="13"/>
  <c r="L40" i="13"/>
  <c r="B18" i="13"/>
  <c r="B13" i="13"/>
  <c r="J241" i="12"/>
  <c r="I241" i="12"/>
  <c r="I238" i="12" s="1"/>
  <c r="G241" i="12"/>
  <c r="H241" i="12" s="1"/>
  <c r="K241" i="12" s="1"/>
  <c r="J240" i="12"/>
  <c r="I240" i="12"/>
  <c r="G240" i="12"/>
  <c r="H240" i="12" s="1"/>
  <c r="K240" i="12" s="1"/>
  <c r="I239" i="12"/>
  <c r="H239" i="12"/>
  <c r="K239" i="12" s="1"/>
  <c r="K238" i="12" s="1"/>
  <c r="G239" i="12"/>
  <c r="J239" i="12" s="1"/>
  <c r="I237" i="12"/>
  <c r="H237" i="12"/>
  <c r="K237" i="12" s="1"/>
  <c r="G237" i="12"/>
  <c r="J237" i="12" s="1"/>
  <c r="I236" i="12"/>
  <c r="H236" i="12"/>
  <c r="K236" i="12" s="1"/>
  <c r="K235" i="12" s="1"/>
  <c r="G236" i="12"/>
  <c r="J236" i="12" s="1"/>
  <c r="J235" i="12" s="1"/>
  <c r="I235" i="12"/>
  <c r="I234" i="12"/>
  <c r="H234" i="12"/>
  <c r="K234" i="12" s="1"/>
  <c r="G234" i="12"/>
  <c r="J234" i="12" s="1"/>
  <c r="J233" i="12"/>
  <c r="I233" i="12"/>
  <c r="I230" i="12" s="1"/>
  <c r="I229" i="12" s="1"/>
  <c r="H233" i="12"/>
  <c r="K233" i="12" s="1"/>
  <c r="G233" i="12"/>
  <c r="K232" i="12"/>
  <c r="J232" i="12"/>
  <c r="I232" i="12"/>
  <c r="G232" i="12"/>
  <c r="H232" i="12" s="1"/>
  <c r="I231" i="12"/>
  <c r="H231" i="12"/>
  <c r="K231" i="12" s="1"/>
  <c r="K230" i="12" s="1"/>
  <c r="K229" i="12" s="1"/>
  <c r="G231" i="12"/>
  <c r="J231" i="12" s="1"/>
  <c r="I228" i="12"/>
  <c r="G228" i="12"/>
  <c r="I227" i="12"/>
  <c r="G227" i="12"/>
  <c r="I226" i="12"/>
  <c r="H226" i="12"/>
  <c r="K226" i="12" s="1"/>
  <c r="G226" i="12"/>
  <c r="J226" i="12" s="1"/>
  <c r="J225" i="12"/>
  <c r="I225" i="12"/>
  <c r="H225" i="12"/>
  <c r="K225" i="12" s="1"/>
  <c r="G225" i="12"/>
  <c r="K224" i="12"/>
  <c r="J224" i="12"/>
  <c r="I224" i="12"/>
  <c r="G224" i="12"/>
  <c r="H224" i="12" s="1"/>
  <c r="I222" i="12"/>
  <c r="G222" i="12"/>
  <c r="I221" i="12"/>
  <c r="G221" i="12"/>
  <c r="I220" i="12"/>
  <c r="H220" i="12"/>
  <c r="K220" i="12" s="1"/>
  <c r="G220" i="12"/>
  <c r="J220" i="12" s="1"/>
  <c r="J219" i="12"/>
  <c r="I219" i="12"/>
  <c r="H219" i="12"/>
  <c r="K219" i="12" s="1"/>
  <c r="G219" i="12"/>
  <c r="K218" i="12"/>
  <c r="J218" i="12"/>
  <c r="I218" i="12"/>
  <c r="G218" i="12"/>
  <c r="H218" i="12" s="1"/>
  <c r="I217" i="12"/>
  <c r="G217" i="12"/>
  <c r="J217" i="12" s="1"/>
  <c r="I216" i="12"/>
  <c r="I215" i="12"/>
  <c r="G215" i="12"/>
  <c r="I214" i="12"/>
  <c r="H214" i="12"/>
  <c r="K214" i="12" s="1"/>
  <c r="G214" i="12"/>
  <c r="J214" i="12" s="1"/>
  <c r="J213" i="12"/>
  <c r="I213" i="12"/>
  <c r="I212" i="12" s="1"/>
  <c r="H213" i="12"/>
  <c r="K213" i="12" s="1"/>
  <c r="G213" i="12"/>
  <c r="J211" i="12"/>
  <c r="I211" i="12"/>
  <c r="H211" i="12"/>
  <c r="K211" i="12" s="1"/>
  <c r="G211" i="12"/>
  <c r="I210" i="12"/>
  <c r="G210" i="12"/>
  <c r="H210" i="12" s="1"/>
  <c r="K210" i="12" s="1"/>
  <c r="I209" i="12"/>
  <c r="H209" i="12"/>
  <c r="K209" i="12" s="1"/>
  <c r="K206" i="12" s="1"/>
  <c r="G209" i="12"/>
  <c r="J209" i="12" s="1"/>
  <c r="I208" i="12"/>
  <c r="H208" i="12"/>
  <c r="K208" i="12" s="1"/>
  <c r="G208" i="12"/>
  <c r="J208" i="12" s="1"/>
  <c r="J207" i="12"/>
  <c r="I207" i="12"/>
  <c r="H207" i="12"/>
  <c r="K207" i="12" s="1"/>
  <c r="G207" i="12"/>
  <c r="J205" i="12"/>
  <c r="I205" i="12"/>
  <c r="I201" i="12" s="1"/>
  <c r="H205" i="12"/>
  <c r="K205" i="12" s="1"/>
  <c r="G205" i="12"/>
  <c r="K204" i="12"/>
  <c r="J204" i="12"/>
  <c r="I204" i="12"/>
  <c r="G204" i="12"/>
  <c r="H204" i="12" s="1"/>
  <c r="I203" i="12"/>
  <c r="H203" i="12"/>
  <c r="K203" i="12" s="1"/>
  <c r="G203" i="12"/>
  <c r="J203" i="12" s="1"/>
  <c r="I202" i="12"/>
  <c r="H202" i="12"/>
  <c r="K202" i="12" s="1"/>
  <c r="K201" i="12" s="1"/>
  <c r="G202" i="12"/>
  <c r="J202" i="12" s="1"/>
  <c r="J201" i="12" s="1"/>
  <c r="I200" i="12"/>
  <c r="H200" i="12"/>
  <c r="K200" i="12" s="1"/>
  <c r="G200" i="12"/>
  <c r="J200" i="12" s="1"/>
  <c r="J199" i="12"/>
  <c r="I199" i="12"/>
  <c r="I192" i="12" s="1"/>
  <c r="G199" i="12"/>
  <c r="H199" i="12" s="1"/>
  <c r="K199" i="12" s="1"/>
  <c r="I198" i="12"/>
  <c r="G198" i="12"/>
  <c r="H198" i="12" s="1"/>
  <c r="K198" i="12" s="1"/>
  <c r="I197" i="12"/>
  <c r="H197" i="12"/>
  <c r="K197" i="12" s="1"/>
  <c r="G197" i="12"/>
  <c r="J197" i="12" s="1"/>
  <c r="J196" i="12"/>
  <c r="I196" i="12"/>
  <c r="H196" i="12"/>
  <c r="K196" i="12" s="1"/>
  <c r="G196" i="12"/>
  <c r="J195" i="12"/>
  <c r="I195" i="12"/>
  <c r="G195" i="12"/>
  <c r="H195" i="12" s="1"/>
  <c r="K195" i="12" s="1"/>
  <c r="I194" i="12"/>
  <c r="G194" i="12"/>
  <c r="I193" i="12"/>
  <c r="G193" i="12"/>
  <c r="I191" i="12"/>
  <c r="H191" i="12"/>
  <c r="K191" i="12" s="1"/>
  <c r="G191" i="12"/>
  <c r="J191" i="12" s="1"/>
  <c r="J190" i="12"/>
  <c r="I190" i="12"/>
  <c r="H190" i="12"/>
  <c r="K190" i="12" s="1"/>
  <c r="G190" i="12"/>
  <c r="J189" i="12"/>
  <c r="I189" i="12"/>
  <c r="G189" i="12"/>
  <c r="H189" i="12" s="1"/>
  <c r="K189" i="12" s="1"/>
  <c r="I188" i="12"/>
  <c r="G188" i="12"/>
  <c r="I187" i="12"/>
  <c r="H187" i="12"/>
  <c r="K187" i="12" s="1"/>
  <c r="G187" i="12"/>
  <c r="J187" i="12" s="1"/>
  <c r="I186" i="12"/>
  <c r="H186" i="12"/>
  <c r="K186" i="12" s="1"/>
  <c r="G186" i="12"/>
  <c r="J186" i="12" s="1"/>
  <c r="J185" i="12"/>
  <c r="I185" i="12"/>
  <c r="H185" i="12"/>
  <c r="K185" i="12" s="1"/>
  <c r="G185" i="12"/>
  <c r="I184" i="12"/>
  <c r="G184" i="12"/>
  <c r="H184" i="12" s="1"/>
  <c r="K184" i="12" s="1"/>
  <c r="I183" i="12"/>
  <c r="H183" i="12"/>
  <c r="K183" i="12" s="1"/>
  <c r="G183" i="12"/>
  <c r="J183" i="12" s="1"/>
  <c r="I182" i="12"/>
  <c r="H182" i="12"/>
  <c r="K182" i="12" s="1"/>
  <c r="G182" i="12"/>
  <c r="J182" i="12" s="1"/>
  <c r="J181" i="12"/>
  <c r="I181" i="12"/>
  <c r="I177" i="12" s="1"/>
  <c r="H181" i="12"/>
  <c r="K181" i="12" s="1"/>
  <c r="G181" i="12"/>
  <c r="J180" i="12"/>
  <c r="I180" i="12"/>
  <c r="G180" i="12"/>
  <c r="H180" i="12" s="1"/>
  <c r="K180" i="12" s="1"/>
  <c r="J179" i="12"/>
  <c r="I179" i="12"/>
  <c r="H179" i="12"/>
  <c r="K179" i="12" s="1"/>
  <c r="G179" i="12"/>
  <c r="K178" i="12"/>
  <c r="I178" i="12"/>
  <c r="H178" i="12"/>
  <c r="G178" i="12"/>
  <c r="J178" i="12" s="1"/>
  <c r="I176" i="12"/>
  <c r="H176" i="12"/>
  <c r="K176" i="12" s="1"/>
  <c r="G176" i="12"/>
  <c r="J176" i="12" s="1"/>
  <c r="J175" i="12"/>
  <c r="I175" i="12"/>
  <c r="H175" i="12"/>
  <c r="K175" i="12" s="1"/>
  <c r="G175" i="12"/>
  <c r="I174" i="12"/>
  <c r="G174" i="12"/>
  <c r="H174" i="12" s="1"/>
  <c r="K174" i="12" s="1"/>
  <c r="I173" i="12"/>
  <c r="H173" i="12"/>
  <c r="K173" i="12" s="1"/>
  <c r="G173" i="12"/>
  <c r="J173" i="12" s="1"/>
  <c r="I172" i="12"/>
  <c r="H172" i="12"/>
  <c r="K172" i="12" s="1"/>
  <c r="G172" i="12"/>
  <c r="J172" i="12" s="1"/>
  <c r="J171" i="12"/>
  <c r="I171" i="12"/>
  <c r="H171" i="12"/>
  <c r="K171" i="12" s="1"/>
  <c r="G171" i="12"/>
  <c r="J170" i="12"/>
  <c r="I170" i="12"/>
  <c r="G170" i="12"/>
  <c r="H170" i="12" s="1"/>
  <c r="K170" i="12" s="1"/>
  <c r="J169" i="12"/>
  <c r="I169" i="12"/>
  <c r="H169" i="12"/>
  <c r="K169" i="12" s="1"/>
  <c r="G169" i="12"/>
  <c r="K168" i="12"/>
  <c r="I168" i="12"/>
  <c r="H168" i="12"/>
  <c r="G168" i="12"/>
  <c r="J168" i="12" s="1"/>
  <c r="J167" i="12"/>
  <c r="I167" i="12"/>
  <c r="H167" i="12"/>
  <c r="K167" i="12" s="1"/>
  <c r="G167" i="12"/>
  <c r="K166" i="12"/>
  <c r="J166" i="12"/>
  <c r="I166" i="12"/>
  <c r="G166" i="12"/>
  <c r="H166" i="12" s="1"/>
  <c r="I165" i="12"/>
  <c r="G165" i="12"/>
  <c r="I164" i="12"/>
  <c r="G164" i="12"/>
  <c r="J163" i="12"/>
  <c r="I163" i="12"/>
  <c r="H163" i="12"/>
  <c r="K163" i="12" s="1"/>
  <c r="G163" i="12"/>
  <c r="I162" i="12"/>
  <c r="G162" i="12"/>
  <c r="I161" i="12"/>
  <c r="H161" i="12"/>
  <c r="K161" i="12" s="1"/>
  <c r="G161" i="12"/>
  <c r="J161" i="12" s="1"/>
  <c r="I160" i="12"/>
  <c r="H160" i="12"/>
  <c r="K160" i="12" s="1"/>
  <c r="G160" i="12"/>
  <c r="J160" i="12" s="1"/>
  <c r="J159" i="12"/>
  <c r="I159" i="12"/>
  <c r="H159" i="12"/>
  <c r="K159" i="12" s="1"/>
  <c r="G159" i="12"/>
  <c r="I158" i="12"/>
  <c r="I156" i="12" s="1"/>
  <c r="G158" i="12"/>
  <c r="H158" i="12" s="1"/>
  <c r="K158" i="12" s="1"/>
  <c r="I157" i="12"/>
  <c r="H157" i="12"/>
  <c r="K157" i="12" s="1"/>
  <c r="G157" i="12"/>
  <c r="J157" i="12" s="1"/>
  <c r="J154" i="12"/>
  <c r="I154" i="12"/>
  <c r="G154" i="12"/>
  <c r="H154" i="12" s="1"/>
  <c r="K154" i="12" s="1"/>
  <c r="J153" i="12"/>
  <c r="I153" i="12"/>
  <c r="H153" i="12"/>
  <c r="K153" i="12" s="1"/>
  <c r="G153" i="12"/>
  <c r="K152" i="12"/>
  <c r="I152" i="12"/>
  <c r="H152" i="12"/>
  <c r="G152" i="12"/>
  <c r="J152" i="12" s="1"/>
  <c r="J151" i="12"/>
  <c r="I151" i="12"/>
  <c r="I143" i="12" s="1"/>
  <c r="H151" i="12"/>
  <c r="K151" i="12" s="1"/>
  <c r="G151" i="12"/>
  <c r="K150" i="12"/>
  <c r="J150" i="12"/>
  <c r="I150" i="12"/>
  <c r="G150" i="12"/>
  <c r="H150" i="12" s="1"/>
  <c r="I149" i="12"/>
  <c r="G149" i="12"/>
  <c r="I148" i="12"/>
  <c r="G148" i="12"/>
  <c r="J147" i="12"/>
  <c r="I147" i="12"/>
  <c r="H147" i="12"/>
  <c r="K147" i="12" s="1"/>
  <c r="G147" i="12"/>
  <c r="I146" i="12"/>
  <c r="G146" i="12"/>
  <c r="I145" i="12"/>
  <c r="H145" i="12"/>
  <c r="K145" i="12" s="1"/>
  <c r="G145" i="12"/>
  <c r="J145" i="12" s="1"/>
  <c r="I144" i="12"/>
  <c r="H144" i="12"/>
  <c r="K144" i="12" s="1"/>
  <c r="G144" i="12"/>
  <c r="J144" i="12" s="1"/>
  <c r="I142" i="12"/>
  <c r="G142" i="12"/>
  <c r="J142" i="12" s="1"/>
  <c r="J141" i="12"/>
  <c r="I141" i="12"/>
  <c r="H141" i="12"/>
  <c r="K141" i="12" s="1"/>
  <c r="G141" i="12"/>
  <c r="K140" i="12"/>
  <c r="J140" i="12"/>
  <c r="I140" i="12"/>
  <c r="G140" i="12"/>
  <c r="H140" i="12" s="1"/>
  <c r="I139" i="12"/>
  <c r="G139" i="12"/>
  <c r="I138" i="12"/>
  <c r="G138" i="12"/>
  <c r="J137" i="12"/>
  <c r="I137" i="12"/>
  <c r="H137" i="12"/>
  <c r="K137" i="12" s="1"/>
  <c r="G137" i="12"/>
  <c r="I136" i="12"/>
  <c r="G136" i="12"/>
  <c r="J134" i="12"/>
  <c r="I134" i="12"/>
  <c r="G134" i="12"/>
  <c r="H134" i="12" s="1"/>
  <c r="K134" i="12" s="1"/>
  <c r="J133" i="12"/>
  <c r="I133" i="12"/>
  <c r="G133" i="12"/>
  <c r="H133" i="12" s="1"/>
  <c r="K133" i="12" s="1"/>
  <c r="I132" i="12"/>
  <c r="G132" i="12"/>
  <c r="J132" i="12" s="1"/>
  <c r="J131" i="12"/>
  <c r="I131" i="12"/>
  <c r="I130" i="12" s="1"/>
  <c r="H131" i="12"/>
  <c r="K131" i="12" s="1"/>
  <c r="G131" i="12"/>
  <c r="J129" i="12"/>
  <c r="I129" i="12"/>
  <c r="H129" i="12"/>
  <c r="K129" i="12" s="1"/>
  <c r="G129" i="12"/>
  <c r="J128" i="12"/>
  <c r="I128" i="12"/>
  <c r="G128" i="12"/>
  <c r="H128" i="12" s="1"/>
  <c r="K128" i="12" s="1"/>
  <c r="J127" i="12"/>
  <c r="I127" i="12"/>
  <c r="H127" i="12"/>
  <c r="K127" i="12" s="1"/>
  <c r="G127" i="12"/>
  <c r="I126" i="12"/>
  <c r="G126" i="12"/>
  <c r="I125" i="12"/>
  <c r="H125" i="12"/>
  <c r="K125" i="12" s="1"/>
  <c r="G125" i="12"/>
  <c r="J125" i="12" s="1"/>
  <c r="I124" i="12"/>
  <c r="H124" i="12"/>
  <c r="K124" i="12" s="1"/>
  <c r="G124" i="12"/>
  <c r="J124" i="12" s="1"/>
  <c r="J123" i="12"/>
  <c r="I123" i="12"/>
  <c r="H123" i="12"/>
  <c r="K123" i="12" s="1"/>
  <c r="G123" i="12"/>
  <c r="I122" i="12"/>
  <c r="G122" i="12"/>
  <c r="I121" i="12"/>
  <c r="H121" i="12"/>
  <c r="K121" i="12" s="1"/>
  <c r="G121" i="12"/>
  <c r="J121" i="12" s="1"/>
  <c r="I120" i="12"/>
  <c r="H120" i="12"/>
  <c r="K120" i="12" s="1"/>
  <c r="G120" i="12"/>
  <c r="J120" i="12" s="1"/>
  <c r="J119" i="12"/>
  <c r="I119" i="12"/>
  <c r="H119" i="12"/>
  <c r="K119" i="12" s="1"/>
  <c r="G119" i="12"/>
  <c r="I118" i="12"/>
  <c r="G118" i="12"/>
  <c r="I117" i="12"/>
  <c r="H117" i="12"/>
  <c r="K117" i="12" s="1"/>
  <c r="G117" i="12"/>
  <c r="J117" i="12" s="1"/>
  <c r="I116" i="12"/>
  <c r="H116" i="12"/>
  <c r="K116" i="12" s="1"/>
  <c r="G116" i="12"/>
  <c r="J116" i="12" s="1"/>
  <c r="J115" i="12"/>
  <c r="I115" i="12"/>
  <c r="H115" i="12"/>
  <c r="K115" i="12" s="1"/>
  <c r="G115" i="12"/>
  <c r="I114" i="12"/>
  <c r="G114" i="12"/>
  <c r="I113" i="12"/>
  <c r="H113" i="12"/>
  <c r="K113" i="12" s="1"/>
  <c r="G113" i="12"/>
  <c r="J113" i="12" s="1"/>
  <c r="I112" i="12"/>
  <c r="H112" i="12"/>
  <c r="K112" i="12" s="1"/>
  <c r="G112" i="12"/>
  <c r="J112" i="12" s="1"/>
  <c r="J111" i="12"/>
  <c r="I111" i="12"/>
  <c r="G111" i="12"/>
  <c r="H111" i="12" s="1"/>
  <c r="K111" i="12" s="1"/>
  <c r="I110" i="12"/>
  <c r="G110" i="12"/>
  <c r="I109" i="12"/>
  <c r="H109" i="12"/>
  <c r="K109" i="12" s="1"/>
  <c r="G109" i="12"/>
  <c r="J109" i="12" s="1"/>
  <c r="I108" i="12"/>
  <c r="I107" i="12"/>
  <c r="H107" i="12"/>
  <c r="K107" i="12" s="1"/>
  <c r="K106" i="12" s="1"/>
  <c r="G107" i="12"/>
  <c r="J107" i="12" s="1"/>
  <c r="J106" i="12" s="1"/>
  <c r="I106" i="12"/>
  <c r="I104" i="12"/>
  <c r="G104" i="12"/>
  <c r="I103" i="12"/>
  <c r="H103" i="12"/>
  <c r="K103" i="12" s="1"/>
  <c r="G103" i="12"/>
  <c r="J103" i="12" s="1"/>
  <c r="I102" i="12"/>
  <c r="I101" i="12" s="1"/>
  <c r="H102" i="12"/>
  <c r="K102" i="12" s="1"/>
  <c r="G102" i="12"/>
  <c r="J102" i="12" s="1"/>
  <c r="H101" i="12"/>
  <c r="G101" i="12"/>
  <c r="I100" i="12"/>
  <c r="G100" i="12"/>
  <c r="I99" i="12"/>
  <c r="H99" i="12"/>
  <c r="K99" i="12" s="1"/>
  <c r="G99" i="12"/>
  <c r="J99" i="12" s="1"/>
  <c r="I98" i="12"/>
  <c r="H98" i="12"/>
  <c r="K98" i="12" s="1"/>
  <c r="G98" i="12"/>
  <c r="J98" i="12" s="1"/>
  <c r="J97" i="12"/>
  <c r="I97" i="12"/>
  <c r="I96" i="12" s="1"/>
  <c r="H97" i="12"/>
  <c r="K97" i="12" s="1"/>
  <c r="G97" i="12"/>
  <c r="J95" i="12"/>
  <c r="I95" i="12"/>
  <c r="H95" i="12"/>
  <c r="K95" i="12" s="1"/>
  <c r="G95" i="12"/>
  <c r="I94" i="12"/>
  <c r="G94" i="12"/>
  <c r="I93" i="12"/>
  <c r="G93" i="12"/>
  <c r="J93" i="12" s="1"/>
  <c r="I92" i="12"/>
  <c r="H92" i="12"/>
  <c r="K92" i="12" s="1"/>
  <c r="G92" i="12"/>
  <c r="J92" i="12" s="1"/>
  <c r="J91" i="12"/>
  <c r="I91" i="12"/>
  <c r="H91" i="12"/>
  <c r="K91" i="12" s="1"/>
  <c r="G91" i="12"/>
  <c r="K90" i="12"/>
  <c r="J90" i="12"/>
  <c r="I90" i="12"/>
  <c r="G90" i="12"/>
  <c r="H90" i="12" s="1"/>
  <c r="K89" i="12"/>
  <c r="I89" i="12"/>
  <c r="H89" i="12"/>
  <c r="G89" i="12"/>
  <c r="J89" i="12" s="1"/>
  <c r="I88" i="12"/>
  <c r="H88" i="12"/>
  <c r="K88" i="12" s="1"/>
  <c r="G88" i="12"/>
  <c r="J88" i="12" s="1"/>
  <c r="I87" i="12"/>
  <c r="I86" i="12" s="1"/>
  <c r="I85" i="12"/>
  <c r="I84" i="12" s="1"/>
  <c r="H85" i="12"/>
  <c r="G85" i="12"/>
  <c r="K84" i="12"/>
  <c r="J84" i="12"/>
  <c r="J83" i="12"/>
  <c r="I83" i="12"/>
  <c r="H83" i="12"/>
  <c r="K83" i="12" s="1"/>
  <c r="G83" i="12"/>
  <c r="J82" i="12"/>
  <c r="I82" i="12"/>
  <c r="G82" i="12"/>
  <c r="H82" i="12" s="1"/>
  <c r="K82" i="12" s="1"/>
  <c r="I81" i="12"/>
  <c r="G81" i="12"/>
  <c r="J81" i="12" s="1"/>
  <c r="I80" i="12"/>
  <c r="H80" i="12"/>
  <c r="K80" i="12" s="1"/>
  <c r="G80" i="12"/>
  <c r="J80" i="12" s="1"/>
  <c r="J79" i="12"/>
  <c r="I79" i="12"/>
  <c r="H79" i="12"/>
  <c r="K79" i="12" s="1"/>
  <c r="G79" i="12"/>
  <c r="K78" i="12"/>
  <c r="I78" i="12"/>
  <c r="I77" i="12" s="1"/>
  <c r="G78" i="12"/>
  <c r="H78" i="12" s="1"/>
  <c r="J76" i="12"/>
  <c r="I76" i="12"/>
  <c r="G76" i="12"/>
  <c r="H76" i="12" s="1"/>
  <c r="K76" i="12" s="1"/>
  <c r="I75" i="12"/>
  <c r="G75" i="12"/>
  <c r="J75" i="12" s="1"/>
  <c r="I74" i="12"/>
  <c r="H74" i="12"/>
  <c r="K74" i="12" s="1"/>
  <c r="G74" i="12"/>
  <c r="J74" i="12" s="1"/>
  <c r="J73" i="12"/>
  <c r="I73" i="12"/>
  <c r="H73" i="12"/>
  <c r="K73" i="12" s="1"/>
  <c r="G73" i="12"/>
  <c r="K72" i="12"/>
  <c r="I72" i="12"/>
  <c r="G72" i="12"/>
  <c r="H72" i="12" s="1"/>
  <c r="I71" i="12"/>
  <c r="H71" i="12"/>
  <c r="K71" i="12" s="1"/>
  <c r="G71" i="12"/>
  <c r="J71" i="12" s="1"/>
  <c r="I70" i="12"/>
  <c r="H70" i="12"/>
  <c r="K70" i="12" s="1"/>
  <c r="G70" i="12"/>
  <c r="J70" i="12" s="1"/>
  <c r="J69" i="12"/>
  <c r="I69" i="12"/>
  <c r="I68" i="12" s="1"/>
  <c r="H69" i="12"/>
  <c r="K69" i="12" s="1"/>
  <c r="G69" i="12"/>
  <c r="J67" i="12"/>
  <c r="I67" i="12"/>
  <c r="H67" i="12"/>
  <c r="K67" i="12" s="1"/>
  <c r="G67" i="12"/>
  <c r="J66" i="12"/>
  <c r="I66" i="12"/>
  <c r="G66" i="12"/>
  <c r="H66" i="12" s="1"/>
  <c r="K66" i="12" s="1"/>
  <c r="I65" i="12"/>
  <c r="G65" i="12"/>
  <c r="J65" i="12" s="1"/>
  <c r="I64" i="12"/>
  <c r="H64" i="12"/>
  <c r="K64" i="12" s="1"/>
  <c r="G64" i="12"/>
  <c r="J64" i="12" s="1"/>
  <c r="J63" i="12"/>
  <c r="I63" i="12"/>
  <c r="H63" i="12"/>
  <c r="K63" i="12" s="1"/>
  <c r="G63" i="12"/>
  <c r="I62" i="12"/>
  <c r="G62" i="12"/>
  <c r="H62" i="12" s="1"/>
  <c r="K62" i="12" s="1"/>
  <c r="J61" i="12"/>
  <c r="I61" i="12"/>
  <c r="H61" i="12"/>
  <c r="K61" i="12" s="1"/>
  <c r="G61" i="12"/>
  <c r="I60" i="12"/>
  <c r="G60" i="12"/>
  <c r="J60" i="12" s="1"/>
  <c r="J59" i="12"/>
  <c r="I59" i="12"/>
  <c r="H59" i="12"/>
  <c r="K59" i="12" s="1"/>
  <c r="G59" i="12"/>
  <c r="I58" i="12"/>
  <c r="I57" i="12" s="1"/>
  <c r="I56" i="12" s="1"/>
  <c r="G58" i="12"/>
  <c r="H58" i="12" s="1"/>
  <c r="K58" i="12" s="1"/>
  <c r="J55" i="12"/>
  <c r="I55" i="12"/>
  <c r="H55" i="12"/>
  <c r="K55" i="12" s="1"/>
  <c r="G55" i="12"/>
  <c r="I54" i="12"/>
  <c r="I52" i="12" s="1"/>
  <c r="G54" i="12"/>
  <c r="H54" i="12" s="1"/>
  <c r="K54" i="12" s="1"/>
  <c r="J53" i="12"/>
  <c r="I53" i="12"/>
  <c r="H53" i="12"/>
  <c r="K53" i="12" s="1"/>
  <c r="K52" i="12" s="1"/>
  <c r="G53" i="12"/>
  <c r="J51" i="12"/>
  <c r="J50" i="12" s="1"/>
  <c r="I51" i="12"/>
  <c r="H51" i="12"/>
  <c r="K51" i="12" s="1"/>
  <c r="K50" i="12" s="1"/>
  <c r="G51" i="12"/>
  <c r="I50" i="12"/>
  <c r="J49" i="12"/>
  <c r="J48" i="12" s="1"/>
  <c r="I49" i="12"/>
  <c r="H49" i="12"/>
  <c r="K49" i="12" s="1"/>
  <c r="G49" i="12"/>
  <c r="I48" i="12"/>
  <c r="J47" i="12"/>
  <c r="I47" i="12"/>
  <c r="H47" i="12"/>
  <c r="K47" i="12" s="1"/>
  <c r="G47" i="12"/>
  <c r="I46" i="12"/>
  <c r="G46" i="12"/>
  <c r="J46" i="12" s="1"/>
  <c r="J45" i="12"/>
  <c r="I45" i="12"/>
  <c r="H45" i="12"/>
  <c r="K45" i="12" s="1"/>
  <c r="G45" i="12"/>
  <c r="I44" i="12"/>
  <c r="G44" i="12"/>
  <c r="H44" i="12" s="1"/>
  <c r="K44" i="12" s="1"/>
  <c r="J43" i="12"/>
  <c r="I43" i="12"/>
  <c r="H43" i="12"/>
  <c r="K43" i="12" s="1"/>
  <c r="G43" i="12"/>
  <c r="I42" i="12"/>
  <c r="G42" i="12"/>
  <c r="J42" i="12" s="1"/>
  <c r="J41" i="12"/>
  <c r="I41" i="12"/>
  <c r="H41" i="12"/>
  <c r="K41" i="12" s="1"/>
  <c r="G41" i="12"/>
  <c r="I40" i="12"/>
  <c r="I39" i="12" s="1"/>
  <c r="G40" i="12"/>
  <c r="H40" i="12" s="1"/>
  <c r="K40" i="12" s="1"/>
  <c r="I38" i="12"/>
  <c r="G38" i="12"/>
  <c r="H38" i="12" s="1"/>
  <c r="K38" i="12" s="1"/>
  <c r="J37" i="12"/>
  <c r="I37" i="12"/>
  <c r="H37" i="12"/>
  <c r="K37" i="12" s="1"/>
  <c r="G37" i="12"/>
  <c r="I36" i="12"/>
  <c r="G36" i="12"/>
  <c r="J36" i="12" s="1"/>
  <c r="J35" i="12"/>
  <c r="I35" i="12"/>
  <c r="H35" i="12"/>
  <c r="K35" i="12" s="1"/>
  <c r="G35" i="12"/>
  <c r="I34" i="12"/>
  <c r="I33" i="12" s="1"/>
  <c r="I32" i="12" s="1"/>
  <c r="G34" i="12"/>
  <c r="H34" i="12" s="1"/>
  <c r="K34" i="12" s="1"/>
  <c r="C33" i="12"/>
  <c r="I31" i="12"/>
  <c r="G31" i="12"/>
  <c r="H31" i="12" s="1"/>
  <c r="K31" i="12" s="1"/>
  <c r="J30" i="12"/>
  <c r="I30" i="12"/>
  <c r="H30" i="12"/>
  <c r="K30" i="12" s="1"/>
  <c r="G30" i="12"/>
  <c r="I29" i="12"/>
  <c r="G29" i="12"/>
  <c r="J29" i="12" s="1"/>
  <c r="J28" i="12"/>
  <c r="I28" i="12"/>
  <c r="H28" i="12"/>
  <c r="K28" i="12" s="1"/>
  <c r="G28" i="12"/>
  <c r="I27" i="12"/>
  <c r="I25" i="12" s="1"/>
  <c r="G27" i="12"/>
  <c r="H27" i="12" s="1"/>
  <c r="K27" i="12" s="1"/>
  <c r="J26" i="12"/>
  <c r="I26" i="12"/>
  <c r="H26" i="12"/>
  <c r="K26" i="12" s="1"/>
  <c r="G26" i="12"/>
  <c r="C25" i="12"/>
  <c r="I24" i="12"/>
  <c r="G24" i="12"/>
  <c r="J24" i="12" s="1"/>
  <c r="J23" i="12"/>
  <c r="I23" i="12"/>
  <c r="H23" i="12"/>
  <c r="K23" i="12" s="1"/>
  <c r="G23" i="12"/>
  <c r="I22" i="12"/>
  <c r="I20" i="12" s="1"/>
  <c r="G22" i="12"/>
  <c r="H22" i="12" s="1"/>
  <c r="K22" i="12" s="1"/>
  <c r="J21" i="12"/>
  <c r="I21" i="12"/>
  <c r="H21" i="12"/>
  <c r="K21" i="12" s="1"/>
  <c r="G21" i="12"/>
  <c r="C20" i="12"/>
  <c r="I19" i="12"/>
  <c r="G19" i="12"/>
  <c r="J19" i="12" s="1"/>
  <c r="J18" i="12"/>
  <c r="I18" i="12"/>
  <c r="H18" i="12"/>
  <c r="K18" i="12" s="1"/>
  <c r="G18" i="12"/>
  <c r="I17" i="12"/>
  <c r="G17" i="12"/>
  <c r="H17" i="12" s="1"/>
  <c r="K17" i="12" s="1"/>
  <c r="J16" i="12"/>
  <c r="I16" i="12"/>
  <c r="H16" i="12"/>
  <c r="K16" i="12" s="1"/>
  <c r="G16" i="12"/>
  <c r="I15" i="12"/>
  <c r="G15" i="12"/>
  <c r="J15" i="12" s="1"/>
  <c r="J14" i="12"/>
  <c r="I14" i="12"/>
  <c r="H14" i="12"/>
  <c r="K14" i="12" s="1"/>
  <c r="G14" i="12"/>
  <c r="I13" i="12"/>
  <c r="I11" i="12" s="1"/>
  <c r="G13" i="12"/>
  <c r="H13" i="12" s="1"/>
  <c r="K13" i="12" s="1"/>
  <c r="J12" i="12"/>
  <c r="I12" i="12"/>
  <c r="H12" i="12"/>
  <c r="K12" i="12" s="1"/>
  <c r="G12" i="12"/>
  <c r="C11" i="12"/>
  <c r="C234" i="11"/>
  <c r="B234" i="11"/>
  <c r="A234" i="11"/>
  <c r="C233" i="11"/>
  <c r="B233" i="11"/>
  <c r="A233" i="11"/>
  <c r="C232" i="11"/>
  <c r="B232" i="11"/>
  <c r="A232" i="11"/>
  <c r="B231" i="11"/>
  <c r="A231" i="11"/>
  <c r="C230" i="11"/>
  <c r="B230" i="11"/>
  <c r="A230" i="11"/>
  <c r="C229" i="11"/>
  <c r="B229" i="11"/>
  <c r="A229" i="11"/>
  <c r="B228" i="11"/>
  <c r="A228" i="11"/>
  <c r="C227" i="11"/>
  <c r="B227" i="11"/>
  <c r="A227" i="11"/>
  <c r="C226" i="11"/>
  <c r="B226" i="11"/>
  <c r="A226" i="11"/>
  <c r="L225" i="11"/>
  <c r="C225" i="11"/>
  <c r="B225" i="11"/>
  <c r="A225" i="11"/>
  <c r="C224" i="11"/>
  <c r="B224" i="11"/>
  <c r="A224" i="11"/>
  <c r="B223" i="11"/>
  <c r="A223" i="11"/>
  <c r="B222" i="11"/>
  <c r="A222" i="11"/>
  <c r="L133" i="11"/>
  <c r="L108" i="11"/>
  <c r="M66" i="11"/>
  <c r="M67" i="11" s="1"/>
  <c r="L65" i="11"/>
  <c r="K64" i="11"/>
  <c r="K63" i="11" s="1"/>
  <c r="L60" i="11"/>
  <c r="L53" i="11"/>
  <c r="M51" i="11"/>
  <c r="L51" i="11"/>
  <c r="M42" i="11"/>
  <c r="L42" i="11"/>
  <c r="N40" i="11"/>
  <c r="M40" i="11"/>
  <c r="L40" i="11"/>
  <c r="B18" i="11"/>
  <c r="B13" i="11"/>
  <c r="I241" i="10"/>
  <c r="G241" i="10"/>
  <c r="H241" i="10" s="1"/>
  <c r="K241" i="10" s="1"/>
  <c r="J240" i="10"/>
  <c r="I240" i="10"/>
  <c r="G240" i="10"/>
  <c r="H240" i="10" s="1"/>
  <c r="K240" i="10" s="1"/>
  <c r="I239" i="10"/>
  <c r="I238" i="10" s="1"/>
  <c r="G239" i="10"/>
  <c r="I237" i="10"/>
  <c r="G237" i="10"/>
  <c r="J236" i="10"/>
  <c r="I236" i="10"/>
  <c r="H236" i="10"/>
  <c r="K236" i="10" s="1"/>
  <c r="G236" i="10"/>
  <c r="I235" i="10"/>
  <c r="J234" i="10"/>
  <c r="I234" i="10"/>
  <c r="G234" i="10"/>
  <c r="H234" i="10" s="1"/>
  <c r="K234" i="10" s="1"/>
  <c r="I233" i="10"/>
  <c r="G233" i="10"/>
  <c r="H233" i="10" s="1"/>
  <c r="K233" i="10" s="1"/>
  <c r="I232" i="10"/>
  <c r="H232" i="10"/>
  <c r="K232" i="10" s="1"/>
  <c r="G232" i="10"/>
  <c r="J232" i="10" s="1"/>
  <c r="I231" i="10"/>
  <c r="I230" i="10" s="1"/>
  <c r="G231" i="10"/>
  <c r="I228" i="10"/>
  <c r="G228" i="10"/>
  <c r="H228" i="10" s="1"/>
  <c r="K228" i="10" s="1"/>
  <c r="I227" i="10"/>
  <c r="G227" i="10"/>
  <c r="I226" i="10"/>
  <c r="H226" i="10"/>
  <c r="K226" i="10" s="1"/>
  <c r="G226" i="10"/>
  <c r="J226" i="10" s="1"/>
  <c r="I225" i="10"/>
  <c r="I223" i="10" s="1"/>
  <c r="G225" i="10"/>
  <c r="H225" i="10" s="1"/>
  <c r="K225" i="10" s="1"/>
  <c r="J224" i="10"/>
  <c r="I224" i="10"/>
  <c r="G224" i="10"/>
  <c r="H224" i="10" s="1"/>
  <c r="K224" i="10" s="1"/>
  <c r="I222" i="10"/>
  <c r="G222" i="10"/>
  <c r="H222" i="10" s="1"/>
  <c r="K222" i="10" s="1"/>
  <c r="I221" i="10"/>
  <c r="G221" i="10"/>
  <c r="I220" i="10"/>
  <c r="H220" i="10"/>
  <c r="K220" i="10" s="1"/>
  <c r="G220" i="10"/>
  <c r="J220" i="10" s="1"/>
  <c r="I219" i="10"/>
  <c r="G219" i="10"/>
  <c r="H219" i="10" s="1"/>
  <c r="K219" i="10" s="1"/>
  <c r="J218" i="10"/>
  <c r="I218" i="10"/>
  <c r="G218" i="10"/>
  <c r="H218" i="10" s="1"/>
  <c r="K218" i="10" s="1"/>
  <c r="I217" i="10"/>
  <c r="I216" i="10" s="1"/>
  <c r="G217" i="10"/>
  <c r="I215" i="10"/>
  <c r="G215" i="10"/>
  <c r="J214" i="10"/>
  <c r="I214" i="10"/>
  <c r="G214" i="10"/>
  <c r="H214" i="10" s="1"/>
  <c r="K214" i="10" s="1"/>
  <c r="I213" i="10"/>
  <c r="I212" i="10" s="1"/>
  <c r="G213" i="10"/>
  <c r="H213" i="10" s="1"/>
  <c r="K213" i="10" s="1"/>
  <c r="I211" i="10"/>
  <c r="G211" i="10"/>
  <c r="H211" i="10" s="1"/>
  <c r="K211" i="10" s="1"/>
  <c r="I210" i="10"/>
  <c r="G210" i="10"/>
  <c r="H210" i="10" s="1"/>
  <c r="K210" i="10" s="1"/>
  <c r="I209" i="10"/>
  <c r="G209" i="10"/>
  <c r="I208" i="10"/>
  <c r="H208" i="10"/>
  <c r="K208" i="10" s="1"/>
  <c r="G208" i="10"/>
  <c r="J208" i="10" s="1"/>
  <c r="I207" i="10"/>
  <c r="G207" i="10"/>
  <c r="H207" i="10" s="1"/>
  <c r="K207" i="10" s="1"/>
  <c r="I205" i="10"/>
  <c r="I201" i="10" s="1"/>
  <c r="G205" i="10"/>
  <c r="H205" i="10" s="1"/>
  <c r="K205" i="10" s="1"/>
  <c r="I204" i="10"/>
  <c r="H204" i="10"/>
  <c r="K204" i="10" s="1"/>
  <c r="G204" i="10"/>
  <c r="J204" i="10" s="1"/>
  <c r="I203" i="10"/>
  <c r="G203" i="10"/>
  <c r="J202" i="10"/>
  <c r="I202" i="10"/>
  <c r="G202" i="10"/>
  <c r="H202" i="10" s="1"/>
  <c r="K202" i="10" s="1"/>
  <c r="I200" i="10"/>
  <c r="G200" i="10"/>
  <c r="H200" i="10" s="1"/>
  <c r="K200" i="10" s="1"/>
  <c r="I199" i="10"/>
  <c r="G199" i="10"/>
  <c r="H199" i="10" s="1"/>
  <c r="K199" i="10" s="1"/>
  <c r="I198" i="10"/>
  <c r="H198" i="10"/>
  <c r="K198" i="10" s="1"/>
  <c r="G198" i="10"/>
  <c r="J198" i="10" s="1"/>
  <c r="I197" i="10"/>
  <c r="G197" i="10"/>
  <c r="J196" i="10"/>
  <c r="I196" i="10"/>
  <c r="G196" i="10"/>
  <c r="H196" i="10" s="1"/>
  <c r="K196" i="10" s="1"/>
  <c r="I195" i="10"/>
  <c r="G195" i="10"/>
  <c r="H195" i="10" s="1"/>
  <c r="K195" i="10" s="1"/>
  <c r="I194" i="10"/>
  <c r="H194" i="10"/>
  <c r="K194" i="10" s="1"/>
  <c r="G194" i="10"/>
  <c r="J194" i="10" s="1"/>
  <c r="I193" i="10"/>
  <c r="I192" i="10" s="1"/>
  <c r="G193" i="10"/>
  <c r="I191" i="10"/>
  <c r="G191" i="10"/>
  <c r="I190" i="10"/>
  <c r="H190" i="10"/>
  <c r="K190" i="10" s="1"/>
  <c r="G190" i="10"/>
  <c r="J190" i="10" s="1"/>
  <c r="I189" i="10"/>
  <c r="G189" i="10"/>
  <c r="H189" i="10" s="1"/>
  <c r="K189" i="10" s="1"/>
  <c r="I188" i="10"/>
  <c r="G188" i="10"/>
  <c r="H188" i="10" s="1"/>
  <c r="K188" i="10" s="1"/>
  <c r="I187" i="10"/>
  <c r="G187" i="10"/>
  <c r="I186" i="10"/>
  <c r="H186" i="10"/>
  <c r="K186" i="10" s="1"/>
  <c r="G186" i="10"/>
  <c r="J186" i="10" s="1"/>
  <c r="I185" i="10"/>
  <c r="G185" i="10"/>
  <c r="H185" i="10" s="1"/>
  <c r="K185" i="10" s="1"/>
  <c r="J184" i="10"/>
  <c r="I184" i="10"/>
  <c r="G184" i="10"/>
  <c r="H184" i="10" s="1"/>
  <c r="K184" i="10" s="1"/>
  <c r="I183" i="10"/>
  <c r="G183" i="10"/>
  <c r="I182" i="10"/>
  <c r="H182" i="10"/>
  <c r="K182" i="10" s="1"/>
  <c r="G182" i="10"/>
  <c r="J182" i="10" s="1"/>
  <c r="I181" i="10"/>
  <c r="I177" i="10" s="1"/>
  <c r="G181" i="10"/>
  <c r="H181" i="10" s="1"/>
  <c r="K181" i="10" s="1"/>
  <c r="I180" i="10"/>
  <c r="G180" i="10"/>
  <c r="H180" i="10" s="1"/>
  <c r="K180" i="10" s="1"/>
  <c r="I179" i="10"/>
  <c r="G179" i="10"/>
  <c r="I178" i="10"/>
  <c r="H178" i="10"/>
  <c r="K178" i="10" s="1"/>
  <c r="G178" i="10"/>
  <c r="J178" i="10" s="1"/>
  <c r="I176" i="10"/>
  <c r="H176" i="10"/>
  <c r="K176" i="10" s="1"/>
  <c r="G176" i="10"/>
  <c r="J176" i="10" s="1"/>
  <c r="I175" i="10"/>
  <c r="G175" i="10"/>
  <c r="H175" i="10" s="1"/>
  <c r="K175" i="10" s="1"/>
  <c r="I174" i="10"/>
  <c r="G174" i="10"/>
  <c r="H174" i="10" s="1"/>
  <c r="K174" i="10" s="1"/>
  <c r="I173" i="10"/>
  <c r="G173" i="10"/>
  <c r="I172" i="10"/>
  <c r="H172" i="10"/>
  <c r="K172" i="10" s="1"/>
  <c r="G172" i="10"/>
  <c r="J172" i="10" s="1"/>
  <c r="I171" i="10"/>
  <c r="G171" i="10"/>
  <c r="H171" i="10" s="1"/>
  <c r="K171" i="10" s="1"/>
  <c r="J170" i="10"/>
  <c r="I170" i="10"/>
  <c r="G170" i="10"/>
  <c r="H170" i="10" s="1"/>
  <c r="K170" i="10" s="1"/>
  <c r="I169" i="10"/>
  <c r="G169" i="10"/>
  <c r="I168" i="10"/>
  <c r="H168" i="10"/>
  <c r="K168" i="10" s="1"/>
  <c r="G168" i="10"/>
  <c r="J168" i="10" s="1"/>
  <c r="I167" i="10"/>
  <c r="G167" i="10"/>
  <c r="H167" i="10" s="1"/>
  <c r="K167" i="10" s="1"/>
  <c r="I166" i="10"/>
  <c r="G166" i="10"/>
  <c r="H166" i="10" s="1"/>
  <c r="K166" i="10" s="1"/>
  <c r="I165" i="10"/>
  <c r="G165" i="10"/>
  <c r="I164" i="10"/>
  <c r="H164" i="10"/>
  <c r="K164" i="10" s="1"/>
  <c r="G164" i="10"/>
  <c r="J164" i="10" s="1"/>
  <c r="I163" i="10"/>
  <c r="G163" i="10"/>
  <c r="J162" i="10"/>
  <c r="I162" i="10"/>
  <c r="G162" i="10"/>
  <c r="H162" i="10" s="1"/>
  <c r="K162" i="10" s="1"/>
  <c r="I161" i="10"/>
  <c r="G161" i="10"/>
  <c r="I160" i="10"/>
  <c r="H160" i="10"/>
  <c r="K160" i="10" s="1"/>
  <c r="G160" i="10"/>
  <c r="J160" i="10" s="1"/>
  <c r="I159" i="10"/>
  <c r="G159" i="10"/>
  <c r="I158" i="10"/>
  <c r="G158" i="10"/>
  <c r="H158" i="10" s="1"/>
  <c r="K158" i="10" s="1"/>
  <c r="I157" i="10"/>
  <c r="G157" i="10"/>
  <c r="I154" i="10"/>
  <c r="H154" i="10"/>
  <c r="K154" i="10" s="1"/>
  <c r="G154" i="10"/>
  <c r="J154" i="10" s="1"/>
  <c r="I153" i="10"/>
  <c r="G153" i="10"/>
  <c r="J152" i="10"/>
  <c r="I152" i="10"/>
  <c r="G152" i="10"/>
  <c r="H152" i="10" s="1"/>
  <c r="K152" i="10" s="1"/>
  <c r="I151" i="10"/>
  <c r="G151" i="10"/>
  <c r="I150" i="10"/>
  <c r="H150" i="10"/>
  <c r="K150" i="10" s="1"/>
  <c r="G150" i="10"/>
  <c r="J150" i="10" s="1"/>
  <c r="I149" i="10"/>
  <c r="I143" i="10" s="1"/>
  <c r="G149" i="10"/>
  <c r="I148" i="10"/>
  <c r="G148" i="10"/>
  <c r="H148" i="10" s="1"/>
  <c r="K148" i="10" s="1"/>
  <c r="I147" i="10"/>
  <c r="G147" i="10"/>
  <c r="I146" i="10"/>
  <c r="H146" i="10"/>
  <c r="K146" i="10" s="1"/>
  <c r="G146" i="10"/>
  <c r="J146" i="10" s="1"/>
  <c r="I145" i="10"/>
  <c r="G145" i="10"/>
  <c r="J144" i="10"/>
  <c r="I144" i="10"/>
  <c r="G144" i="10"/>
  <c r="H144" i="10" s="1"/>
  <c r="K144" i="10" s="1"/>
  <c r="J142" i="10"/>
  <c r="I142" i="10"/>
  <c r="G142" i="10"/>
  <c r="H142" i="10" s="1"/>
  <c r="K142" i="10" s="1"/>
  <c r="I141" i="10"/>
  <c r="G141" i="10"/>
  <c r="I140" i="10"/>
  <c r="H140" i="10"/>
  <c r="K140" i="10" s="1"/>
  <c r="G140" i="10"/>
  <c r="J140" i="10" s="1"/>
  <c r="I139" i="10"/>
  <c r="G139" i="10"/>
  <c r="I138" i="10"/>
  <c r="G138" i="10"/>
  <c r="H138" i="10" s="1"/>
  <c r="K138" i="10" s="1"/>
  <c r="I137" i="10"/>
  <c r="G137" i="10"/>
  <c r="I136" i="10"/>
  <c r="H136" i="10"/>
  <c r="K136" i="10" s="1"/>
  <c r="G136" i="10"/>
  <c r="J136" i="10" s="1"/>
  <c r="I135" i="10"/>
  <c r="J134" i="10"/>
  <c r="I134" i="10"/>
  <c r="H134" i="10"/>
  <c r="K134" i="10" s="1"/>
  <c r="G134" i="10"/>
  <c r="I133" i="10"/>
  <c r="G133" i="10"/>
  <c r="I132" i="10"/>
  <c r="G132" i="10"/>
  <c r="J132" i="10" s="1"/>
  <c r="I131" i="10"/>
  <c r="G131" i="10"/>
  <c r="I130" i="10"/>
  <c r="I129" i="10"/>
  <c r="H129" i="10"/>
  <c r="K129" i="10" s="1"/>
  <c r="G129" i="10"/>
  <c r="J129" i="10" s="1"/>
  <c r="I128" i="10"/>
  <c r="H128" i="10"/>
  <c r="K128" i="10" s="1"/>
  <c r="G128" i="10"/>
  <c r="J128" i="10" s="1"/>
  <c r="I127" i="10"/>
  <c r="G127" i="10"/>
  <c r="I126" i="10"/>
  <c r="G126" i="10"/>
  <c r="I125" i="10"/>
  <c r="H125" i="10"/>
  <c r="K125" i="10" s="1"/>
  <c r="G125" i="10"/>
  <c r="J125" i="10" s="1"/>
  <c r="I124" i="10"/>
  <c r="H124" i="10"/>
  <c r="K124" i="10" s="1"/>
  <c r="G124" i="10"/>
  <c r="J124" i="10" s="1"/>
  <c r="I123" i="10"/>
  <c r="G123" i="10"/>
  <c r="I122" i="10"/>
  <c r="G122" i="10"/>
  <c r="I121" i="10"/>
  <c r="G121" i="10"/>
  <c r="J121" i="10" s="1"/>
  <c r="I120" i="10"/>
  <c r="G120" i="10"/>
  <c r="J119" i="10"/>
  <c r="I119" i="10"/>
  <c r="G119" i="10"/>
  <c r="H119" i="10" s="1"/>
  <c r="K119" i="10" s="1"/>
  <c r="I118" i="10"/>
  <c r="G118" i="10"/>
  <c r="I117" i="10"/>
  <c r="G117" i="10"/>
  <c r="I116" i="10"/>
  <c r="H116" i="10"/>
  <c r="K116" i="10" s="1"/>
  <c r="G116" i="10"/>
  <c r="J116" i="10" s="1"/>
  <c r="J115" i="10"/>
  <c r="I115" i="10"/>
  <c r="G115" i="10"/>
  <c r="H115" i="10" s="1"/>
  <c r="K115" i="10" s="1"/>
  <c r="I114" i="10"/>
  <c r="G114" i="10"/>
  <c r="I113" i="10"/>
  <c r="H113" i="10"/>
  <c r="K113" i="10" s="1"/>
  <c r="G113" i="10"/>
  <c r="J113" i="10" s="1"/>
  <c r="I112" i="10"/>
  <c r="H112" i="10"/>
  <c r="K112" i="10" s="1"/>
  <c r="G112" i="10"/>
  <c r="J112" i="10" s="1"/>
  <c r="I111" i="10"/>
  <c r="G111" i="10"/>
  <c r="I110" i="10"/>
  <c r="G110" i="10"/>
  <c r="I109" i="10"/>
  <c r="H109" i="10"/>
  <c r="K109" i="10" s="1"/>
  <c r="G109" i="10"/>
  <c r="J109" i="10" s="1"/>
  <c r="I108" i="10"/>
  <c r="I107" i="10"/>
  <c r="H107" i="10"/>
  <c r="K107" i="10" s="1"/>
  <c r="K106" i="10" s="1"/>
  <c r="G107" i="10"/>
  <c r="J107" i="10" s="1"/>
  <c r="J106" i="10" s="1"/>
  <c r="I106" i="10"/>
  <c r="I104" i="10"/>
  <c r="G104" i="10"/>
  <c r="I103" i="10"/>
  <c r="G103" i="10"/>
  <c r="I102" i="10"/>
  <c r="I101" i="10" s="1"/>
  <c r="H102" i="10"/>
  <c r="K102" i="10" s="1"/>
  <c r="G102" i="10"/>
  <c r="J102" i="10" s="1"/>
  <c r="G101" i="10"/>
  <c r="H101" i="10" s="1"/>
  <c r="I100" i="10"/>
  <c r="G100" i="10"/>
  <c r="I99" i="10"/>
  <c r="G99" i="10"/>
  <c r="J99" i="10" s="1"/>
  <c r="I98" i="10"/>
  <c r="G98" i="10"/>
  <c r="J97" i="10"/>
  <c r="I97" i="10"/>
  <c r="I96" i="10" s="1"/>
  <c r="G97" i="10"/>
  <c r="H97" i="10" s="1"/>
  <c r="K97" i="10" s="1"/>
  <c r="J95" i="10"/>
  <c r="I95" i="10"/>
  <c r="G95" i="10"/>
  <c r="H95" i="10" s="1"/>
  <c r="K95" i="10" s="1"/>
  <c r="I94" i="10"/>
  <c r="G94" i="10"/>
  <c r="I93" i="10"/>
  <c r="H93" i="10"/>
  <c r="K93" i="10" s="1"/>
  <c r="G93" i="10"/>
  <c r="J93" i="10" s="1"/>
  <c r="I92" i="10"/>
  <c r="H92" i="10"/>
  <c r="K92" i="10" s="1"/>
  <c r="G92" i="10"/>
  <c r="J92" i="10" s="1"/>
  <c r="I91" i="10"/>
  <c r="I87" i="10" s="1"/>
  <c r="I86" i="10" s="1"/>
  <c r="G91" i="10"/>
  <c r="I90" i="10"/>
  <c r="G90" i="10"/>
  <c r="I89" i="10"/>
  <c r="G89" i="10"/>
  <c r="I88" i="10"/>
  <c r="H88" i="10"/>
  <c r="K88" i="10" s="1"/>
  <c r="G88" i="10"/>
  <c r="J88" i="10" s="1"/>
  <c r="I85" i="10"/>
  <c r="I84" i="10" s="1"/>
  <c r="G85" i="10"/>
  <c r="H85" i="10" s="1"/>
  <c r="K84" i="10"/>
  <c r="J84" i="10"/>
  <c r="J83" i="10"/>
  <c r="I83" i="10"/>
  <c r="G83" i="10"/>
  <c r="H83" i="10" s="1"/>
  <c r="K83" i="10" s="1"/>
  <c r="J82" i="10"/>
  <c r="I82" i="10"/>
  <c r="G82" i="10"/>
  <c r="H82" i="10" s="1"/>
  <c r="K82" i="10" s="1"/>
  <c r="I81" i="10"/>
  <c r="G81" i="10"/>
  <c r="J81" i="10" s="1"/>
  <c r="I80" i="10"/>
  <c r="H80" i="10"/>
  <c r="K80" i="10" s="1"/>
  <c r="G80" i="10"/>
  <c r="J80" i="10" s="1"/>
  <c r="J79" i="10"/>
  <c r="I79" i="10"/>
  <c r="I77" i="10" s="1"/>
  <c r="G79" i="10"/>
  <c r="H79" i="10" s="1"/>
  <c r="K79" i="10" s="1"/>
  <c r="I78" i="10"/>
  <c r="G78" i="10"/>
  <c r="H78" i="10" s="1"/>
  <c r="K78" i="10" s="1"/>
  <c r="I76" i="10"/>
  <c r="G76" i="10"/>
  <c r="I75" i="10"/>
  <c r="H75" i="10"/>
  <c r="K75" i="10" s="1"/>
  <c r="G75" i="10"/>
  <c r="J75" i="10" s="1"/>
  <c r="I74" i="10"/>
  <c r="H74" i="10"/>
  <c r="K74" i="10" s="1"/>
  <c r="G74" i="10"/>
  <c r="J74" i="10" s="1"/>
  <c r="I73" i="10"/>
  <c r="G73" i="10"/>
  <c r="I72" i="10"/>
  <c r="G72" i="10"/>
  <c r="H72" i="10" s="1"/>
  <c r="K72" i="10" s="1"/>
  <c r="I71" i="10"/>
  <c r="G71" i="10"/>
  <c r="J71" i="10" s="1"/>
  <c r="I70" i="10"/>
  <c r="G70" i="10"/>
  <c r="J70" i="10" s="1"/>
  <c r="I69" i="10"/>
  <c r="I68" i="10" s="1"/>
  <c r="G69" i="10"/>
  <c r="J69" i="10" s="1"/>
  <c r="I67" i="10"/>
  <c r="H67" i="10"/>
  <c r="K67" i="10" s="1"/>
  <c r="G67" i="10"/>
  <c r="J67" i="10" s="1"/>
  <c r="I66" i="10"/>
  <c r="G66" i="10"/>
  <c r="H66" i="10" s="1"/>
  <c r="K66" i="10" s="1"/>
  <c r="I65" i="10"/>
  <c r="G65" i="10"/>
  <c r="J65" i="10" s="1"/>
  <c r="I64" i="10"/>
  <c r="G64" i="10"/>
  <c r="J63" i="10"/>
  <c r="I63" i="10"/>
  <c r="G63" i="10"/>
  <c r="H63" i="10" s="1"/>
  <c r="K63" i="10" s="1"/>
  <c r="K62" i="10"/>
  <c r="I62" i="10"/>
  <c r="G62" i="10"/>
  <c r="H62" i="10" s="1"/>
  <c r="I61" i="10"/>
  <c r="G61" i="10"/>
  <c r="J61" i="10" s="1"/>
  <c r="I60" i="10"/>
  <c r="G60" i="10"/>
  <c r="J59" i="10"/>
  <c r="I59" i="10"/>
  <c r="I57" i="10" s="1"/>
  <c r="I56" i="10" s="1"/>
  <c r="G59" i="10"/>
  <c r="H59" i="10" s="1"/>
  <c r="K59" i="10" s="1"/>
  <c r="K58" i="10"/>
  <c r="J58" i="10"/>
  <c r="I58" i="10"/>
  <c r="G58" i="10"/>
  <c r="H58" i="10" s="1"/>
  <c r="J55" i="10"/>
  <c r="I55" i="10"/>
  <c r="G55" i="10"/>
  <c r="H55" i="10" s="1"/>
  <c r="K55" i="10" s="1"/>
  <c r="I54" i="10"/>
  <c r="G54" i="10"/>
  <c r="H54" i="10" s="1"/>
  <c r="K54" i="10" s="1"/>
  <c r="I53" i="10"/>
  <c r="G53" i="10"/>
  <c r="J53" i="10" s="1"/>
  <c r="I52" i="10"/>
  <c r="I51" i="10"/>
  <c r="G51" i="10"/>
  <c r="J51" i="10" s="1"/>
  <c r="J50" i="10" s="1"/>
  <c r="I50" i="10"/>
  <c r="H50" i="10"/>
  <c r="G50" i="10"/>
  <c r="I49" i="10"/>
  <c r="I48" i="10" s="1"/>
  <c r="G49" i="10"/>
  <c r="J47" i="10"/>
  <c r="I47" i="10"/>
  <c r="G47" i="10"/>
  <c r="H47" i="10" s="1"/>
  <c r="K47" i="10" s="1"/>
  <c r="K46" i="10"/>
  <c r="I46" i="10"/>
  <c r="G46" i="10"/>
  <c r="H46" i="10" s="1"/>
  <c r="I45" i="10"/>
  <c r="G45" i="10"/>
  <c r="J45" i="10" s="1"/>
  <c r="I44" i="10"/>
  <c r="H44" i="10"/>
  <c r="K44" i="10" s="1"/>
  <c r="G44" i="10"/>
  <c r="J44" i="10" s="1"/>
  <c r="J43" i="10"/>
  <c r="I43" i="10"/>
  <c r="I39" i="10" s="1"/>
  <c r="G43" i="10"/>
  <c r="H43" i="10" s="1"/>
  <c r="K43" i="10" s="1"/>
  <c r="J42" i="10"/>
  <c r="I42" i="10"/>
  <c r="G42" i="10"/>
  <c r="H42" i="10" s="1"/>
  <c r="K42" i="10" s="1"/>
  <c r="I41" i="10"/>
  <c r="G41" i="10"/>
  <c r="J41" i="10" s="1"/>
  <c r="I40" i="10"/>
  <c r="G40" i="10"/>
  <c r="I38" i="10"/>
  <c r="H38" i="10"/>
  <c r="K38" i="10" s="1"/>
  <c r="G38" i="10"/>
  <c r="J38" i="10" s="1"/>
  <c r="K37" i="10"/>
  <c r="J37" i="10"/>
  <c r="I37" i="10"/>
  <c r="G37" i="10"/>
  <c r="H37" i="10" s="1"/>
  <c r="J36" i="10"/>
  <c r="I36" i="10"/>
  <c r="I33" i="10" s="1"/>
  <c r="I32" i="10" s="1"/>
  <c r="G36" i="10"/>
  <c r="H36" i="10" s="1"/>
  <c r="K36" i="10" s="1"/>
  <c r="I35" i="10"/>
  <c r="G35" i="10"/>
  <c r="I34" i="10"/>
  <c r="G34" i="10"/>
  <c r="J34" i="10" s="1"/>
  <c r="C33" i="10"/>
  <c r="I31" i="10"/>
  <c r="G31" i="10"/>
  <c r="J31" i="10" s="1"/>
  <c r="I30" i="10"/>
  <c r="H30" i="10"/>
  <c r="K30" i="10" s="1"/>
  <c r="G30" i="10"/>
  <c r="J30" i="10" s="1"/>
  <c r="I29" i="10"/>
  <c r="G29" i="10"/>
  <c r="I28" i="10"/>
  <c r="G28" i="10"/>
  <c r="I27" i="10"/>
  <c r="G27" i="10"/>
  <c r="J27" i="10" s="1"/>
  <c r="I26" i="10"/>
  <c r="H26" i="10"/>
  <c r="K26" i="10" s="1"/>
  <c r="G26" i="10"/>
  <c r="J26" i="10" s="1"/>
  <c r="I25" i="10"/>
  <c r="C25" i="10"/>
  <c r="J24" i="10"/>
  <c r="I24" i="10"/>
  <c r="G24" i="10"/>
  <c r="H24" i="10" s="1"/>
  <c r="K24" i="10" s="1"/>
  <c r="J23" i="10"/>
  <c r="I23" i="10"/>
  <c r="G23" i="10"/>
  <c r="H23" i="10" s="1"/>
  <c r="K23" i="10" s="1"/>
  <c r="I22" i="10"/>
  <c r="G22" i="10"/>
  <c r="J22" i="10" s="1"/>
  <c r="I21" i="10"/>
  <c r="G21" i="10"/>
  <c r="H21" i="10" s="1"/>
  <c r="K21" i="10" s="1"/>
  <c r="I20" i="10"/>
  <c r="C20" i="10"/>
  <c r="I19" i="10"/>
  <c r="G19" i="10"/>
  <c r="I18" i="10"/>
  <c r="G18" i="10"/>
  <c r="I17" i="10"/>
  <c r="G17" i="10"/>
  <c r="J17" i="10" s="1"/>
  <c r="I16" i="10"/>
  <c r="H16" i="10"/>
  <c r="K16" i="10" s="1"/>
  <c r="G16" i="10"/>
  <c r="J16" i="10" s="1"/>
  <c r="I15" i="10"/>
  <c r="G15" i="10"/>
  <c r="I14" i="10"/>
  <c r="G14" i="10"/>
  <c r="I13" i="10"/>
  <c r="G13" i="10"/>
  <c r="J13" i="10" s="1"/>
  <c r="I12" i="10"/>
  <c r="H12" i="10"/>
  <c r="K12" i="10" s="1"/>
  <c r="G12" i="10"/>
  <c r="J12" i="10" s="1"/>
  <c r="I11" i="10"/>
  <c r="C11" i="10"/>
  <c r="C234" i="9"/>
  <c r="B234" i="9"/>
  <c r="A234" i="9"/>
  <c r="C233" i="9"/>
  <c r="B233" i="9"/>
  <c r="A233" i="9"/>
  <c r="C232" i="9"/>
  <c r="B232" i="9"/>
  <c r="A232" i="9"/>
  <c r="B231" i="9"/>
  <c r="A231" i="9"/>
  <c r="C230" i="9"/>
  <c r="B230" i="9"/>
  <c r="A230" i="9"/>
  <c r="C229" i="9"/>
  <c r="B229" i="9"/>
  <c r="A229" i="9"/>
  <c r="B228" i="9"/>
  <c r="A228" i="9"/>
  <c r="C227" i="9"/>
  <c r="B227" i="9"/>
  <c r="A227" i="9"/>
  <c r="C226" i="9"/>
  <c r="B226" i="9"/>
  <c r="A226" i="9"/>
  <c r="L225" i="9"/>
  <c r="C225" i="9"/>
  <c r="B225" i="9"/>
  <c r="A225" i="9"/>
  <c r="C224" i="9"/>
  <c r="B224" i="9"/>
  <c r="A224" i="9"/>
  <c r="B223" i="9"/>
  <c r="A223" i="9"/>
  <c r="B222" i="9"/>
  <c r="A222" i="9"/>
  <c r="L133" i="9"/>
  <c r="L108" i="9"/>
  <c r="M66" i="9"/>
  <c r="M67" i="9" s="1"/>
  <c r="L65" i="9"/>
  <c r="L60" i="9"/>
  <c r="L53" i="9"/>
  <c r="M51" i="9"/>
  <c r="L51" i="9"/>
  <c r="N43" i="9"/>
  <c r="M43" i="9"/>
  <c r="L43" i="9"/>
  <c r="N42" i="9"/>
  <c r="M42" i="9"/>
  <c r="L42" i="9"/>
  <c r="K42" i="9"/>
  <c r="M40" i="9"/>
  <c r="N40" i="9" s="1"/>
  <c r="L40" i="9"/>
  <c r="K37" i="9"/>
  <c r="K36" i="9"/>
  <c r="K35" i="9"/>
  <c r="K34" i="9"/>
  <c r="B18" i="9"/>
  <c r="B13" i="9"/>
  <c r="J241" i="8"/>
  <c r="I241" i="8"/>
  <c r="I238" i="8" s="1"/>
  <c r="G241" i="8"/>
  <c r="H241" i="8" s="1"/>
  <c r="K241" i="8" s="1"/>
  <c r="I240" i="8"/>
  <c r="G240" i="8"/>
  <c r="I239" i="8"/>
  <c r="G239" i="8"/>
  <c r="J239" i="8" s="1"/>
  <c r="H238" i="8"/>
  <c r="G238" i="8"/>
  <c r="I237" i="8"/>
  <c r="I235" i="8" s="1"/>
  <c r="G237" i="8"/>
  <c r="I236" i="8"/>
  <c r="G236" i="8"/>
  <c r="G235" i="8"/>
  <c r="H235" i="8" s="1"/>
  <c r="I234" i="8"/>
  <c r="G234" i="8"/>
  <c r="J234" i="8" s="1"/>
  <c r="I233" i="8"/>
  <c r="I230" i="8" s="1"/>
  <c r="G233" i="8"/>
  <c r="J233" i="8" s="1"/>
  <c r="I232" i="8"/>
  <c r="G232" i="8"/>
  <c r="I231" i="8"/>
  <c r="G231" i="8"/>
  <c r="J231" i="8" s="1"/>
  <c r="I228" i="8"/>
  <c r="G228" i="8"/>
  <c r="I227" i="8"/>
  <c r="G227" i="8"/>
  <c r="I226" i="8"/>
  <c r="G226" i="8"/>
  <c r="I225" i="8"/>
  <c r="H225" i="8"/>
  <c r="K225" i="8" s="1"/>
  <c r="G225" i="8"/>
  <c r="J225" i="8" s="1"/>
  <c r="J224" i="8"/>
  <c r="I224" i="8"/>
  <c r="G224" i="8"/>
  <c r="H224" i="8" s="1"/>
  <c r="K224" i="8" s="1"/>
  <c r="I222" i="8"/>
  <c r="G222" i="8"/>
  <c r="I221" i="8"/>
  <c r="G221" i="8"/>
  <c r="I220" i="8"/>
  <c r="G220" i="8"/>
  <c r="J220" i="8" s="1"/>
  <c r="I219" i="8"/>
  <c r="I216" i="8" s="1"/>
  <c r="G219" i="8"/>
  <c r="J219" i="8" s="1"/>
  <c r="I218" i="8"/>
  <c r="G218" i="8"/>
  <c r="I217" i="8"/>
  <c r="G217" i="8"/>
  <c r="J217" i="8" s="1"/>
  <c r="I215" i="8"/>
  <c r="G215" i="8"/>
  <c r="I214" i="8"/>
  <c r="H214" i="8"/>
  <c r="K214" i="8" s="1"/>
  <c r="G214" i="8"/>
  <c r="J214" i="8" s="1"/>
  <c r="I213" i="8"/>
  <c r="I212" i="8" s="1"/>
  <c r="H213" i="8"/>
  <c r="K213" i="8" s="1"/>
  <c r="G213" i="8"/>
  <c r="J213" i="8" s="1"/>
  <c r="I211" i="8"/>
  <c r="G211" i="8"/>
  <c r="J211" i="8" s="1"/>
  <c r="I210" i="8"/>
  <c r="G210" i="8"/>
  <c r="I209" i="8"/>
  <c r="G209" i="8"/>
  <c r="J209" i="8" s="1"/>
  <c r="I208" i="8"/>
  <c r="G208" i="8"/>
  <c r="J208" i="8" s="1"/>
  <c r="I207" i="8"/>
  <c r="H207" i="8"/>
  <c r="K207" i="8" s="1"/>
  <c r="G207" i="8"/>
  <c r="J207" i="8" s="1"/>
  <c r="I205" i="8"/>
  <c r="G205" i="8"/>
  <c r="J205" i="8" s="1"/>
  <c r="I204" i="8"/>
  <c r="G204" i="8"/>
  <c r="I203" i="8"/>
  <c r="G203" i="8"/>
  <c r="I202" i="8"/>
  <c r="I201" i="8" s="1"/>
  <c r="G202" i="8"/>
  <c r="J202" i="8" s="1"/>
  <c r="I200" i="8"/>
  <c r="G200" i="8"/>
  <c r="J200" i="8" s="1"/>
  <c r="I199" i="8"/>
  <c r="G199" i="8"/>
  <c r="H199" i="8" s="1"/>
  <c r="K199" i="8" s="1"/>
  <c r="I198" i="8"/>
  <c r="G198" i="8"/>
  <c r="I197" i="8"/>
  <c r="H197" i="8"/>
  <c r="K197" i="8" s="1"/>
  <c r="G197" i="8"/>
  <c r="J197" i="8" s="1"/>
  <c r="I196" i="8"/>
  <c r="G196" i="8"/>
  <c r="J196" i="8" s="1"/>
  <c r="I195" i="8"/>
  <c r="G195" i="8"/>
  <c r="J195" i="8" s="1"/>
  <c r="I194" i="8"/>
  <c r="G194" i="8"/>
  <c r="I193" i="8"/>
  <c r="G193" i="8"/>
  <c r="I192" i="8"/>
  <c r="I191" i="8"/>
  <c r="G191" i="8"/>
  <c r="J191" i="8" s="1"/>
  <c r="I190" i="8"/>
  <c r="G190" i="8"/>
  <c r="I189" i="8"/>
  <c r="G189" i="8"/>
  <c r="H189" i="8" s="1"/>
  <c r="K189" i="8" s="1"/>
  <c r="I188" i="8"/>
  <c r="G188" i="8"/>
  <c r="J187" i="8"/>
  <c r="I187" i="8"/>
  <c r="G187" i="8"/>
  <c r="H187" i="8" s="1"/>
  <c r="K187" i="8" s="1"/>
  <c r="I186" i="8"/>
  <c r="G186" i="8"/>
  <c r="J186" i="8" s="1"/>
  <c r="I185" i="8"/>
  <c r="G185" i="8"/>
  <c r="J185" i="8" s="1"/>
  <c r="I184" i="8"/>
  <c r="G184" i="8"/>
  <c r="I183" i="8"/>
  <c r="G183" i="8"/>
  <c r="I182" i="8"/>
  <c r="G182" i="8"/>
  <c r="I181" i="8"/>
  <c r="H181" i="8"/>
  <c r="K181" i="8" s="1"/>
  <c r="G181" i="8"/>
  <c r="J181" i="8" s="1"/>
  <c r="I180" i="8"/>
  <c r="G180" i="8"/>
  <c r="I179" i="8"/>
  <c r="G179" i="8"/>
  <c r="J179" i="8" s="1"/>
  <c r="I178" i="8"/>
  <c r="G178" i="8"/>
  <c r="J178" i="8" s="1"/>
  <c r="I176" i="8"/>
  <c r="G176" i="8"/>
  <c r="J176" i="8" s="1"/>
  <c r="I175" i="8"/>
  <c r="G175" i="8"/>
  <c r="J175" i="8" s="1"/>
  <c r="I174" i="8"/>
  <c r="G174" i="8"/>
  <c r="I173" i="8"/>
  <c r="G173" i="8"/>
  <c r="I172" i="8"/>
  <c r="G172" i="8"/>
  <c r="I171" i="8"/>
  <c r="H171" i="8"/>
  <c r="K171" i="8" s="1"/>
  <c r="G171" i="8"/>
  <c r="J171" i="8" s="1"/>
  <c r="I170" i="8"/>
  <c r="G170" i="8"/>
  <c r="I169" i="8"/>
  <c r="G169" i="8"/>
  <c r="J169" i="8" s="1"/>
  <c r="I168" i="8"/>
  <c r="G168" i="8"/>
  <c r="J168" i="8" s="1"/>
  <c r="J167" i="8"/>
  <c r="I167" i="8"/>
  <c r="G167" i="8"/>
  <c r="H167" i="8" s="1"/>
  <c r="K167" i="8" s="1"/>
  <c r="I166" i="8"/>
  <c r="G166" i="8"/>
  <c r="I165" i="8"/>
  <c r="G165" i="8"/>
  <c r="J165" i="8" s="1"/>
  <c r="I164" i="8"/>
  <c r="G164" i="8"/>
  <c r="I163" i="8"/>
  <c r="G163" i="8"/>
  <c r="I162" i="8"/>
  <c r="G162" i="8"/>
  <c r="J161" i="8"/>
  <c r="I161" i="8"/>
  <c r="G161" i="8"/>
  <c r="H161" i="8" s="1"/>
  <c r="K161" i="8" s="1"/>
  <c r="I160" i="8"/>
  <c r="G160" i="8"/>
  <c r="J160" i="8" s="1"/>
  <c r="I159" i="8"/>
  <c r="G159" i="8"/>
  <c r="J159" i="8" s="1"/>
  <c r="I158" i="8"/>
  <c r="G158" i="8"/>
  <c r="I157" i="8"/>
  <c r="G157" i="8"/>
  <c r="I154" i="8"/>
  <c r="G154" i="8"/>
  <c r="I153" i="8"/>
  <c r="G153" i="8"/>
  <c r="J153" i="8" s="1"/>
  <c r="I152" i="8"/>
  <c r="G152" i="8"/>
  <c r="J151" i="8"/>
  <c r="I151" i="8"/>
  <c r="G151" i="8"/>
  <c r="H151" i="8" s="1"/>
  <c r="K151" i="8" s="1"/>
  <c r="I150" i="8"/>
  <c r="G150" i="8"/>
  <c r="I149" i="8"/>
  <c r="G149" i="8"/>
  <c r="I148" i="8"/>
  <c r="H148" i="8"/>
  <c r="K148" i="8" s="1"/>
  <c r="G148" i="8"/>
  <c r="J148" i="8" s="1"/>
  <c r="I147" i="8"/>
  <c r="G147" i="8"/>
  <c r="J147" i="8" s="1"/>
  <c r="I146" i="8"/>
  <c r="G146" i="8"/>
  <c r="I145" i="8"/>
  <c r="G145" i="8"/>
  <c r="I144" i="8"/>
  <c r="I143" i="8" s="1"/>
  <c r="G144" i="8"/>
  <c r="J144" i="8" s="1"/>
  <c r="I142" i="8"/>
  <c r="H142" i="8"/>
  <c r="K142" i="8" s="1"/>
  <c r="G142" i="8"/>
  <c r="J142" i="8" s="1"/>
  <c r="I141" i="8"/>
  <c r="G141" i="8"/>
  <c r="J141" i="8" s="1"/>
  <c r="I140" i="8"/>
  <c r="G140" i="8"/>
  <c r="I139" i="8"/>
  <c r="H139" i="8"/>
  <c r="K139" i="8" s="1"/>
  <c r="G139" i="8"/>
  <c r="J139" i="8" s="1"/>
  <c r="I138" i="8"/>
  <c r="G138" i="8"/>
  <c r="J138" i="8" s="1"/>
  <c r="I137" i="8"/>
  <c r="G137" i="8"/>
  <c r="J136" i="8"/>
  <c r="I136" i="8"/>
  <c r="G136" i="8"/>
  <c r="H136" i="8" s="1"/>
  <c r="K136" i="8" s="1"/>
  <c r="I134" i="8"/>
  <c r="G134" i="8"/>
  <c r="I133" i="8"/>
  <c r="G133" i="8"/>
  <c r="J133" i="8" s="1"/>
  <c r="I132" i="8"/>
  <c r="H132" i="8"/>
  <c r="K132" i="8" s="1"/>
  <c r="G132" i="8"/>
  <c r="J132" i="8" s="1"/>
  <c r="I131" i="8"/>
  <c r="G131" i="8"/>
  <c r="J131" i="8" s="1"/>
  <c r="I130" i="8"/>
  <c r="I129" i="8"/>
  <c r="G129" i="8"/>
  <c r="J129" i="8" s="1"/>
  <c r="I128" i="8"/>
  <c r="G128" i="8"/>
  <c r="I127" i="8"/>
  <c r="G127" i="8"/>
  <c r="I126" i="8"/>
  <c r="G126" i="8"/>
  <c r="J126" i="8" s="1"/>
  <c r="J125" i="8"/>
  <c r="I125" i="8"/>
  <c r="H125" i="8"/>
  <c r="K125" i="8" s="1"/>
  <c r="G125" i="8"/>
  <c r="J124" i="8"/>
  <c r="I124" i="8"/>
  <c r="G124" i="8"/>
  <c r="H124" i="8" s="1"/>
  <c r="K124" i="8" s="1"/>
  <c r="I123" i="8"/>
  <c r="G123" i="8"/>
  <c r="I122" i="8"/>
  <c r="G122" i="8"/>
  <c r="J122" i="8" s="1"/>
  <c r="I121" i="8"/>
  <c r="G121" i="8"/>
  <c r="J121" i="8" s="1"/>
  <c r="I120" i="8"/>
  <c r="G120" i="8"/>
  <c r="I119" i="8"/>
  <c r="G119" i="8"/>
  <c r="H119" i="8" s="1"/>
  <c r="K119" i="8" s="1"/>
  <c r="I118" i="8"/>
  <c r="G118" i="8"/>
  <c r="J118" i="8" s="1"/>
  <c r="I117" i="8"/>
  <c r="G117" i="8"/>
  <c r="H117" i="8" s="1"/>
  <c r="K117" i="8" s="1"/>
  <c r="I116" i="8"/>
  <c r="G116" i="8"/>
  <c r="K115" i="8"/>
  <c r="I115" i="8"/>
  <c r="G115" i="8"/>
  <c r="H115" i="8" s="1"/>
  <c r="I114" i="8"/>
  <c r="G114" i="8"/>
  <c r="J114" i="8" s="1"/>
  <c r="I113" i="8"/>
  <c r="G113" i="8"/>
  <c r="H113" i="8" s="1"/>
  <c r="K113" i="8" s="1"/>
  <c r="J112" i="8"/>
  <c r="I112" i="8"/>
  <c r="G112" i="8"/>
  <c r="H112" i="8" s="1"/>
  <c r="K112" i="8" s="1"/>
  <c r="J111" i="8"/>
  <c r="I111" i="8"/>
  <c r="G111" i="8"/>
  <c r="H111" i="8" s="1"/>
  <c r="K111" i="8" s="1"/>
  <c r="I110" i="8"/>
  <c r="G110" i="8"/>
  <c r="J110" i="8" s="1"/>
  <c r="I109" i="8"/>
  <c r="G109" i="8"/>
  <c r="J109" i="8" s="1"/>
  <c r="I108" i="8"/>
  <c r="I107" i="8"/>
  <c r="H107" i="8"/>
  <c r="K107" i="8" s="1"/>
  <c r="K106" i="8" s="1"/>
  <c r="G107" i="8"/>
  <c r="J107" i="8" s="1"/>
  <c r="J106" i="8" s="1"/>
  <c r="I106" i="8"/>
  <c r="I104" i="8"/>
  <c r="G104" i="8"/>
  <c r="J104" i="8" s="1"/>
  <c r="I103" i="8"/>
  <c r="G103" i="8"/>
  <c r="I102" i="8"/>
  <c r="I101" i="8" s="1"/>
  <c r="G102" i="8"/>
  <c r="I100" i="8"/>
  <c r="I96" i="8" s="1"/>
  <c r="G100" i="8"/>
  <c r="I99" i="8"/>
  <c r="G99" i="8"/>
  <c r="H99" i="8" s="1"/>
  <c r="K99" i="8" s="1"/>
  <c r="I98" i="8"/>
  <c r="G98" i="8"/>
  <c r="J98" i="8" s="1"/>
  <c r="I97" i="8"/>
  <c r="H97" i="8"/>
  <c r="K97" i="8" s="1"/>
  <c r="G97" i="8"/>
  <c r="J97" i="8" s="1"/>
  <c r="I95" i="8"/>
  <c r="G95" i="8"/>
  <c r="J95" i="8" s="1"/>
  <c r="I94" i="8"/>
  <c r="G94" i="8"/>
  <c r="I93" i="8"/>
  <c r="G93" i="8"/>
  <c r="H93" i="8" s="1"/>
  <c r="K93" i="8" s="1"/>
  <c r="I92" i="8"/>
  <c r="G92" i="8"/>
  <c r="J92" i="8" s="1"/>
  <c r="I91" i="8"/>
  <c r="G91" i="8"/>
  <c r="J91" i="8" s="1"/>
  <c r="I90" i="8"/>
  <c r="G90" i="8"/>
  <c r="K89" i="8"/>
  <c r="I89" i="8"/>
  <c r="G89" i="8"/>
  <c r="H89" i="8" s="1"/>
  <c r="I88" i="8"/>
  <c r="G88" i="8"/>
  <c r="J88" i="8" s="1"/>
  <c r="I87" i="8"/>
  <c r="I85" i="8"/>
  <c r="G85" i="8"/>
  <c r="H85" i="8" s="1"/>
  <c r="K84" i="8"/>
  <c r="J84" i="8"/>
  <c r="I84" i="8"/>
  <c r="G84" i="8"/>
  <c r="H84" i="8" s="1"/>
  <c r="I83" i="8"/>
  <c r="G83" i="8"/>
  <c r="H83" i="8" s="1"/>
  <c r="K83" i="8" s="1"/>
  <c r="I82" i="8"/>
  <c r="G82" i="8"/>
  <c r="J82" i="8" s="1"/>
  <c r="I81" i="8"/>
  <c r="H81" i="8"/>
  <c r="K81" i="8" s="1"/>
  <c r="G81" i="8"/>
  <c r="J81" i="8" s="1"/>
  <c r="I80" i="8"/>
  <c r="G80" i="8"/>
  <c r="K79" i="8"/>
  <c r="I79" i="8"/>
  <c r="G79" i="8"/>
  <c r="H79" i="8" s="1"/>
  <c r="I78" i="8"/>
  <c r="G78" i="8"/>
  <c r="J78" i="8" s="1"/>
  <c r="I77" i="8"/>
  <c r="I76" i="8"/>
  <c r="G76" i="8"/>
  <c r="I75" i="8"/>
  <c r="G75" i="8"/>
  <c r="J75" i="8" s="1"/>
  <c r="J74" i="8"/>
  <c r="I74" i="8"/>
  <c r="H74" i="8"/>
  <c r="K74" i="8" s="1"/>
  <c r="G74" i="8"/>
  <c r="I73" i="8"/>
  <c r="G73" i="8"/>
  <c r="H73" i="8" s="1"/>
  <c r="K73" i="8" s="1"/>
  <c r="I72" i="8"/>
  <c r="G72" i="8"/>
  <c r="I71" i="8"/>
  <c r="G71" i="8"/>
  <c r="J71" i="8" s="1"/>
  <c r="I70" i="8"/>
  <c r="G70" i="8"/>
  <c r="J70" i="8" s="1"/>
  <c r="J69" i="8"/>
  <c r="I69" i="8"/>
  <c r="I68" i="8" s="1"/>
  <c r="G69" i="8"/>
  <c r="H69" i="8" s="1"/>
  <c r="K69" i="8" s="1"/>
  <c r="I67" i="8"/>
  <c r="G67" i="8"/>
  <c r="I66" i="8"/>
  <c r="G66" i="8"/>
  <c r="I65" i="8"/>
  <c r="G65" i="8"/>
  <c r="J65" i="8" s="1"/>
  <c r="I64" i="8"/>
  <c r="G64" i="8"/>
  <c r="J64" i="8" s="1"/>
  <c r="I63" i="8"/>
  <c r="G63" i="8"/>
  <c r="I62" i="8"/>
  <c r="G62" i="8"/>
  <c r="I61" i="8"/>
  <c r="G61" i="8"/>
  <c r="J61" i="8" s="1"/>
  <c r="I60" i="8"/>
  <c r="G60" i="8"/>
  <c r="J60" i="8" s="1"/>
  <c r="I59" i="8"/>
  <c r="I57" i="8" s="1"/>
  <c r="I56" i="8" s="1"/>
  <c r="G59" i="8"/>
  <c r="I58" i="8"/>
  <c r="G58" i="8"/>
  <c r="I55" i="8"/>
  <c r="I52" i="8" s="1"/>
  <c r="G55" i="8"/>
  <c r="H55" i="8" s="1"/>
  <c r="K55" i="8" s="1"/>
  <c r="J54" i="8"/>
  <c r="I54" i="8"/>
  <c r="G54" i="8"/>
  <c r="H54" i="8" s="1"/>
  <c r="K54" i="8" s="1"/>
  <c r="I53" i="8"/>
  <c r="G53" i="8"/>
  <c r="J53" i="8" s="1"/>
  <c r="I51" i="8"/>
  <c r="G51" i="8"/>
  <c r="J51" i="8" s="1"/>
  <c r="I50" i="8"/>
  <c r="G50" i="8"/>
  <c r="H50" i="8" s="1"/>
  <c r="I49" i="8"/>
  <c r="I48" i="8" s="1"/>
  <c r="G49" i="8"/>
  <c r="J47" i="8"/>
  <c r="I47" i="8"/>
  <c r="G47" i="8"/>
  <c r="H47" i="8" s="1"/>
  <c r="K47" i="8" s="1"/>
  <c r="I46" i="8"/>
  <c r="G46" i="8"/>
  <c r="H46" i="8" s="1"/>
  <c r="K46" i="8" s="1"/>
  <c r="I45" i="8"/>
  <c r="G45" i="8"/>
  <c r="J45" i="8" s="1"/>
  <c r="I44" i="8"/>
  <c r="G44" i="8"/>
  <c r="H44" i="8" s="1"/>
  <c r="K44" i="8" s="1"/>
  <c r="I43" i="8"/>
  <c r="G43" i="8"/>
  <c r="H43" i="8" s="1"/>
  <c r="K43" i="8" s="1"/>
  <c r="J42" i="8"/>
  <c r="I42" i="8"/>
  <c r="G42" i="8"/>
  <c r="H42" i="8" s="1"/>
  <c r="K42" i="8" s="1"/>
  <c r="I41" i="8"/>
  <c r="G41" i="8"/>
  <c r="J41" i="8" s="1"/>
  <c r="I40" i="8"/>
  <c r="G40" i="8"/>
  <c r="H40" i="8" s="1"/>
  <c r="K40" i="8" s="1"/>
  <c r="I39" i="8"/>
  <c r="I38" i="8"/>
  <c r="G38" i="8"/>
  <c r="J38" i="8" s="1"/>
  <c r="I37" i="8"/>
  <c r="G37" i="8"/>
  <c r="J36" i="8"/>
  <c r="I36" i="8"/>
  <c r="G36" i="8"/>
  <c r="H36" i="8" s="1"/>
  <c r="K36" i="8" s="1"/>
  <c r="I35" i="8"/>
  <c r="G35" i="8"/>
  <c r="J35" i="8" s="1"/>
  <c r="I34" i="8"/>
  <c r="G34" i="8"/>
  <c r="J34" i="8" s="1"/>
  <c r="I33" i="8"/>
  <c r="C33" i="8"/>
  <c r="I32" i="8"/>
  <c r="I31" i="8"/>
  <c r="G31" i="8"/>
  <c r="H31" i="8" s="1"/>
  <c r="K31" i="8" s="1"/>
  <c r="I30" i="8"/>
  <c r="G30" i="8"/>
  <c r="H30" i="8" s="1"/>
  <c r="K30" i="8" s="1"/>
  <c r="J29" i="8"/>
  <c r="I29" i="8"/>
  <c r="G29" i="8"/>
  <c r="H29" i="8" s="1"/>
  <c r="K29" i="8" s="1"/>
  <c r="I28" i="8"/>
  <c r="G28" i="8"/>
  <c r="J28" i="8" s="1"/>
  <c r="I27" i="8"/>
  <c r="G27" i="8"/>
  <c r="H27" i="8" s="1"/>
  <c r="K27" i="8" s="1"/>
  <c r="J26" i="8"/>
  <c r="I26" i="8"/>
  <c r="I25" i="8" s="1"/>
  <c r="G26" i="8"/>
  <c r="H26" i="8" s="1"/>
  <c r="K26" i="8" s="1"/>
  <c r="C25" i="8"/>
  <c r="J24" i="8"/>
  <c r="I24" i="8"/>
  <c r="G24" i="8"/>
  <c r="H24" i="8" s="1"/>
  <c r="K24" i="8" s="1"/>
  <c r="I23" i="8"/>
  <c r="G23" i="8"/>
  <c r="J23" i="8" s="1"/>
  <c r="I22" i="8"/>
  <c r="G22" i="8"/>
  <c r="J22" i="8" s="1"/>
  <c r="I21" i="8"/>
  <c r="I20" i="8" s="1"/>
  <c r="G21" i="8"/>
  <c r="C20" i="8"/>
  <c r="I19" i="8"/>
  <c r="G19" i="8"/>
  <c r="I18" i="8"/>
  <c r="G18" i="8"/>
  <c r="J18" i="8" s="1"/>
  <c r="I17" i="8"/>
  <c r="H17" i="8"/>
  <c r="K17" i="8" s="1"/>
  <c r="G17" i="8"/>
  <c r="J17" i="8" s="1"/>
  <c r="I16" i="8"/>
  <c r="G16" i="8"/>
  <c r="I15" i="8"/>
  <c r="G15" i="8"/>
  <c r="I14" i="8"/>
  <c r="G14" i="8"/>
  <c r="J14" i="8" s="1"/>
  <c r="I13" i="8"/>
  <c r="G13" i="8"/>
  <c r="J13" i="8" s="1"/>
  <c r="I12" i="8"/>
  <c r="I11" i="8" s="1"/>
  <c r="G12" i="8"/>
  <c r="C11" i="8"/>
  <c r="C234" i="7"/>
  <c r="B234" i="7"/>
  <c r="A234" i="7"/>
  <c r="C233" i="7"/>
  <c r="B233" i="7"/>
  <c r="A233" i="7"/>
  <c r="C232" i="7"/>
  <c r="B232" i="7"/>
  <c r="A232" i="7"/>
  <c r="B231" i="7"/>
  <c r="A231" i="7"/>
  <c r="C230" i="7"/>
  <c r="B230" i="7"/>
  <c r="A230" i="7"/>
  <c r="C229" i="7"/>
  <c r="B229" i="7"/>
  <c r="A229" i="7"/>
  <c r="B228" i="7"/>
  <c r="A228" i="7"/>
  <c r="K227" i="7"/>
  <c r="D227" i="7"/>
  <c r="C227" i="7"/>
  <c r="B227" i="7"/>
  <c r="A227" i="7"/>
  <c r="K226" i="7"/>
  <c r="C226" i="7"/>
  <c r="B226" i="7"/>
  <c r="A226" i="7"/>
  <c r="L225" i="7"/>
  <c r="C225" i="7"/>
  <c r="B225" i="7"/>
  <c r="A225" i="7"/>
  <c r="K224" i="7"/>
  <c r="C224" i="7"/>
  <c r="B224" i="7"/>
  <c r="A224" i="7"/>
  <c r="B223" i="7"/>
  <c r="A223" i="7"/>
  <c r="B222" i="7"/>
  <c r="A222" i="7"/>
  <c r="L133" i="7"/>
  <c r="L108" i="7"/>
  <c r="M66" i="7"/>
  <c r="M67" i="7" s="1"/>
  <c r="L65" i="7"/>
  <c r="L60" i="7"/>
  <c r="L53" i="7"/>
  <c r="M51" i="7"/>
  <c r="L51" i="7"/>
  <c r="N43" i="7"/>
  <c r="M43" i="7"/>
  <c r="L43" i="7"/>
  <c r="M42" i="7"/>
  <c r="L42" i="7"/>
  <c r="M40" i="7"/>
  <c r="L40" i="7"/>
  <c r="B18" i="7"/>
  <c r="B13" i="7"/>
  <c r="I241" i="6"/>
  <c r="G241" i="6"/>
  <c r="J241" i="6" s="1"/>
  <c r="I240" i="6"/>
  <c r="G240" i="6"/>
  <c r="I239" i="6"/>
  <c r="G239" i="6"/>
  <c r="H239" i="6" s="1"/>
  <c r="K239" i="6" s="1"/>
  <c r="I238" i="6"/>
  <c r="G238" i="6"/>
  <c r="H238" i="6" s="1"/>
  <c r="I237" i="6"/>
  <c r="H237" i="6"/>
  <c r="K237" i="6" s="1"/>
  <c r="G237" i="6"/>
  <c r="J237" i="6" s="1"/>
  <c r="I236" i="6"/>
  <c r="G236" i="6"/>
  <c r="J236" i="6" s="1"/>
  <c r="J235" i="6" s="1"/>
  <c r="I235" i="6"/>
  <c r="G235" i="6"/>
  <c r="H235" i="6" s="1"/>
  <c r="I234" i="6"/>
  <c r="G234" i="6"/>
  <c r="H234" i="6" s="1"/>
  <c r="K234" i="6" s="1"/>
  <c r="I233" i="6"/>
  <c r="G233" i="6"/>
  <c r="H233" i="6" s="1"/>
  <c r="K233" i="6" s="1"/>
  <c r="I232" i="6"/>
  <c r="G232" i="6"/>
  <c r="J232" i="6" s="1"/>
  <c r="J231" i="6"/>
  <c r="I231" i="6"/>
  <c r="G231" i="6"/>
  <c r="H231" i="6" s="1"/>
  <c r="K231" i="6" s="1"/>
  <c r="I228" i="6"/>
  <c r="G228" i="6"/>
  <c r="I227" i="6"/>
  <c r="G227" i="6"/>
  <c r="J227" i="6" s="1"/>
  <c r="I226" i="6"/>
  <c r="G226" i="6"/>
  <c r="I225" i="6"/>
  <c r="G225" i="6"/>
  <c r="J225" i="6" s="1"/>
  <c r="I224" i="6"/>
  <c r="G224" i="6"/>
  <c r="J224" i="6" s="1"/>
  <c r="I223" i="6"/>
  <c r="I222" i="6"/>
  <c r="G222" i="6"/>
  <c r="J222" i="6" s="1"/>
  <c r="I221" i="6"/>
  <c r="H221" i="6"/>
  <c r="K221" i="6" s="1"/>
  <c r="G221" i="6"/>
  <c r="J221" i="6" s="1"/>
  <c r="I220" i="6"/>
  <c r="G220" i="6"/>
  <c r="H220" i="6" s="1"/>
  <c r="K220" i="6" s="1"/>
  <c r="I219" i="6"/>
  <c r="G219" i="6"/>
  <c r="H219" i="6" s="1"/>
  <c r="K219" i="6" s="1"/>
  <c r="I218" i="6"/>
  <c r="G218" i="6"/>
  <c r="I217" i="6"/>
  <c r="G217" i="6"/>
  <c r="J217" i="6" s="1"/>
  <c r="I215" i="6"/>
  <c r="I212" i="6" s="1"/>
  <c r="H215" i="6"/>
  <c r="K215" i="6" s="1"/>
  <c r="K212" i="6" s="1"/>
  <c r="G215" i="6"/>
  <c r="J215" i="6" s="1"/>
  <c r="I214" i="6"/>
  <c r="G214" i="6"/>
  <c r="H214" i="6" s="1"/>
  <c r="K214" i="6" s="1"/>
  <c r="I213" i="6"/>
  <c r="G213" i="6"/>
  <c r="H213" i="6" s="1"/>
  <c r="K213" i="6" s="1"/>
  <c r="I211" i="6"/>
  <c r="G211" i="6"/>
  <c r="I210" i="6"/>
  <c r="G210" i="6"/>
  <c r="J210" i="6" s="1"/>
  <c r="J209" i="6"/>
  <c r="I209" i="6"/>
  <c r="G209" i="6"/>
  <c r="H209" i="6" s="1"/>
  <c r="K209" i="6" s="1"/>
  <c r="I208" i="6"/>
  <c r="G208" i="6"/>
  <c r="H208" i="6" s="1"/>
  <c r="K208" i="6" s="1"/>
  <c r="I207" i="6"/>
  <c r="G207" i="6"/>
  <c r="H207" i="6" s="1"/>
  <c r="K207" i="6" s="1"/>
  <c r="J205" i="6"/>
  <c r="I205" i="6"/>
  <c r="G205" i="6"/>
  <c r="H205" i="6" s="1"/>
  <c r="K205" i="6" s="1"/>
  <c r="I204" i="6"/>
  <c r="G204" i="6"/>
  <c r="J204" i="6" s="1"/>
  <c r="I203" i="6"/>
  <c r="G203" i="6"/>
  <c r="J203" i="6" s="1"/>
  <c r="I202" i="6"/>
  <c r="G202" i="6"/>
  <c r="H202" i="6" s="1"/>
  <c r="K202" i="6" s="1"/>
  <c r="I200" i="6"/>
  <c r="G200" i="6"/>
  <c r="I199" i="6"/>
  <c r="G199" i="6"/>
  <c r="J199" i="6" s="1"/>
  <c r="I198" i="6"/>
  <c r="G198" i="6"/>
  <c r="J198" i="6" s="1"/>
  <c r="I197" i="6"/>
  <c r="G197" i="6"/>
  <c r="J197" i="6" s="1"/>
  <c r="I196" i="6"/>
  <c r="G196" i="6"/>
  <c r="H196" i="6" s="1"/>
  <c r="K196" i="6" s="1"/>
  <c r="J195" i="6"/>
  <c r="I195" i="6"/>
  <c r="G195" i="6"/>
  <c r="H195" i="6" s="1"/>
  <c r="K195" i="6" s="1"/>
  <c r="I194" i="6"/>
  <c r="G194" i="6"/>
  <c r="J194" i="6" s="1"/>
  <c r="I193" i="6"/>
  <c r="G193" i="6"/>
  <c r="I191" i="6"/>
  <c r="G191" i="6"/>
  <c r="H191" i="6" s="1"/>
  <c r="K191" i="6" s="1"/>
  <c r="I190" i="6"/>
  <c r="G190" i="6"/>
  <c r="H190" i="6" s="1"/>
  <c r="K190" i="6" s="1"/>
  <c r="I189" i="6"/>
  <c r="G189" i="6"/>
  <c r="J189" i="6" s="1"/>
  <c r="I188" i="6"/>
  <c r="H188" i="6"/>
  <c r="K188" i="6" s="1"/>
  <c r="G188" i="6"/>
  <c r="J188" i="6" s="1"/>
  <c r="I187" i="6"/>
  <c r="G187" i="6"/>
  <c r="J187" i="6" s="1"/>
  <c r="I186" i="6"/>
  <c r="G186" i="6"/>
  <c r="H186" i="6" s="1"/>
  <c r="K186" i="6" s="1"/>
  <c r="J185" i="6"/>
  <c r="I185" i="6"/>
  <c r="G185" i="6"/>
  <c r="H185" i="6" s="1"/>
  <c r="K185" i="6" s="1"/>
  <c r="I184" i="6"/>
  <c r="G184" i="6"/>
  <c r="I183" i="6"/>
  <c r="G183" i="6"/>
  <c r="J183" i="6" s="1"/>
  <c r="I182" i="6"/>
  <c r="G182" i="6"/>
  <c r="I181" i="6"/>
  <c r="G181" i="6"/>
  <c r="J181" i="6" s="1"/>
  <c r="I180" i="6"/>
  <c r="G180" i="6"/>
  <c r="J180" i="6" s="1"/>
  <c r="I179" i="6"/>
  <c r="G179" i="6"/>
  <c r="H179" i="6" s="1"/>
  <c r="K179" i="6" s="1"/>
  <c r="I178" i="6"/>
  <c r="I177" i="6" s="1"/>
  <c r="G178" i="6"/>
  <c r="I176" i="6"/>
  <c r="G176" i="6"/>
  <c r="H176" i="6" s="1"/>
  <c r="K176" i="6" s="1"/>
  <c r="I175" i="6"/>
  <c r="G175" i="6"/>
  <c r="H175" i="6" s="1"/>
  <c r="K175" i="6" s="1"/>
  <c r="I174" i="6"/>
  <c r="G174" i="6"/>
  <c r="J173" i="6"/>
  <c r="I173" i="6"/>
  <c r="G173" i="6"/>
  <c r="H173" i="6" s="1"/>
  <c r="K173" i="6" s="1"/>
  <c r="I172" i="6"/>
  <c r="G172" i="6"/>
  <c r="I171" i="6"/>
  <c r="G171" i="6"/>
  <c r="J171" i="6" s="1"/>
  <c r="I170" i="6"/>
  <c r="G170" i="6"/>
  <c r="J170" i="6" s="1"/>
  <c r="I169" i="6"/>
  <c r="G169" i="6"/>
  <c r="J169" i="6" s="1"/>
  <c r="I168" i="6"/>
  <c r="G168" i="6"/>
  <c r="I167" i="6"/>
  <c r="G167" i="6"/>
  <c r="J167" i="6" s="1"/>
  <c r="I166" i="6"/>
  <c r="H166" i="6"/>
  <c r="K166" i="6" s="1"/>
  <c r="G166" i="6"/>
  <c r="J166" i="6" s="1"/>
  <c r="I165" i="6"/>
  <c r="G165" i="6"/>
  <c r="J165" i="6" s="1"/>
  <c r="I164" i="6"/>
  <c r="G164" i="6"/>
  <c r="H164" i="6" s="1"/>
  <c r="K164" i="6" s="1"/>
  <c r="I163" i="6"/>
  <c r="G163" i="6"/>
  <c r="H163" i="6" s="1"/>
  <c r="K163" i="6" s="1"/>
  <c r="I162" i="6"/>
  <c r="G162" i="6"/>
  <c r="J162" i="6" s="1"/>
  <c r="J161" i="6"/>
  <c r="I161" i="6"/>
  <c r="G161" i="6"/>
  <c r="H161" i="6" s="1"/>
  <c r="K161" i="6" s="1"/>
  <c r="K160" i="6"/>
  <c r="J160" i="6"/>
  <c r="I160" i="6"/>
  <c r="G160" i="6"/>
  <c r="H160" i="6" s="1"/>
  <c r="I159" i="6"/>
  <c r="G159" i="6"/>
  <c r="H159" i="6" s="1"/>
  <c r="K159" i="6" s="1"/>
  <c r="I158" i="6"/>
  <c r="G158" i="6"/>
  <c r="J157" i="6"/>
  <c r="I157" i="6"/>
  <c r="G157" i="6"/>
  <c r="H157" i="6" s="1"/>
  <c r="K157" i="6" s="1"/>
  <c r="I154" i="6"/>
  <c r="G154" i="6"/>
  <c r="J154" i="6" s="1"/>
  <c r="I153" i="6"/>
  <c r="G153" i="6"/>
  <c r="J153" i="6" s="1"/>
  <c r="I152" i="6"/>
  <c r="G152" i="6"/>
  <c r="I151" i="6"/>
  <c r="G151" i="6"/>
  <c r="J151" i="6" s="1"/>
  <c r="I150" i="6"/>
  <c r="G150" i="6"/>
  <c r="I149" i="6"/>
  <c r="G149" i="6"/>
  <c r="H149" i="6" s="1"/>
  <c r="K149" i="6" s="1"/>
  <c r="I148" i="6"/>
  <c r="G148" i="6"/>
  <c r="I147" i="6"/>
  <c r="G147" i="6"/>
  <c r="H147" i="6" s="1"/>
  <c r="K147" i="6" s="1"/>
  <c r="I146" i="6"/>
  <c r="G146" i="6"/>
  <c r="J146" i="6" s="1"/>
  <c r="I145" i="6"/>
  <c r="G145" i="6"/>
  <c r="H145" i="6" s="1"/>
  <c r="K145" i="6" s="1"/>
  <c r="I144" i="6"/>
  <c r="G144" i="6"/>
  <c r="I142" i="6"/>
  <c r="G142" i="6"/>
  <c r="I141" i="6"/>
  <c r="G141" i="6"/>
  <c r="J141" i="6" s="1"/>
  <c r="I140" i="6"/>
  <c r="G140" i="6"/>
  <c r="J140" i="6" s="1"/>
  <c r="I139" i="6"/>
  <c r="G139" i="6"/>
  <c r="I138" i="6"/>
  <c r="G138" i="6"/>
  <c r="H138" i="6" s="1"/>
  <c r="K138" i="6" s="1"/>
  <c r="J137" i="6"/>
  <c r="I137" i="6"/>
  <c r="G137" i="6"/>
  <c r="H137" i="6" s="1"/>
  <c r="K137" i="6" s="1"/>
  <c r="I136" i="6"/>
  <c r="I135" i="6" s="1"/>
  <c r="G136" i="6"/>
  <c r="J136" i="6" s="1"/>
  <c r="I134" i="6"/>
  <c r="G134" i="6"/>
  <c r="J134" i="6" s="1"/>
  <c r="J133" i="6"/>
  <c r="I133" i="6"/>
  <c r="G133" i="6"/>
  <c r="H133" i="6" s="1"/>
  <c r="K133" i="6" s="1"/>
  <c r="I132" i="6"/>
  <c r="I130" i="6" s="1"/>
  <c r="G132" i="6"/>
  <c r="I131" i="6"/>
  <c r="G131" i="6"/>
  <c r="J131" i="6" s="1"/>
  <c r="I129" i="6"/>
  <c r="G129" i="6"/>
  <c r="J129" i="6" s="1"/>
  <c r="I128" i="6"/>
  <c r="G128" i="6"/>
  <c r="J127" i="6"/>
  <c r="I127" i="6"/>
  <c r="G127" i="6"/>
  <c r="H127" i="6" s="1"/>
  <c r="K127" i="6" s="1"/>
  <c r="I126" i="6"/>
  <c r="G126" i="6"/>
  <c r="H126" i="6" s="1"/>
  <c r="K126" i="6" s="1"/>
  <c r="I125" i="6"/>
  <c r="G125" i="6"/>
  <c r="J125" i="6" s="1"/>
  <c r="J124" i="6"/>
  <c r="I124" i="6"/>
  <c r="H124" i="6"/>
  <c r="K124" i="6" s="1"/>
  <c r="G124" i="6"/>
  <c r="I123" i="6"/>
  <c r="G123" i="6"/>
  <c r="H123" i="6" s="1"/>
  <c r="K123" i="6" s="1"/>
  <c r="I122" i="6"/>
  <c r="G122" i="6"/>
  <c r="H122" i="6" s="1"/>
  <c r="K122" i="6" s="1"/>
  <c r="I121" i="6"/>
  <c r="G121" i="6"/>
  <c r="J121" i="6" s="1"/>
  <c r="I120" i="6"/>
  <c r="G120" i="6"/>
  <c r="J120" i="6" s="1"/>
  <c r="I119" i="6"/>
  <c r="G119" i="6"/>
  <c r="I118" i="6"/>
  <c r="G118" i="6"/>
  <c r="I117" i="6"/>
  <c r="G117" i="6"/>
  <c r="J117" i="6" s="1"/>
  <c r="I116" i="6"/>
  <c r="G116" i="6"/>
  <c r="H116" i="6" s="1"/>
  <c r="K116" i="6" s="1"/>
  <c r="I115" i="6"/>
  <c r="G115" i="6"/>
  <c r="I114" i="6"/>
  <c r="G114" i="6"/>
  <c r="I113" i="6"/>
  <c r="G113" i="6"/>
  <c r="I112" i="6"/>
  <c r="H112" i="6"/>
  <c r="K112" i="6" s="1"/>
  <c r="G112" i="6"/>
  <c r="J112" i="6" s="1"/>
  <c r="I111" i="6"/>
  <c r="I108" i="6" s="1"/>
  <c r="G111" i="6"/>
  <c r="H111" i="6" s="1"/>
  <c r="K111" i="6" s="1"/>
  <c r="I110" i="6"/>
  <c r="G110" i="6"/>
  <c r="H110" i="6" s="1"/>
  <c r="K110" i="6" s="1"/>
  <c r="I109" i="6"/>
  <c r="G109" i="6"/>
  <c r="J109" i="6" s="1"/>
  <c r="I107" i="6"/>
  <c r="G107" i="6"/>
  <c r="J107" i="6" s="1"/>
  <c r="J106" i="6" s="1"/>
  <c r="I106" i="6"/>
  <c r="I104" i="6"/>
  <c r="G104" i="6"/>
  <c r="H104" i="6" s="1"/>
  <c r="K104" i="6" s="1"/>
  <c r="I103" i="6"/>
  <c r="G103" i="6"/>
  <c r="J103" i="6" s="1"/>
  <c r="J102" i="6"/>
  <c r="I102" i="6"/>
  <c r="G102" i="6"/>
  <c r="H102" i="6" s="1"/>
  <c r="K102" i="6" s="1"/>
  <c r="I101" i="6"/>
  <c r="J100" i="6"/>
  <c r="I100" i="6"/>
  <c r="G100" i="6"/>
  <c r="H100" i="6" s="1"/>
  <c r="K100" i="6" s="1"/>
  <c r="J99" i="6"/>
  <c r="I99" i="6"/>
  <c r="I96" i="6" s="1"/>
  <c r="G99" i="6"/>
  <c r="H99" i="6" s="1"/>
  <c r="K99" i="6" s="1"/>
  <c r="I98" i="6"/>
  <c r="G98" i="6"/>
  <c r="H98" i="6" s="1"/>
  <c r="K98" i="6" s="1"/>
  <c r="I97" i="6"/>
  <c r="G97" i="6"/>
  <c r="J97" i="6" s="1"/>
  <c r="I95" i="6"/>
  <c r="G95" i="6"/>
  <c r="J95" i="6" s="1"/>
  <c r="I94" i="6"/>
  <c r="G94" i="6"/>
  <c r="J94" i="6" s="1"/>
  <c r="I93" i="6"/>
  <c r="G93" i="6"/>
  <c r="H93" i="6" s="1"/>
  <c r="K93" i="6" s="1"/>
  <c r="I92" i="6"/>
  <c r="G92" i="6"/>
  <c r="H92" i="6" s="1"/>
  <c r="K92" i="6" s="1"/>
  <c r="I91" i="6"/>
  <c r="G91" i="6"/>
  <c r="J91" i="6" s="1"/>
  <c r="I90" i="6"/>
  <c r="G90" i="6"/>
  <c r="H90" i="6" s="1"/>
  <c r="K90" i="6" s="1"/>
  <c r="I89" i="6"/>
  <c r="G89" i="6"/>
  <c r="H89" i="6" s="1"/>
  <c r="K89" i="6" s="1"/>
  <c r="I88" i="6"/>
  <c r="G88" i="6"/>
  <c r="H88" i="6" s="1"/>
  <c r="K88" i="6" s="1"/>
  <c r="I85" i="6"/>
  <c r="G85" i="6"/>
  <c r="H85" i="6" s="1"/>
  <c r="K84" i="6"/>
  <c r="J84" i="6"/>
  <c r="I84" i="6"/>
  <c r="I83" i="6"/>
  <c r="G83" i="6"/>
  <c r="J83" i="6" s="1"/>
  <c r="I82" i="6"/>
  <c r="G82" i="6"/>
  <c r="J82" i="6" s="1"/>
  <c r="I81" i="6"/>
  <c r="G81" i="6"/>
  <c r="H81" i="6" s="1"/>
  <c r="K81" i="6" s="1"/>
  <c r="J80" i="6"/>
  <c r="I80" i="6"/>
  <c r="G80" i="6"/>
  <c r="H80" i="6" s="1"/>
  <c r="K80" i="6" s="1"/>
  <c r="I79" i="6"/>
  <c r="G79" i="6"/>
  <c r="J79" i="6" s="1"/>
  <c r="I78" i="6"/>
  <c r="I77" i="6" s="1"/>
  <c r="G78" i="6"/>
  <c r="H78" i="6" s="1"/>
  <c r="K78" i="6" s="1"/>
  <c r="I76" i="6"/>
  <c r="G76" i="6"/>
  <c r="H76" i="6" s="1"/>
  <c r="K76" i="6" s="1"/>
  <c r="I75" i="6"/>
  <c r="G75" i="6"/>
  <c r="H75" i="6" s="1"/>
  <c r="K75" i="6" s="1"/>
  <c r="I74" i="6"/>
  <c r="G74" i="6"/>
  <c r="J74" i="6" s="1"/>
  <c r="I73" i="6"/>
  <c r="H73" i="6"/>
  <c r="K73" i="6" s="1"/>
  <c r="G73" i="6"/>
  <c r="J73" i="6" s="1"/>
  <c r="I72" i="6"/>
  <c r="G72" i="6"/>
  <c r="H72" i="6" s="1"/>
  <c r="K72" i="6" s="1"/>
  <c r="I71" i="6"/>
  <c r="G71" i="6"/>
  <c r="H71" i="6" s="1"/>
  <c r="K71" i="6" s="1"/>
  <c r="I70" i="6"/>
  <c r="G70" i="6"/>
  <c r="J70" i="6" s="1"/>
  <c r="I69" i="6"/>
  <c r="G69" i="6"/>
  <c r="H69" i="6" s="1"/>
  <c r="K69" i="6" s="1"/>
  <c r="I68" i="6"/>
  <c r="I67" i="6"/>
  <c r="G67" i="6"/>
  <c r="J67" i="6" s="1"/>
  <c r="I66" i="6"/>
  <c r="G66" i="6"/>
  <c r="H66" i="6" s="1"/>
  <c r="K66" i="6" s="1"/>
  <c r="I65" i="6"/>
  <c r="G65" i="6"/>
  <c r="H65" i="6" s="1"/>
  <c r="K65" i="6" s="1"/>
  <c r="I64" i="6"/>
  <c r="G64" i="6"/>
  <c r="J64" i="6" s="1"/>
  <c r="I63" i="6"/>
  <c r="G63" i="6"/>
  <c r="H63" i="6" s="1"/>
  <c r="K63" i="6" s="1"/>
  <c r="J62" i="6"/>
  <c r="I62" i="6"/>
  <c r="G62" i="6"/>
  <c r="H62" i="6" s="1"/>
  <c r="K62" i="6" s="1"/>
  <c r="I61" i="6"/>
  <c r="G61" i="6"/>
  <c r="H61" i="6" s="1"/>
  <c r="K61" i="6" s="1"/>
  <c r="I60" i="6"/>
  <c r="G60" i="6"/>
  <c r="J60" i="6" s="1"/>
  <c r="J59" i="6"/>
  <c r="I59" i="6"/>
  <c r="G59" i="6"/>
  <c r="H59" i="6" s="1"/>
  <c r="K59" i="6" s="1"/>
  <c r="J58" i="6"/>
  <c r="I58" i="6"/>
  <c r="I57" i="6" s="1"/>
  <c r="I56" i="6" s="1"/>
  <c r="G58" i="6"/>
  <c r="H58" i="6" s="1"/>
  <c r="K58" i="6" s="1"/>
  <c r="I55" i="6"/>
  <c r="G55" i="6"/>
  <c r="J55" i="6" s="1"/>
  <c r="I54" i="6"/>
  <c r="I52" i="6" s="1"/>
  <c r="G54" i="6"/>
  <c r="H54" i="6" s="1"/>
  <c r="K54" i="6" s="1"/>
  <c r="I53" i="6"/>
  <c r="G53" i="6"/>
  <c r="H53" i="6" s="1"/>
  <c r="K53" i="6" s="1"/>
  <c r="I51" i="6"/>
  <c r="G51" i="6"/>
  <c r="H51" i="6" s="1"/>
  <c r="K51" i="6" s="1"/>
  <c r="K50" i="6" s="1"/>
  <c r="I50" i="6"/>
  <c r="I49" i="6"/>
  <c r="G49" i="6"/>
  <c r="H49" i="6" s="1"/>
  <c r="K49" i="6" s="1"/>
  <c r="I48" i="6"/>
  <c r="I47" i="6"/>
  <c r="G47" i="6"/>
  <c r="H47" i="6" s="1"/>
  <c r="K47" i="6" s="1"/>
  <c r="I46" i="6"/>
  <c r="G46" i="6"/>
  <c r="J46" i="6" s="1"/>
  <c r="I45" i="6"/>
  <c r="G45" i="6"/>
  <c r="J45" i="6" s="1"/>
  <c r="I44" i="6"/>
  <c r="G44" i="6"/>
  <c r="H44" i="6" s="1"/>
  <c r="K44" i="6" s="1"/>
  <c r="J43" i="6"/>
  <c r="I43" i="6"/>
  <c r="G43" i="6"/>
  <c r="H43" i="6" s="1"/>
  <c r="K43" i="6" s="1"/>
  <c r="I42" i="6"/>
  <c r="G42" i="6"/>
  <c r="J42" i="6" s="1"/>
  <c r="I41" i="6"/>
  <c r="G41" i="6"/>
  <c r="J41" i="6" s="1"/>
  <c r="I40" i="6"/>
  <c r="I39" i="6" s="1"/>
  <c r="G40" i="6"/>
  <c r="H40" i="6" s="1"/>
  <c r="K40" i="6" s="1"/>
  <c r="J38" i="6"/>
  <c r="I38" i="6"/>
  <c r="G38" i="6"/>
  <c r="H38" i="6" s="1"/>
  <c r="K38" i="6" s="1"/>
  <c r="J37" i="6"/>
  <c r="I37" i="6"/>
  <c r="G37" i="6"/>
  <c r="H37" i="6" s="1"/>
  <c r="K37" i="6" s="1"/>
  <c r="I36" i="6"/>
  <c r="G36" i="6"/>
  <c r="J36" i="6" s="1"/>
  <c r="J35" i="6"/>
  <c r="I35" i="6"/>
  <c r="G35" i="6"/>
  <c r="H35" i="6" s="1"/>
  <c r="K35" i="6" s="1"/>
  <c r="J34" i="6"/>
  <c r="I34" i="6"/>
  <c r="I33" i="6" s="1"/>
  <c r="I32" i="6" s="1"/>
  <c r="G34" i="6"/>
  <c r="H34" i="6" s="1"/>
  <c r="K34" i="6" s="1"/>
  <c r="C33" i="6"/>
  <c r="J31" i="6"/>
  <c r="I31" i="6"/>
  <c r="G31" i="6"/>
  <c r="H31" i="6" s="1"/>
  <c r="K31" i="6" s="1"/>
  <c r="I30" i="6"/>
  <c r="G30" i="6"/>
  <c r="H30" i="6" s="1"/>
  <c r="K30" i="6" s="1"/>
  <c r="I29" i="6"/>
  <c r="G29" i="6"/>
  <c r="J29" i="6" s="1"/>
  <c r="I28" i="6"/>
  <c r="G28" i="6"/>
  <c r="H28" i="6" s="1"/>
  <c r="K28" i="6" s="1"/>
  <c r="I27" i="6"/>
  <c r="I25" i="6" s="1"/>
  <c r="G27" i="6"/>
  <c r="H27" i="6" s="1"/>
  <c r="K27" i="6" s="1"/>
  <c r="I26" i="6"/>
  <c r="G26" i="6"/>
  <c r="H26" i="6" s="1"/>
  <c r="K26" i="6" s="1"/>
  <c r="C25" i="6"/>
  <c r="I24" i="6"/>
  <c r="G24" i="6"/>
  <c r="J24" i="6" s="1"/>
  <c r="I23" i="6"/>
  <c r="G23" i="6"/>
  <c r="J23" i="6" s="1"/>
  <c r="I22" i="6"/>
  <c r="I20" i="6" s="1"/>
  <c r="G22" i="6"/>
  <c r="H22" i="6" s="1"/>
  <c r="K22" i="6" s="1"/>
  <c r="J21" i="6"/>
  <c r="I21" i="6"/>
  <c r="G21" i="6"/>
  <c r="H21" i="6" s="1"/>
  <c r="K21" i="6" s="1"/>
  <c r="C20" i="6"/>
  <c r="I19" i="6"/>
  <c r="G19" i="6"/>
  <c r="J19" i="6" s="1"/>
  <c r="I18" i="6"/>
  <c r="G18" i="6"/>
  <c r="J18" i="6" s="1"/>
  <c r="I17" i="6"/>
  <c r="G17" i="6"/>
  <c r="H17" i="6" s="1"/>
  <c r="K17" i="6" s="1"/>
  <c r="I16" i="6"/>
  <c r="G16" i="6"/>
  <c r="H16" i="6" s="1"/>
  <c r="K16" i="6" s="1"/>
  <c r="I15" i="6"/>
  <c r="G15" i="6"/>
  <c r="J15" i="6" s="1"/>
  <c r="J14" i="6"/>
  <c r="I14" i="6"/>
  <c r="H14" i="6"/>
  <c r="K14" i="6" s="1"/>
  <c r="G14" i="6"/>
  <c r="I13" i="6"/>
  <c r="I11" i="6" s="1"/>
  <c r="G13" i="6"/>
  <c r="H13" i="6" s="1"/>
  <c r="K13" i="6" s="1"/>
  <c r="I12" i="6"/>
  <c r="G12" i="6"/>
  <c r="H12" i="6" s="1"/>
  <c r="K12" i="6" s="1"/>
  <c r="C11" i="6"/>
  <c r="K31" i="5"/>
  <c r="M30" i="5"/>
  <c r="K30" i="5"/>
  <c r="K29" i="5"/>
  <c r="K28" i="5"/>
  <c r="U27" i="5"/>
  <c r="T27" i="5"/>
  <c r="S27" i="5"/>
  <c r="R27" i="5"/>
  <c r="Q27" i="5"/>
  <c r="P27" i="5"/>
  <c r="O27" i="5"/>
  <c r="N27" i="5"/>
  <c r="M27" i="5"/>
  <c r="L27" i="5"/>
  <c r="K27" i="5" s="1"/>
  <c r="B18" i="5"/>
  <c r="AM15" i="5"/>
  <c r="AL15" i="5"/>
  <c r="AK15" i="5"/>
  <c r="AJ15" i="5"/>
  <c r="AI15" i="5"/>
  <c r="AH15" i="5"/>
  <c r="AG15" i="5"/>
  <c r="AF15" i="5"/>
  <c r="AE15" i="5"/>
  <c r="AD15" i="5"/>
  <c r="AC15" i="5"/>
  <c r="AB15" i="5"/>
  <c r="AN15" i="5" s="1"/>
  <c r="AA15" i="5"/>
  <c r="Z15" i="5"/>
  <c r="Y15" i="5"/>
  <c r="X15" i="5"/>
  <c r="W15" i="5"/>
  <c r="U15" i="5"/>
  <c r="T15" i="5"/>
  <c r="S15" i="5"/>
  <c r="R15" i="5"/>
  <c r="Q15" i="5"/>
  <c r="P15" i="5"/>
  <c r="O15" i="5"/>
  <c r="N15" i="5"/>
  <c r="M15" i="5"/>
  <c r="L15" i="5"/>
  <c r="V15" i="5" s="1"/>
  <c r="U14" i="5"/>
  <c r="T14" i="5"/>
  <c r="S14" i="5"/>
  <c r="R14" i="5"/>
  <c r="Q14" i="5"/>
  <c r="P14" i="5"/>
  <c r="O14" i="5"/>
  <c r="N14" i="5"/>
  <c r="M14" i="5"/>
  <c r="L14" i="5"/>
  <c r="K14" i="5"/>
  <c r="B13" i="5"/>
  <c r="K8" i="5"/>
  <c r="K7" i="5"/>
  <c r="I228" i="4"/>
  <c r="G228" i="4"/>
  <c r="J228" i="4" s="1"/>
  <c r="I227" i="4"/>
  <c r="I223" i="4" s="1"/>
  <c r="G227" i="4"/>
  <c r="J227" i="4" s="1"/>
  <c r="I226" i="4"/>
  <c r="G226" i="4"/>
  <c r="H226" i="4" s="1"/>
  <c r="K226" i="4" s="1"/>
  <c r="I225" i="4"/>
  <c r="G225" i="4"/>
  <c r="J225" i="4" s="1"/>
  <c r="I224" i="4"/>
  <c r="G224" i="4"/>
  <c r="J224" i="4" s="1"/>
  <c r="I222" i="4"/>
  <c r="G222" i="4"/>
  <c r="J222" i="4" s="1"/>
  <c r="I221" i="4"/>
  <c r="G221" i="4"/>
  <c r="H221" i="4" s="1"/>
  <c r="K221" i="4" s="1"/>
  <c r="I220" i="4"/>
  <c r="G220" i="4"/>
  <c r="H220" i="4" s="1"/>
  <c r="K220" i="4" s="1"/>
  <c r="I219" i="4"/>
  <c r="G219" i="4"/>
  <c r="J219" i="4" s="1"/>
  <c r="J218" i="4"/>
  <c r="I218" i="4"/>
  <c r="G218" i="4"/>
  <c r="H218" i="4" s="1"/>
  <c r="K218" i="4" s="1"/>
  <c r="I217" i="4"/>
  <c r="I216" i="4" s="1"/>
  <c r="G217" i="4"/>
  <c r="H217" i="4" s="1"/>
  <c r="K217" i="4" s="1"/>
  <c r="I215" i="4"/>
  <c r="I212" i="4" s="1"/>
  <c r="G215" i="4"/>
  <c r="H215" i="4" s="1"/>
  <c r="K215" i="4" s="1"/>
  <c r="I214" i="4"/>
  <c r="G214" i="4"/>
  <c r="H214" i="4" s="1"/>
  <c r="K214" i="4" s="1"/>
  <c r="I213" i="4"/>
  <c r="G213" i="4"/>
  <c r="J213" i="4" s="1"/>
  <c r="I211" i="4"/>
  <c r="H211" i="4"/>
  <c r="K211" i="4" s="1"/>
  <c r="G211" i="4"/>
  <c r="J211" i="4" s="1"/>
  <c r="I210" i="4"/>
  <c r="H210" i="4"/>
  <c r="K210" i="4" s="1"/>
  <c r="G210" i="4"/>
  <c r="J210" i="4" s="1"/>
  <c r="I209" i="4"/>
  <c r="I206" i="4" s="1"/>
  <c r="G209" i="4"/>
  <c r="H209" i="4" s="1"/>
  <c r="K209" i="4" s="1"/>
  <c r="I208" i="4"/>
  <c r="G208" i="4"/>
  <c r="H208" i="4" s="1"/>
  <c r="K208" i="4" s="1"/>
  <c r="I207" i="4"/>
  <c r="G207" i="4"/>
  <c r="J207" i="4" s="1"/>
  <c r="I205" i="4"/>
  <c r="G205" i="4"/>
  <c r="J205" i="4" s="1"/>
  <c r="I204" i="4"/>
  <c r="G204" i="4"/>
  <c r="H204" i="4" s="1"/>
  <c r="K204" i="4" s="1"/>
  <c r="I203" i="4"/>
  <c r="I201" i="4" s="1"/>
  <c r="G203" i="4"/>
  <c r="H203" i="4" s="1"/>
  <c r="K203" i="4" s="1"/>
  <c r="I202" i="4"/>
  <c r="G202" i="4"/>
  <c r="H202" i="4" s="1"/>
  <c r="K202" i="4" s="1"/>
  <c r="I200" i="4"/>
  <c r="G200" i="4"/>
  <c r="H200" i="4" s="1"/>
  <c r="K200" i="4" s="1"/>
  <c r="I199" i="4"/>
  <c r="G199" i="4"/>
  <c r="J199" i="4" s="1"/>
  <c r="I198" i="4"/>
  <c r="G198" i="4"/>
  <c r="J198" i="4" s="1"/>
  <c r="I197" i="4"/>
  <c r="G197" i="4"/>
  <c r="H197" i="4" s="1"/>
  <c r="K197" i="4" s="1"/>
  <c r="I196" i="4"/>
  <c r="G196" i="4"/>
  <c r="I195" i="4"/>
  <c r="G195" i="4"/>
  <c r="J195" i="4" s="1"/>
  <c r="I194" i="4"/>
  <c r="G194" i="4"/>
  <c r="J194" i="4" s="1"/>
  <c r="I193" i="4"/>
  <c r="G193" i="4"/>
  <c r="H193" i="4" s="1"/>
  <c r="K193" i="4" s="1"/>
  <c r="I191" i="4"/>
  <c r="G191" i="4"/>
  <c r="H191" i="4" s="1"/>
  <c r="K191" i="4" s="1"/>
  <c r="I190" i="4"/>
  <c r="G190" i="4"/>
  <c r="I189" i="4"/>
  <c r="G189" i="4"/>
  <c r="I188" i="4"/>
  <c r="G188" i="4"/>
  <c r="J188" i="4" s="1"/>
  <c r="I187" i="4"/>
  <c r="G187" i="4"/>
  <c r="H187" i="4" s="1"/>
  <c r="K187" i="4" s="1"/>
  <c r="I186" i="4"/>
  <c r="G186" i="4"/>
  <c r="H186" i="4" s="1"/>
  <c r="K186" i="4" s="1"/>
  <c r="I185" i="4"/>
  <c r="G185" i="4"/>
  <c r="J185" i="4" s="1"/>
  <c r="I184" i="4"/>
  <c r="G184" i="4"/>
  <c r="J184" i="4" s="1"/>
  <c r="I183" i="4"/>
  <c r="G183" i="4"/>
  <c r="H183" i="4" s="1"/>
  <c r="K183" i="4" s="1"/>
  <c r="I182" i="4"/>
  <c r="G182" i="4"/>
  <c r="I181" i="4"/>
  <c r="G181" i="4"/>
  <c r="I180" i="4"/>
  <c r="G180" i="4"/>
  <c r="J180" i="4" s="1"/>
  <c r="I179" i="4"/>
  <c r="I177" i="4" s="1"/>
  <c r="G179" i="4"/>
  <c r="H179" i="4" s="1"/>
  <c r="K179" i="4" s="1"/>
  <c r="I178" i="4"/>
  <c r="G178" i="4"/>
  <c r="H178" i="4" s="1"/>
  <c r="K178" i="4" s="1"/>
  <c r="I176" i="4"/>
  <c r="G176" i="4"/>
  <c r="H176" i="4" s="1"/>
  <c r="K176" i="4" s="1"/>
  <c r="I175" i="4"/>
  <c r="G175" i="4"/>
  <c r="J175" i="4" s="1"/>
  <c r="I174" i="4"/>
  <c r="G174" i="4"/>
  <c r="J174" i="4" s="1"/>
  <c r="J173" i="4"/>
  <c r="I173" i="4"/>
  <c r="G173" i="4"/>
  <c r="H173" i="4" s="1"/>
  <c r="K173" i="4" s="1"/>
  <c r="I172" i="4"/>
  <c r="G172" i="4"/>
  <c r="H172" i="4" s="1"/>
  <c r="K172" i="4" s="1"/>
  <c r="I171" i="4"/>
  <c r="G171" i="4"/>
  <c r="J171" i="4" s="1"/>
  <c r="I170" i="4"/>
  <c r="G170" i="4"/>
  <c r="J170" i="4" s="1"/>
  <c r="I169" i="4"/>
  <c r="G169" i="4"/>
  <c r="H169" i="4" s="1"/>
  <c r="K169" i="4" s="1"/>
  <c r="I168" i="4"/>
  <c r="G168" i="4"/>
  <c r="I167" i="4"/>
  <c r="G167" i="4"/>
  <c r="J167" i="4" s="1"/>
  <c r="I166" i="4"/>
  <c r="G166" i="4"/>
  <c r="J166" i="4" s="1"/>
  <c r="I165" i="4"/>
  <c r="G165" i="4"/>
  <c r="H165" i="4" s="1"/>
  <c r="K165" i="4" s="1"/>
  <c r="I164" i="4"/>
  <c r="G164" i="4"/>
  <c r="I163" i="4"/>
  <c r="G163" i="4"/>
  <c r="I162" i="4"/>
  <c r="H162" i="4"/>
  <c r="K162" i="4" s="1"/>
  <c r="G162" i="4"/>
  <c r="J162" i="4" s="1"/>
  <c r="I161" i="4"/>
  <c r="G161" i="4"/>
  <c r="J161" i="4" s="1"/>
  <c r="I160" i="4"/>
  <c r="G160" i="4"/>
  <c r="H160" i="4" s="1"/>
  <c r="K160" i="4" s="1"/>
  <c r="I159" i="4"/>
  <c r="H159" i="4"/>
  <c r="K159" i="4" s="1"/>
  <c r="G159" i="4"/>
  <c r="J159" i="4" s="1"/>
  <c r="I158" i="4"/>
  <c r="G158" i="4"/>
  <c r="J158" i="4" s="1"/>
  <c r="I157" i="4"/>
  <c r="G157" i="4"/>
  <c r="J157" i="4" s="1"/>
  <c r="I154" i="4"/>
  <c r="G154" i="4"/>
  <c r="J154" i="4" s="1"/>
  <c r="I153" i="4"/>
  <c r="G153" i="4"/>
  <c r="H153" i="4" s="1"/>
  <c r="K153" i="4" s="1"/>
  <c r="I152" i="4"/>
  <c r="G152" i="4"/>
  <c r="I151" i="4"/>
  <c r="G151" i="4"/>
  <c r="J151" i="4" s="1"/>
  <c r="I150" i="4"/>
  <c r="G150" i="4"/>
  <c r="J150" i="4" s="1"/>
  <c r="I149" i="4"/>
  <c r="G149" i="4"/>
  <c r="J149" i="4" s="1"/>
  <c r="I148" i="4"/>
  <c r="G148" i="4"/>
  <c r="I147" i="4"/>
  <c r="G147" i="4"/>
  <c r="I146" i="4"/>
  <c r="G146" i="4"/>
  <c r="J146" i="4" s="1"/>
  <c r="I145" i="4"/>
  <c r="G145" i="4"/>
  <c r="J145" i="4" s="1"/>
  <c r="I144" i="4"/>
  <c r="G144" i="4"/>
  <c r="H144" i="4" s="1"/>
  <c r="K144" i="4" s="1"/>
  <c r="I142" i="4"/>
  <c r="G142" i="4"/>
  <c r="I141" i="4"/>
  <c r="G141" i="4"/>
  <c r="I140" i="4"/>
  <c r="G140" i="4"/>
  <c r="J140" i="4" s="1"/>
  <c r="I139" i="4"/>
  <c r="G139" i="4"/>
  <c r="J139" i="4" s="1"/>
  <c r="I138" i="4"/>
  <c r="G138" i="4"/>
  <c r="H138" i="4" s="1"/>
  <c r="K138" i="4" s="1"/>
  <c r="I137" i="4"/>
  <c r="G137" i="4"/>
  <c r="J137" i="4" s="1"/>
  <c r="I136" i="4"/>
  <c r="I135" i="4" s="1"/>
  <c r="G136" i="4"/>
  <c r="J136" i="4" s="1"/>
  <c r="I134" i="4"/>
  <c r="G134" i="4"/>
  <c r="J134" i="4" s="1"/>
  <c r="I133" i="4"/>
  <c r="G133" i="4"/>
  <c r="J133" i="4" s="1"/>
  <c r="J132" i="4"/>
  <c r="I132" i="4"/>
  <c r="G132" i="4"/>
  <c r="H132" i="4" s="1"/>
  <c r="K132" i="4" s="1"/>
  <c r="I131" i="4"/>
  <c r="G131" i="4"/>
  <c r="J131" i="4" s="1"/>
  <c r="I130" i="4"/>
  <c r="I129" i="4"/>
  <c r="G129" i="4"/>
  <c r="I128" i="4"/>
  <c r="H128" i="4"/>
  <c r="K128" i="4" s="1"/>
  <c r="G128" i="4"/>
  <c r="J128" i="4" s="1"/>
  <c r="I127" i="4"/>
  <c r="G127" i="4"/>
  <c r="J127" i="4" s="1"/>
  <c r="I126" i="4"/>
  <c r="G126" i="4"/>
  <c r="H126" i="4" s="1"/>
  <c r="K126" i="4" s="1"/>
  <c r="I125" i="4"/>
  <c r="G125" i="4"/>
  <c r="J125" i="4" s="1"/>
  <c r="I124" i="4"/>
  <c r="G124" i="4"/>
  <c r="J124" i="4" s="1"/>
  <c r="I123" i="4"/>
  <c r="G123" i="4"/>
  <c r="H123" i="4" s="1"/>
  <c r="K123" i="4" s="1"/>
  <c r="I122" i="4"/>
  <c r="G122" i="4"/>
  <c r="I121" i="4"/>
  <c r="G121" i="4"/>
  <c r="J121" i="4" s="1"/>
  <c r="I120" i="4"/>
  <c r="G120" i="4"/>
  <c r="J120" i="4" s="1"/>
  <c r="I119" i="4"/>
  <c r="G119" i="4"/>
  <c r="H119" i="4" s="1"/>
  <c r="K119" i="4" s="1"/>
  <c r="I118" i="4"/>
  <c r="G118" i="4"/>
  <c r="H118" i="4" s="1"/>
  <c r="K118" i="4" s="1"/>
  <c r="I117" i="4"/>
  <c r="G117" i="4"/>
  <c r="J117" i="4" s="1"/>
  <c r="I116" i="4"/>
  <c r="G116" i="4"/>
  <c r="J116" i="4" s="1"/>
  <c r="I115" i="4"/>
  <c r="G115" i="4"/>
  <c r="H115" i="4" s="1"/>
  <c r="K115" i="4" s="1"/>
  <c r="I114" i="4"/>
  <c r="G114" i="4"/>
  <c r="I113" i="4"/>
  <c r="G113" i="4"/>
  <c r="J113" i="4" s="1"/>
  <c r="I112" i="4"/>
  <c r="G112" i="4"/>
  <c r="J112" i="4" s="1"/>
  <c r="I111" i="4"/>
  <c r="G111" i="4"/>
  <c r="I110" i="4"/>
  <c r="G110" i="4"/>
  <c r="J110" i="4" s="1"/>
  <c r="I109" i="4"/>
  <c r="G109" i="4"/>
  <c r="J109" i="4" s="1"/>
  <c r="I108" i="4"/>
  <c r="I107" i="4"/>
  <c r="G107" i="4"/>
  <c r="J107" i="4" s="1"/>
  <c r="J106" i="4" s="1"/>
  <c r="I106" i="4"/>
  <c r="I104" i="4"/>
  <c r="G104" i="4"/>
  <c r="J104" i="4" s="1"/>
  <c r="I103" i="4"/>
  <c r="G103" i="4"/>
  <c r="J103" i="4" s="1"/>
  <c r="I102" i="4"/>
  <c r="I101" i="4" s="1"/>
  <c r="G102" i="4"/>
  <c r="H102" i="4" s="1"/>
  <c r="K102" i="4" s="1"/>
  <c r="I100" i="4"/>
  <c r="G100" i="4"/>
  <c r="H100" i="4" s="1"/>
  <c r="K100" i="4" s="1"/>
  <c r="I99" i="4"/>
  <c r="G99" i="4"/>
  <c r="J99" i="4" s="1"/>
  <c r="I98" i="4"/>
  <c r="H98" i="4"/>
  <c r="K98" i="4" s="1"/>
  <c r="G98" i="4"/>
  <c r="J98" i="4" s="1"/>
  <c r="J97" i="4"/>
  <c r="I97" i="4"/>
  <c r="H97" i="4"/>
  <c r="K97" i="4" s="1"/>
  <c r="G97" i="4"/>
  <c r="I96" i="4"/>
  <c r="I95" i="4"/>
  <c r="G95" i="4"/>
  <c r="J95" i="4" s="1"/>
  <c r="I94" i="4"/>
  <c r="G94" i="4"/>
  <c r="H94" i="4" s="1"/>
  <c r="K94" i="4" s="1"/>
  <c r="I93" i="4"/>
  <c r="H93" i="4"/>
  <c r="K93" i="4" s="1"/>
  <c r="G93" i="4"/>
  <c r="J93" i="4" s="1"/>
  <c r="I92" i="4"/>
  <c r="G92" i="4"/>
  <c r="J92" i="4" s="1"/>
  <c r="I91" i="4"/>
  <c r="G91" i="4"/>
  <c r="J91" i="4" s="1"/>
  <c r="I90" i="4"/>
  <c r="G90" i="4"/>
  <c r="H90" i="4" s="1"/>
  <c r="K90" i="4" s="1"/>
  <c r="I89" i="4"/>
  <c r="G89" i="4"/>
  <c r="J89" i="4" s="1"/>
  <c r="I88" i="4"/>
  <c r="G88" i="4"/>
  <c r="J88" i="4" s="1"/>
  <c r="I87" i="4"/>
  <c r="I86" i="4" s="1"/>
  <c r="I85" i="4"/>
  <c r="G85" i="4"/>
  <c r="H85" i="4" s="1"/>
  <c r="I84" i="4"/>
  <c r="I83" i="4"/>
  <c r="G83" i="4"/>
  <c r="J83" i="4" s="1"/>
  <c r="I82" i="4"/>
  <c r="G82" i="4"/>
  <c r="H82" i="4" s="1"/>
  <c r="K82" i="4" s="1"/>
  <c r="I81" i="4"/>
  <c r="G81" i="4"/>
  <c r="J81" i="4" s="1"/>
  <c r="I80" i="4"/>
  <c r="G80" i="4"/>
  <c r="J80" i="4" s="1"/>
  <c r="I79" i="4"/>
  <c r="G79" i="4"/>
  <c r="J79" i="4" s="1"/>
  <c r="I78" i="4"/>
  <c r="I77" i="4" s="1"/>
  <c r="G78" i="4"/>
  <c r="H78" i="4" s="1"/>
  <c r="K78" i="4" s="1"/>
  <c r="I76" i="4"/>
  <c r="G76" i="4"/>
  <c r="H76" i="4" s="1"/>
  <c r="K76" i="4" s="1"/>
  <c r="I75" i="4"/>
  <c r="G75" i="4"/>
  <c r="J75" i="4" s="1"/>
  <c r="I74" i="4"/>
  <c r="G74" i="4"/>
  <c r="J74" i="4" s="1"/>
  <c r="I73" i="4"/>
  <c r="G73" i="4"/>
  <c r="J73" i="4" s="1"/>
  <c r="I72" i="4"/>
  <c r="G72" i="4"/>
  <c r="H72" i="4" s="1"/>
  <c r="K72" i="4" s="1"/>
  <c r="I71" i="4"/>
  <c r="G71" i="4"/>
  <c r="J71" i="4" s="1"/>
  <c r="I70" i="4"/>
  <c r="G70" i="4"/>
  <c r="J70" i="4" s="1"/>
  <c r="I69" i="4"/>
  <c r="G69" i="4"/>
  <c r="J69" i="4" s="1"/>
  <c r="I68" i="4"/>
  <c r="I67" i="4"/>
  <c r="G67" i="4"/>
  <c r="J67" i="4" s="1"/>
  <c r="I66" i="4"/>
  <c r="G66" i="4"/>
  <c r="H66" i="4" s="1"/>
  <c r="K66" i="4" s="1"/>
  <c r="I65" i="4"/>
  <c r="G65" i="4"/>
  <c r="J65" i="4" s="1"/>
  <c r="I64" i="4"/>
  <c r="G64" i="4"/>
  <c r="J64" i="4" s="1"/>
  <c r="I63" i="4"/>
  <c r="H63" i="4"/>
  <c r="K63" i="4" s="1"/>
  <c r="G63" i="4"/>
  <c r="J63" i="4" s="1"/>
  <c r="I62" i="4"/>
  <c r="G62" i="4"/>
  <c r="H62" i="4" s="1"/>
  <c r="K62" i="4" s="1"/>
  <c r="I61" i="4"/>
  <c r="G61" i="4"/>
  <c r="J61" i="4" s="1"/>
  <c r="I60" i="4"/>
  <c r="G60" i="4"/>
  <c r="J60" i="4" s="1"/>
  <c r="I59" i="4"/>
  <c r="G59" i="4"/>
  <c r="J59" i="4" s="1"/>
  <c r="I58" i="4"/>
  <c r="G58" i="4"/>
  <c r="H58" i="4" s="1"/>
  <c r="K58" i="4" s="1"/>
  <c r="I55" i="4"/>
  <c r="G55" i="4"/>
  <c r="J55" i="4" s="1"/>
  <c r="I54" i="4"/>
  <c r="G54" i="4"/>
  <c r="H54" i="4" s="1"/>
  <c r="K54" i="4" s="1"/>
  <c r="I53" i="4"/>
  <c r="G53" i="4"/>
  <c r="J53" i="4" s="1"/>
  <c r="I52" i="4"/>
  <c r="I51" i="4"/>
  <c r="G51" i="4"/>
  <c r="H51" i="4" s="1"/>
  <c r="K51" i="4" s="1"/>
  <c r="K50" i="4" s="1"/>
  <c r="I50" i="4"/>
  <c r="I49" i="4"/>
  <c r="G49" i="4"/>
  <c r="J49" i="4" s="1"/>
  <c r="I48" i="4"/>
  <c r="I47" i="4"/>
  <c r="G47" i="4"/>
  <c r="J47" i="4" s="1"/>
  <c r="I46" i="4"/>
  <c r="G46" i="4"/>
  <c r="J46" i="4" s="1"/>
  <c r="I45" i="4"/>
  <c r="G45" i="4"/>
  <c r="H45" i="4" s="1"/>
  <c r="K45" i="4" s="1"/>
  <c r="I44" i="4"/>
  <c r="G44" i="4"/>
  <c r="H44" i="4" s="1"/>
  <c r="K44" i="4" s="1"/>
  <c r="I43" i="4"/>
  <c r="G43" i="4"/>
  <c r="J43" i="4" s="1"/>
  <c r="I42" i="4"/>
  <c r="G42" i="4"/>
  <c r="J42" i="4" s="1"/>
  <c r="I41" i="4"/>
  <c r="G41" i="4"/>
  <c r="J41" i="4" s="1"/>
  <c r="I40" i="4"/>
  <c r="G40" i="4"/>
  <c r="H40" i="4" s="1"/>
  <c r="K40" i="4" s="1"/>
  <c r="I38" i="4"/>
  <c r="G38" i="4"/>
  <c r="H38" i="4" s="1"/>
  <c r="K38" i="4" s="1"/>
  <c r="I37" i="4"/>
  <c r="G37" i="4"/>
  <c r="J37" i="4" s="1"/>
  <c r="I36" i="4"/>
  <c r="H36" i="4"/>
  <c r="K36" i="4" s="1"/>
  <c r="G36" i="4"/>
  <c r="J36" i="4" s="1"/>
  <c r="I35" i="4"/>
  <c r="G35" i="4"/>
  <c r="J35" i="4" s="1"/>
  <c r="I34" i="4"/>
  <c r="I33" i="4" s="1"/>
  <c r="G34" i="4"/>
  <c r="H34" i="4" s="1"/>
  <c r="K34" i="4" s="1"/>
  <c r="C33" i="4"/>
  <c r="I31" i="4"/>
  <c r="G31" i="4"/>
  <c r="H31" i="4" s="1"/>
  <c r="K31" i="4" s="1"/>
  <c r="I30" i="4"/>
  <c r="G30" i="4"/>
  <c r="J30" i="4" s="1"/>
  <c r="I29" i="4"/>
  <c r="H29" i="4"/>
  <c r="K29" i="4" s="1"/>
  <c r="G29" i="4"/>
  <c r="J29" i="4" s="1"/>
  <c r="I28" i="4"/>
  <c r="I25" i="4" s="1"/>
  <c r="H28" i="4"/>
  <c r="K28" i="4" s="1"/>
  <c r="G28" i="4"/>
  <c r="J28" i="4" s="1"/>
  <c r="I27" i="4"/>
  <c r="G27" i="4"/>
  <c r="H27" i="4" s="1"/>
  <c r="K27" i="4" s="1"/>
  <c r="I26" i="4"/>
  <c r="G26" i="4"/>
  <c r="J26" i="4" s="1"/>
  <c r="C25" i="4"/>
  <c r="I24" i="4"/>
  <c r="G24" i="4"/>
  <c r="J24" i="4" s="1"/>
  <c r="I23" i="4"/>
  <c r="I20" i="4" s="1"/>
  <c r="G23" i="4"/>
  <c r="H23" i="4" s="1"/>
  <c r="K23" i="4" s="1"/>
  <c r="J22" i="4"/>
  <c r="I22" i="4"/>
  <c r="G22" i="4"/>
  <c r="H22" i="4" s="1"/>
  <c r="K22" i="4" s="1"/>
  <c r="I21" i="4"/>
  <c r="G21" i="4"/>
  <c r="J21" i="4" s="1"/>
  <c r="C20" i="4"/>
  <c r="I19" i="4"/>
  <c r="G19" i="4"/>
  <c r="J19" i="4" s="1"/>
  <c r="I18" i="4"/>
  <c r="G18" i="4"/>
  <c r="J18" i="4" s="1"/>
  <c r="I17" i="4"/>
  <c r="G17" i="4"/>
  <c r="H17" i="4" s="1"/>
  <c r="K17" i="4" s="1"/>
  <c r="I16" i="4"/>
  <c r="G16" i="4"/>
  <c r="J16" i="4" s="1"/>
  <c r="I15" i="4"/>
  <c r="G15" i="4"/>
  <c r="J15" i="4" s="1"/>
  <c r="I14" i="4"/>
  <c r="I11" i="4" s="1"/>
  <c r="G14" i="4"/>
  <c r="J14" i="4" s="1"/>
  <c r="I13" i="4"/>
  <c r="G13" i="4"/>
  <c r="H13" i="4" s="1"/>
  <c r="K13" i="4" s="1"/>
  <c r="I12" i="4"/>
  <c r="G12" i="4"/>
  <c r="J12" i="4" s="1"/>
  <c r="C11" i="4"/>
  <c r="B18" i="3"/>
  <c r="L16" i="3"/>
  <c r="L15" i="3"/>
  <c r="B13" i="3"/>
  <c r="I228" i="2"/>
  <c r="G228" i="2"/>
  <c r="J228" i="2" s="1"/>
  <c r="I227" i="2"/>
  <c r="G227" i="2"/>
  <c r="H227" i="2" s="1"/>
  <c r="K227" i="2" s="1"/>
  <c r="I226" i="2"/>
  <c r="G226" i="2"/>
  <c r="H226" i="2" s="1"/>
  <c r="K226" i="2" s="1"/>
  <c r="I225" i="2"/>
  <c r="G225" i="2"/>
  <c r="I224" i="2"/>
  <c r="G224" i="2"/>
  <c r="J224" i="2" s="1"/>
  <c r="I223" i="2"/>
  <c r="I222" i="2"/>
  <c r="G222" i="2"/>
  <c r="J222" i="2" s="1"/>
  <c r="I221" i="2"/>
  <c r="G221" i="2"/>
  <c r="H221" i="2" s="1"/>
  <c r="K221" i="2" s="1"/>
  <c r="I220" i="2"/>
  <c r="G220" i="2"/>
  <c r="H220" i="2" s="1"/>
  <c r="K220" i="2" s="1"/>
  <c r="I219" i="2"/>
  <c r="G219" i="2"/>
  <c r="I218" i="2"/>
  <c r="G218" i="2"/>
  <c r="J218" i="2" s="1"/>
  <c r="I217" i="2"/>
  <c r="G217" i="2"/>
  <c r="H217" i="2" s="1"/>
  <c r="K217" i="2" s="1"/>
  <c r="I215" i="2"/>
  <c r="G215" i="2"/>
  <c r="H215" i="2" s="1"/>
  <c r="K215" i="2" s="1"/>
  <c r="I214" i="2"/>
  <c r="G214" i="2"/>
  <c r="J214" i="2" s="1"/>
  <c r="I213" i="2"/>
  <c r="G213" i="2"/>
  <c r="I211" i="2"/>
  <c r="G211" i="2"/>
  <c r="I210" i="2"/>
  <c r="G210" i="2"/>
  <c r="J210" i="2" s="1"/>
  <c r="I209" i="2"/>
  <c r="G209" i="2"/>
  <c r="H209" i="2" s="1"/>
  <c r="K209" i="2" s="1"/>
  <c r="I208" i="2"/>
  <c r="G208" i="2"/>
  <c r="H208" i="2" s="1"/>
  <c r="K208" i="2" s="1"/>
  <c r="I207" i="2"/>
  <c r="G207" i="2"/>
  <c r="I205" i="2"/>
  <c r="G205" i="2"/>
  <c r="I204" i="2"/>
  <c r="G204" i="2"/>
  <c r="H204" i="2" s="1"/>
  <c r="K204" i="2" s="1"/>
  <c r="I203" i="2"/>
  <c r="I201" i="2" s="1"/>
  <c r="G203" i="2"/>
  <c r="H203" i="2" s="1"/>
  <c r="K203" i="2" s="1"/>
  <c r="I202" i="2"/>
  <c r="G202" i="2"/>
  <c r="J202" i="2" s="1"/>
  <c r="I200" i="2"/>
  <c r="G200" i="2"/>
  <c r="J200" i="2" s="1"/>
  <c r="I199" i="2"/>
  <c r="G199" i="2"/>
  <c r="I198" i="2"/>
  <c r="G198" i="2"/>
  <c r="H198" i="2" s="1"/>
  <c r="K198" i="2" s="1"/>
  <c r="I197" i="2"/>
  <c r="G197" i="2"/>
  <c r="H197" i="2" s="1"/>
  <c r="K197" i="2" s="1"/>
  <c r="I196" i="2"/>
  <c r="G196" i="2"/>
  <c r="J196" i="2" s="1"/>
  <c r="I195" i="2"/>
  <c r="G195" i="2"/>
  <c r="I194" i="2"/>
  <c r="G194" i="2"/>
  <c r="H194" i="2" s="1"/>
  <c r="K194" i="2" s="1"/>
  <c r="I193" i="2"/>
  <c r="I192" i="2" s="1"/>
  <c r="G193" i="2"/>
  <c r="H193" i="2" s="1"/>
  <c r="K193" i="2" s="1"/>
  <c r="I191" i="2"/>
  <c r="G191" i="2"/>
  <c r="H191" i="2" s="1"/>
  <c r="K191" i="2" s="1"/>
  <c r="I190" i="2"/>
  <c r="G190" i="2"/>
  <c r="H190" i="2" s="1"/>
  <c r="K190" i="2" s="1"/>
  <c r="I189" i="2"/>
  <c r="G189" i="2"/>
  <c r="I188" i="2"/>
  <c r="G188" i="2"/>
  <c r="J188" i="2" s="1"/>
  <c r="I187" i="2"/>
  <c r="G187" i="2"/>
  <c r="H187" i="2" s="1"/>
  <c r="K187" i="2" s="1"/>
  <c r="I186" i="2"/>
  <c r="G186" i="2"/>
  <c r="H186" i="2" s="1"/>
  <c r="K186" i="2" s="1"/>
  <c r="I185" i="2"/>
  <c r="G185" i="2"/>
  <c r="I184" i="2"/>
  <c r="G184" i="2"/>
  <c r="J184" i="2" s="1"/>
  <c r="I183" i="2"/>
  <c r="G183" i="2"/>
  <c r="H183" i="2" s="1"/>
  <c r="K183" i="2" s="1"/>
  <c r="I182" i="2"/>
  <c r="G182" i="2"/>
  <c r="H182" i="2" s="1"/>
  <c r="K182" i="2" s="1"/>
  <c r="I181" i="2"/>
  <c r="G181" i="2"/>
  <c r="I180" i="2"/>
  <c r="H180" i="2"/>
  <c r="K180" i="2" s="1"/>
  <c r="G180" i="2"/>
  <c r="J180" i="2" s="1"/>
  <c r="I179" i="2"/>
  <c r="G179" i="2"/>
  <c r="H179" i="2" s="1"/>
  <c r="K179" i="2" s="1"/>
  <c r="I178" i="2"/>
  <c r="G178" i="2"/>
  <c r="H178" i="2" s="1"/>
  <c r="K178" i="2" s="1"/>
  <c r="J176" i="2"/>
  <c r="I176" i="2"/>
  <c r="G176" i="2"/>
  <c r="H176" i="2" s="1"/>
  <c r="K176" i="2" s="1"/>
  <c r="I175" i="2"/>
  <c r="G175" i="2"/>
  <c r="I174" i="2"/>
  <c r="G174" i="2"/>
  <c r="J174" i="2" s="1"/>
  <c r="I173" i="2"/>
  <c r="G173" i="2"/>
  <c r="H173" i="2" s="1"/>
  <c r="K173" i="2" s="1"/>
  <c r="I172" i="2"/>
  <c r="G172" i="2"/>
  <c r="H172" i="2" s="1"/>
  <c r="K172" i="2" s="1"/>
  <c r="I171" i="2"/>
  <c r="G171" i="2"/>
  <c r="I170" i="2"/>
  <c r="G170" i="2"/>
  <c r="J170" i="2" s="1"/>
  <c r="I169" i="2"/>
  <c r="G169" i="2"/>
  <c r="H169" i="2" s="1"/>
  <c r="K169" i="2" s="1"/>
  <c r="I168" i="2"/>
  <c r="G168" i="2"/>
  <c r="H168" i="2" s="1"/>
  <c r="K168" i="2" s="1"/>
  <c r="I167" i="2"/>
  <c r="G167" i="2"/>
  <c r="I166" i="2"/>
  <c r="G166" i="2"/>
  <c r="J166" i="2" s="1"/>
  <c r="I165" i="2"/>
  <c r="G165" i="2"/>
  <c r="H165" i="2" s="1"/>
  <c r="K165" i="2" s="1"/>
  <c r="I164" i="2"/>
  <c r="G164" i="2"/>
  <c r="H164" i="2" s="1"/>
  <c r="K164" i="2" s="1"/>
  <c r="I163" i="2"/>
  <c r="G163" i="2"/>
  <c r="I162" i="2"/>
  <c r="G162" i="2"/>
  <c r="J162" i="2" s="1"/>
  <c r="I161" i="2"/>
  <c r="G161" i="2"/>
  <c r="I160" i="2"/>
  <c r="G160" i="2"/>
  <c r="H160" i="2" s="1"/>
  <c r="K160" i="2" s="1"/>
  <c r="I159" i="2"/>
  <c r="G159" i="2"/>
  <c r="I158" i="2"/>
  <c r="G158" i="2"/>
  <c r="J158" i="2" s="1"/>
  <c r="I157" i="2"/>
  <c r="I156" i="2" s="1"/>
  <c r="G157" i="2"/>
  <c r="I154" i="2"/>
  <c r="G154" i="2"/>
  <c r="H154" i="2" s="1"/>
  <c r="K154" i="2" s="1"/>
  <c r="I153" i="2"/>
  <c r="G153" i="2"/>
  <c r="I152" i="2"/>
  <c r="G152" i="2"/>
  <c r="J152" i="2" s="1"/>
  <c r="I151" i="2"/>
  <c r="G151" i="2"/>
  <c r="I150" i="2"/>
  <c r="G150" i="2"/>
  <c r="H150" i="2" s="1"/>
  <c r="K150" i="2" s="1"/>
  <c r="I149" i="2"/>
  <c r="G149" i="2"/>
  <c r="I148" i="2"/>
  <c r="G148" i="2"/>
  <c r="J148" i="2" s="1"/>
  <c r="I147" i="2"/>
  <c r="G147" i="2"/>
  <c r="I146" i="2"/>
  <c r="G146" i="2"/>
  <c r="H146" i="2" s="1"/>
  <c r="K146" i="2" s="1"/>
  <c r="I145" i="2"/>
  <c r="G145" i="2"/>
  <c r="I144" i="2"/>
  <c r="G144" i="2"/>
  <c r="J144" i="2" s="1"/>
  <c r="I142" i="2"/>
  <c r="G142" i="2"/>
  <c r="J142" i="2" s="1"/>
  <c r="I141" i="2"/>
  <c r="G141" i="2"/>
  <c r="I140" i="2"/>
  <c r="G140" i="2"/>
  <c r="H140" i="2" s="1"/>
  <c r="K140" i="2" s="1"/>
  <c r="I139" i="2"/>
  <c r="G139" i="2"/>
  <c r="I138" i="2"/>
  <c r="G138" i="2"/>
  <c r="J138" i="2" s="1"/>
  <c r="I137" i="2"/>
  <c r="G137" i="2"/>
  <c r="I136" i="2"/>
  <c r="G136" i="2"/>
  <c r="H136" i="2" s="1"/>
  <c r="K136" i="2" s="1"/>
  <c r="I135" i="2"/>
  <c r="I134" i="2"/>
  <c r="G134" i="2"/>
  <c r="J134" i="2" s="1"/>
  <c r="I133" i="2"/>
  <c r="G133" i="2"/>
  <c r="I132" i="2"/>
  <c r="G132" i="2"/>
  <c r="H132" i="2" s="1"/>
  <c r="K132" i="2" s="1"/>
  <c r="I131" i="2"/>
  <c r="I130" i="2" s="1"/>
  <c r="G131" i="2"/>
  <c r="I129" i="2"/>
  <c r="G129" i="2"/>
  <c r="I128" i="2"/>
  <c r="G128" i="2"/>
  <c r="H128" i="2" s="1"/>
  <c r="K128" i="2" s="1"/>
  <c r="I127" i="2"/>
  <c r="G127" i="2"/>
  <c r="I126" i="2"/>
  <c r="G126" i="2"/>
  <c r="J126" i="2" s="1"/>
  <c r="I125" i="2"/>
  <c r="G125" i="2"/>
  <c r="I124" i="2"/>
  <c r="G124" i="2"/>
  <c r="H124" i="2" s="1"/>
  <c r="K124" i="2" s="1"/>
  <c r="I123" i="2"/>
  <c r="G123" i="2"/>
  <c r="I122" i="2"/>
  <c r="G122" i="2"/>
  <c r="J122" i="2" s="1"/>
  <c r="I121" i="2"/>
  <c r="G121" i="2"/>
  <c r="I120" i="2"/>
  <c r="G120" i="2"/>
  <c r="H120" i="2" s="1"/>
  <c r="K120" i="2" s="1"/>
  <c r="I119" i="2"/>
  <c r="G119" i="2"/>
  <c r="I118" i="2"/>
  <c r="G118" i="2"/>
  <c r="J118" i="2" s="1"/>
  <c r="I117" i="2"/>
  <c r="G117" i="2"/>
  <c r="I116" i="2"/>
  <c r="G116" i="2"/>
  <c r="J116" i="2" s="1"/>
  <c r="I115" i="2"/>
  <c r="G115" i="2"/>
  <c r="H115" i="2" s="1"/>
  <c r="K115" i="2" s="1"/>
  <c r="I114" i="2"/>
  <c r="G114" i="2"/>
  <c r="H114" i="2" s="1"/>
  <c r="K114" i="2" s="1"/>
  <c r="I113" i="2"/>
  <c r="G113" i="2"/>
  <c r="I112" i="2"/>
  <c r="G112" i="2"/>
  <c r="J112" i="2" s="1"/>
  <c r="I111" i="2"/>
  <c r="I108" i="2" s="1"/>
  <c r="G111" i="2"/>
  <c r="H111" i="2" s="1"/>
  <c r="K111" i="2" s="1"/>
  <c r="I110" i="2"/>
  <c r="G110" i="2"/>
  <c r="H110" i="2" s="1"/>
  <c r="K110" i="2" s="1"/>
  <c r="I109" i="2"/>
  <c r="G109" i="2"/>
  <c r="I107" i="2"/>
  <c r="G107" i="2"/>
  <c r="I106" i="2"/>
  <c r="H106" i="2"/>
  <c r="G106" i="2"/>
  <c r="I104" i="2"/>
  <c r="G104" i="2"/>
  <c r="J104" i="2" s="1"/>
  <c r="I103" i="2"/>
  <c r="I101" i="2" s="1"/>
  <c r="G103" i="2"/>
  <c r="H103" i="2" s="1"/>
  <c r="K103" i="2" s="1"/>
  <c r="I102" i="2"/>
  <c r="G102" i="2"/>
  <c r="H102" i="2" s="1"/>
  <c r="K102" i="2" s="1"/>
  <c r="I100" i="2"/>
  <c r="G100" i="2"/>
  <c r="H100" i="2" s="1"/>
  <c r="K100" i="2" s="1"/>
  <c r="I99" i="2"/>
  <c r="G99" i="2"/>
  <c r="I98" i="2"/>
  <c r="G98" i="2"/>
  <c r="J98" i="2" s="1"/>
  <c r="I97" i="2"/>
  <c r="I96" i="2" s="1"/>
  <c r="G97" i="2"/>
  <c r="H97" i="2" s="1"/>
  <c r="K97" i="2" s="1"/>
  <c r="I95" i="2"/>
  <c r="G95" i="2"/>
  <c r="H95" i="2" s="1"/>
  <c r="K95" i="2" s="1"/>
  <c r="I94" i="2"/>
  <c r="G94" i="2"/>
  <c r="H94" i="2" s="1"/>
  <c r="K94" i="2" s="1"/>
  <c r="I93" i="2"/>
  <c r="G93" i="2"/>
  <c r="I92" i="2"/>
  <c r="G92" i="2"/>
  <c r="J92" i="2" s="1"/>
  <c r="I91" i="2"/>
  <c r="G91" i="2"/>
  <c r="H91" i="2" s="1"/>
  <c r="K91" i="2" s="1"/>
  <c r="I90" i="2"/>
  <c r="G90" i="2"/>
  <c r="H90" i="2" s="1"/>
  <c r="K90" i="2" s="1"/>
  <c r="I89" i="2"/>
  <c r="G89" i="2"/>
  <c r="I88" i="2"/>
  <c r="G88" i="2"/>
  <c r="J88" i="2" s="1"/>
  <c r="I87" i="2"/>
  <c r="I86" i="2" s="1"/>
  <c r="I85" i="2"/>
  <c r="I84" i="2" s="1"/>
  <c r="G85" i="2"/>
  <c r="H85" i="2" s="1"/>
  <c r="I83" i="2"/>
  <c r="G83" i="2"/>
  <c r="H83" i="2" s="1"/>
  <c r="K83" i="2" s="1"/>
  <c r="I82" i="2"/>
  <c r="G82" i="2"/>
  <c r="H82" i="2" s="1"/>
  <c r="K82" i="2" s="1"/>
  <c r="I81" i="2"/>
  <c r="G81" i="2"/>
  <c r="I80" i="2"/>
  <c r="G80" i="2"/>
  <c r="H80" i="2" s="1"/>
  <c r="K80" i="2" s="1"/>
  <c r="I79" i="2"/>
  <c r="I77" i="2" s="1"/>
  <c r="G79" i="2"/>
  <c r="H79" i="2" s="1"/>
  <c r="K79" i="2" s="1"/>
  <c r="I78" i="2"/>
  <c r="G78" i="2"/>
  <c r="H78" i="2" s="1"/>
  <c r="K78" i="2" s="1"/>
  <c r="I76" i="2"/>
  <c r="G76" i="2"/>
  <c r="H76" i="2" s="1"/>
  <c r="K76" i="2" s="1"/>
  <c r="I75" i="2"/>
  <c r="G75" i="2"/>
  <c r="I74" i="2"/>
  <c r="G74" i="2"/>
  <c r="J74" i="2" s="1"/>
  <c r="I73" i="2"/>
  <c r="G73" i="2"/>
  <c r="H73" i="2" s="1"/>
  <c r="K73" i="2" s="1"/>
  <c r="I72" i="2"/>
  <c r="G72" i="2"/>
  <c r="H72" i="2" s="1"/>
  <c r="K72" i="2" s="1"/>
  <c r="I71" i="2"/>
  <c r="G71" i="2"/>
  <c r="I70" i="2"/>
  <c r="G70" i="2"/>
  <c r="J70" i="2" s="1"/>
  <c r="I69" i="2"/>
  <c r="I68" i="2" s="1"/>
  <c r="G69" i="2"/>
  <c r="H69" i="2" s="1"/>
  <c r="K69" i="2" s="1"/>
  <c r="I67" i="2"/>
  <c r="G67" i="2"/>
  <c r="H67" i="2" s="1"/>
  <c r="K67" i="2" s="1"/>
  <c r="I66" i="2"/>
  <c r="G66" i="2"/>
  <c r="H66" i="2" s="1"/>
  <c r="K66" i="2" s="1"/>
  <c r="I65" i="2"/>
  <c r="G65" i="2"/>
  <c r="I64" i="2"/>
  <c r="G64" i="2"/>
  <c r="J64" i="2" s="1"/>
  <c r="I63" i="2"/>
  <c r="G63" i="2"/>
  <c r="H63" i="2" s="1"/>
  <c r="K63" i="2" s="1"/>
  <c r="I62" i="2"/>
  <c r="G62" i="2"/>
  <c r="H62" i="2" s="1"/>
  <c r="K62" i="2" s="1"/>
  <c r="I61" i="2"/>
  <c r="G61" i="2"/>
  <c r="I60" i="2"/>
  <c r="G60" i="2"/>
  <c r="J60" i="2" s="1"/>
  <c r="I59" i="2"/>
  <c r="I57" i="2" s="1"/>
  <c r="I56" i="2" s="1"/>
  <c r="G59" i="2"/>
  <c r="H59" i="2" s="1"/>
  <c r="K59" i="2" s="1"/>
  <c r="I58" i="2"/>
  <c r="G58" i="2"/>
  <c r="H58" i="2" s="1"/>
  <c r="K58" i="2" s="1"/>
  <c r="I55" i="2"/>
  <c r="I52" i="2" s="1"/>
  <c r="G55" i="2"/>
  <c r="J55" i="2" s="1"/>
  <c r="I54" i="2"/>
  <c r="G54" i="2"/>
  <c r="H54" i="2" s="1"/>
  <c r="K54" i="2" s="1"/>
  <c r="I53" i="2"/>
  <c r="G53" i="2"/>
  <c r="I51" i="2"/>
  <c r="G51" i="2"/>
  <c r="I50" i="2"/>
  <c r="I49" i="2"/>
  <c r="G49" i="2"/>
  <c r="I48" i="2"/>
  <c r="I47" i="2"/>
  <c r="G47" i="2"/>
  <c r="I46" i="2"/>
  <c r="G46" i="2"/>
  <c r="J46" i="2" s="1"/>
  <c r="I45" i="2"/>
  <c r="G45" i="2"/>
  <c r="H45" i="2" s="1"/>
  <c r="K45" i="2" s="1"/>
  <c r="I44" i="2"/>
  <c r="G44" i="2"/>
  <c r="H44" i="2" s="1"/>
  <c r="K44" i="2" s="1"/>
  <c r="I43" i="2"/>
  <c r="G43" i="2"/>
  <c r="I42" i="2"/>
  <c r="G42" i="2"/>
  <c r="J42" i="2" s="1"/>
  <c r="I41" i="2"/>
  <c r="I39" i="2" s="1"/>
  <c r="G41" i="2"/>
  <c r="H41" i="2" s="1"/>
  <c r="K41" i="2" s="1"/>
  <c r="I40" i="2"/>
  <c r="G40" i="2"/>
  <c r="H40" i="2" s="1"/>
  <c r="K40" i="2" s="1"/>
  <c r="I38" i="2"/>
  <c r="G38" i="2"/>
  <c r="H38" i="2" s="1"/>
  <c r="K38" i="2" s="1"/>
  <c r="I37" i="2"/>
  <c r="G37" i="2"/>
  <c r="J37" i="2" s="1"/>
  <c r="I36" i="2"/>
  <c r="G36" i="2"/>
  <c r="J36" i="2" s="1"/>
  <c r="I35" i="2"/>
  <c r="I33" i="2" s="1"/>
  <c r="I32" i="2" s="1"/>
  <c r="G35" i="2"/>
  <c r="H35" i="2" s="1"/>
  <c r="K35" i="2" s="1"/>
  <c r="I34" i="2"/>
  <c r="G34" i="2"/>
  <c r="H34" i="2" s="1"/>
  <c r="K34" i="2" s="1"/>
  <c r="C33" i="2"/>
  <c r="I31" i="2"/>
  <c r="G31" i="2"/>
  <c r="H31" i="2" s="1"/>
  <c r="K31" i="2" s="1"/>
  <c r="I30" i="2"/>
  <c r="G30" i="2"/>
  <c r="J30" i="2" s="1"/>
  <c r="I29" i="2"/>
  <c r="G29" i="2"/>
  <c r="J29" i="2" s="1"/>
  <c r="I28" i="2"/>
  <c r="G28" i="2"/>
  <c r="H28" i="2" s="1"/>
  <c r="K28" i="2" s="1"/>
  <c r="I27" i="2"/>
  <c r="G27" i="2"/>
  <c r="H27" i="2" s="1"/>
  <c r="K27" i="2" s="1"/>
  <c r="I26" i="2"/>
  <c r="G26" i="2"/>
  <c r="J26" i="2" s="1"/>
  <c r="I25" i="2"/>
  <c r="C25" i="2"/>
  <c r="I24" i="2"/>
  <c r="G24" i="2"/>
  <c r="J24" i="2" s="1"/>
  <c r="I23" i="2"/>
  <c r="G23" i="2"/>
  <c r="H23" i="2" s="1"/>
  <c r="K23" i="2" s="1"/>
  <c r="I22" i="2"/>
  <c r="G22" i="2"/>
  <c r="H22" i="2" s="1"/>
  <c r="K22" i="2" s="1"/>
  <c r="I21" i="2"/>
  <c r="G21" i="2"/>
  <c r="J21" i="2" s="1"/>
  <c r="I20" i="2"/>
  <c r="C20" i="2"/>
  <c r="I19" i="2"/>
  <c r="G19" i="2"/>
  <c r="J19" i="2" s="1"/>
  <c r="I18" i="2"/>
  <c r="G18" i="2"/>
  <c r="J18" i="2" s="1"/>
  <c r="I17" i="2"/>
  <c r="G17" i="2"/>
  <c r="H17" i="2" s="1"/>
  <c r="K17" i="2" s="1"/>
  <c r="I16" i="2"/>
  <c r="G16" i="2"/>
  <c r="J16" i="2" s="1"/>
  <c r="I15" i="2"/>
  <c r="G15" i="2"/>
  <c r="J15" i="2" s="1"/>
  <c r="I14" i="2"/>
  <c r="I11" i="2" s="1"/>
  <c r="G14" i="2"/>
  <c r="J14" i="2" s="1"/>
  <c r="I13" i="2"/>
  <c r="G13" i="2"/>
  <c r="H13" i="2" s="1"/>
  <c r="K13" i="2" s="1"/>
  <c r="I12" i="2"/>
  <c r="G12" i="2"/>
  <c r="J12" i="2" s="1"/>
  <c r="C11" i="2"/>
  <c r="J87" i="12" l="1"/>
  <c r="K11" i="12"/>
  <c r="K48" i="12"/>
  <c r="J68" i="12"/>
  <c r="J215" i="12"/>
  <c r="J212" i="12" s="1"/>
  <c r="H215" i="12"/>
  <c r="K215" i="12" s="1"/>
  <c r="K212" i="12" s="1"/>
  <c r="J13" i="12"/>
  <c r="H15" i="12"/>
  <c r="K15" i="12" s="1"/>
  <c r="J17" i="12"/>
  <c r="J11" i="12" s="1"/>
  <c r="H19" i="12"/>
  <c r="K19" i="12" s="1"/>
  <c r="J22" i="12"/>
  <c r="J20" i="12" s="1"/>
  <c r="H24" i="12"/>
  <c r="K24" i="12" s="1"/>
  <c r="K20" i="12" s="1"/>
  <c r="J27" i="12"/>
  <c r="J25" i="12" s="1"/>
  <c r="H29" i="12"/>
  <c r="K29" i="12" s="1"/>
  <c r="K25" i="12" s="1"/>
  <c r="J31" i="12"/>
  <c r="J34" i="12"/>
  <c r="J33" i="12" s="1"/>
  <c r="H36" i="12"/>
  <c r="K36" i="12" s="1"/>
  <c r="K33" i="12" s="1"/>
  <c r="J38" i="12"/>
  <c r="J40" i="12"/>
  <c r="H42" i="12"/>
  <c r="K42" i="12" s="1"/>
  <c r="K39" i="12" s="1"/>
  <c r="J44" i="12"/>
  <c r="H46" i="12"/>
  <c r="K46" i="12" s="1"/>
  <c r="J54" i="12"/>
  <c r="J52" i="12" s="1"/>
  <c r="J58" i="12"/>
  <c r="J57" i="12" s="1"/>
  <c r="H60" i="12"/>
  <c r="K60" i="12" s="1"/>
  <c r="K57" i="12" s="1"/>
  <c r="J62" i="12"/>
  <c r="J72" i="12"/>
  <c r="J78" i="12"/>
  <c r="J77" i="12" s="1"/>
  <c r="H93" i="12"/>
  <c r="K93" i="12" s="1"/>
  <c r="K87" i="12" s="1"/>
  <c r="J100" i="12"/>
  <c r="H100" i="12"/>
  <c r="K100" i="12" s="1"/>
  <c r="K96" i="12" s="1"/>
  <c r="J104" i="12"/>
  <c r="J101" i="12" s="1"/>
  <c r="H104" i="12"/>
  <c r="K104" i="12" s="1"/>
  <c r="K101" i="12" s="1"/>
  <c r="J118" i="12"/>
  <c r="H118" i="12"/>
  <c r="K118" i="12" s="1"/>
  <c r="K108" i="12" s="1"/>
  <c r="J130" i="12"/>
  <c r="J138" i="12"/>
  <c r="H138" i="12"/>
  <c r="K138" i="12" s="1"/>
  <c r="J148" i="12"/>
  <c r="H148" i="12"/>
  <c r="K148" i="12" s="1"/>
  <c r="H162" i="12"/>
  <c r="K162" i="12" s="1"/>
  <c r="J162" i="12"/>
  <c r="J156" i="12" s="1"/>
  <c r="J165" i="12"/>
  <c r="H165" i="12"/>
  <c r="K165" i="12" s="1"/>
  <c r="J221" i="12"/>
  <c r="H221" i="12"/>
  <c r="K221" i="12" s="1"/>
  <c r="J227" i="12"/>
  <c r="H227" i="12"/>
  <c r="K227" i="12" s="1"/>
  <c r="J110" i="12"/>
  <c r="J108" i="12" s="1"/>
  <c r="H110" i="12"/>
  <c r="K110" i="12" s="1"/>
  <c r="J114" i="12"/>
  <c r="H114" i="12"/>
  <c r="K114" i="12" s="1"/>
  <c r="H188" i="12"/>
  <c r="K188" i="12" s="1"/>
  <c r="K177" i="12" s="1"/>
  <c r="J188" i="12"/>
  <c r="J193" i="12"/>
  <c r="H193" i="12"/>
  <c r="K193" i="12" s="1"/>
  <c r="J96" i="12"/>
  <c r="J122" i="12"/>
  <c r="H122" i="12"/>
  <c r="K122" i="12" s="1"/>
  <c r="H194" i="12"/>
  <c r="K194" i="12" s="1"/>
  <c r="J194" i="12"/>
  <c r="H65" i="12"/>
  <c r="K65" i="12" s="1"/>
  <c r="H75" i="12"/>
  <c r="K75" i="12" s="1"/>
  <c r="K68" i="12" s="1"/>
  <c r="H81" i="12"/>
  <c r="K81" i="12" s="1"/>
  <c r="K77" i="12" s="1"/>
  <c r="J94" i="12"/>
  <c r="H94" i="12"/>
  <c r="K94" i="12" s="1"/>
  <c r="J126" i="12"/>
  <c r="H126" i="12"/>
  <c r="K126" i="12" s="1"/>
  <c r="H136" i="12"/>
  <c r="K136" i="12" s="1"/>
  <c r="J136" i="12"/>
  <c r="J139" i="12"/>
  <c r="H139" i="12"/>
  <c r="K139" i="12" s="1"/>
  <c r="H146" i="12"/>
  <c r="K146" i="12" s="1"/>
  <c r="K143" i="12" s="1"/>
  <c r="J146" i="12"/>
  <c r="J149" i="12"/>
  <c r="J143" i="12" s="1"/>
  <c r="H149" i="12"/>
  <c r="K149" i="12" s="1"/>
  <c r="J164" i="12"/>
  <c r="H164" i="12"/>
  <c r="K164" i="12" s="1"/>
  <c r="K156" i="12" s="1"/>
  <c r="H222" i="12"/>
  <c r="K222" i="12" s="1"/>
  <c r="J222" i="12"/>
  <c r="H228" i="12"/>
  <c r="K228" i="12" s="1"/>
  <c r="J228" i="12"/>
  <c r="I135" i="12"/>
  <c r="I105" i="12" s="1"/>
  <c r="J158" i="12"/>
  <c r="J174" i="12"/>
  <c r="J184" i="12"/>
  <c r="J177" i="12" s="1"/>
  <c r="J198" i="12"/>
  <c r="J210" i="12"/>
  <c r="J206" i="12" s="1"/>
  <c r="J216" i="12"/>
  <c r="H132" i="12"/>
  <c r="K132" i="12" s="1"/>
  <c r="K130" i="12" s="1"/>
  <c r="H142" i="12"/>
  <c r="K142" i="12" s="1"/>
  <c r="I206" i="12"/>
  <c r="I155" i="12" s="1"/>
  <c r="H217" i="12"/>
  <c r="K217" i="12" s="1"/>
  <c r="K216" i="12" s="1"/>
  <c r="I223" i="12"/>
  <c r="J230" i="12"/>
  <c r="J223" i="12"/>
  <c r="J238" i="12"/>
  <c r="H116" i="8"/>
  <c r="K116" i="8" s="1"/>
  <c r="J116" i="8"/>
  <c r="J149" i="8"/>
  <c r="H149" i="8"/>
  <c r="K149" i="8" s="1"/>
  <c r="H76" i="10"/>
  <c r="K76" i="10" s="1"/>
  <c r="J76" i="10"/>
  <c r="H67" i="4"/>
  <c r="K67" i="4" s="1"/>
  <c r="H70" i="4"/>
  <c r="K70" i="4" s="1"/>
  <c r="H222" i="4"/>
  <c r="K222" i="4" s="1"/>
  <c r="H55" i="6"/>
  <c r="K55" i="6" s="1"/>
  <c r="H165" i="6"/>
  <c r="K165" i="6" s="1"/>
  <c r="H187" i="6"/>
  <c r="K187" i="6" s="1"/>
  <c r="H60" i="8"/>
  <c r="K60" i="8" s="1"/>
  <c r="H95" i="8"/>
  <c r="K95" i="8" s="1"/>
  <c r="H138" i="8"/>
  <c r="K138" i="8" s="1"/>
  <c r="K135" i="8" s="1"/>
  <c r="H29" i="10"/>
  <c r="K29" i="10" s="1"/>
  <c r="J29" i="10"/>
  <c r="H99" i="10"/>
  <c r="K99" i="10" s="1"/>
  <c r="J103" i="10"/>
  <c r="H103" i="10"/>
  <c r="K103" i="10" s="1"/>
  <c r="H123" i="10"/>
  <c r="K123" i="10" s="1"/>
  <c r="J123" i="10"/>
  <c r="H210" i="2"/>
  <c r="K210" i="2" s="1"/>
  <c r="J45" i="4"/>
  <c r="H64" i="4"/>
  <c r="K64" i="4" s="1"/>
  <c r="H69" i="4"/>
  <c r="K69" i="4" s="1"/>
  <c r="H89" i="4"/>
  <c r="K89" i="4" s="1"/>
  <c r="J90" i="4"/>
  <c r="H149" i="4"/>
  <c r="K149" i="4" s="1"/>
  <c r="H219" i="4"/>
  <c r="K219" i="4" s="1"/>
  <c r="J28" i="6"/>
  <c r="J89" i="6"/>
  <c r="J116" i="6"/>
  <c r="H120" i="6"/>
  <c r="K120" i="6" s="1"/>
  <c r="J123" i="6"/>
  <c r="J191" i="6"/>
  <c r="J214" i="6"/>
  <c r="H227" i="6"/>
  <c r="K227" i="6" s="1"/>
  <c r="H22" i="8"/>
  <c r="K22" i="8" s="1"/>
  <c r="H34" i="8"/>
  <c r="K34" i="8" s="1"/>
  <c r="J46" i="8"/>
  <c r="H64" i="8"/>
  <c r="K64" i="8" s="1"/>
  <c r="H70" i="8"/>
  <c r="K70" i="8" s="1"/>
  <c r="J73" i="8"/>
  <c r="J103" i="8"/>
  <c r="H103" i="8"/>
  <c r="K103" i="8" s="1"/>
  <c r="H123" i="8"/>
  <c r="K123" i="8" s="1"/>
  <c r="J123" i="8"/>
  <c r="H129" i="8"/>
  <c r="K129" i="8" s="1"/>
  <c r="H131" i="8"/>
  <c r="K131" i="8" s="1"/>
  <c r="J137" i="8"/>
  <c r="H137" i="8"/>
  <c r="K137" i="8" s="1"/>
  <c r="H163" i="8"/>
  <c r="K163" i="8" s="1"/>
  <c r="J163" i="8"/>
  <c r="H174" i="8"/>
  <c r="K174" i="8" s="1"/>
  <c r="J174" i="8"/>
  <c r="H231" i="8"/>
  <c r="K231" i="8" s="1"/>
  <c r="H14" i="10"/>
  <c r="K14" i="10" s="1"/>
  <c r="J14" i="10"/>
  <c r="J11" i="10" s="1"/>
  <c r="H41" i="10"/>
  <c r="K41" i="10" s="1"/>
  <c r="H70" i="10"/>
  <c r="K70" i="10" s="1"/>
  <c r="J89" i="10"/>
  <c r="H89" i="10"/>
  <c r="K89" i="10" s="1"/>
  <c r="K87" i="10" s="1"/>
  <c r="H91" i="10"/>
  <c r="K91" i="10" s="1"/>
  <c r="J91" i="10"/>
  <c r="J98" i="10"/>
  <c r="J96" i="10" s="1"/>
  <c r="H98" i="10"/>
  <c r="K98" i="10" s="1"/>
  <c r="J120" i="10"/>
  <c r="H120" i="10"/>
  <c r="K120" i="10" s="1"/>
  <c r="J148" i="10"/>
  <c r="J158" i="10"/>
  <c r="J166" i="10"/>
  <c r="J174" i="10"/>
  <c r="J200" i="10"/>
  <c r="J210" i="10"/>
  <c r="J222" i="10"/>
  <c r="H173" i="8"/>
  <c r="K173" i="8" s="1"/>
  <c r="J173" i="8"/>
  <c r="H15" i="10"/>
  <c r="K15" i="10" s="1"/>
  <c r="J15" i="10"/>
  <c r="H73" i="10"/>
  <c r="K73" i="10" s="1"/>
  <c r="J73" i="10"/>
  <c r="H90" i="10"/>
  <c r="K90" i="10" s="1"/>
  <c r="J90" i="10"/>
  <c r="H150" i="4"/>
  <c r="K150" i="4" s="1"/>
  <c r="H161" i="4"/>
  <c r="K161" i="4" s="1"/>
  <c r="H180" i="4"/>
  <c r="K180" i="4" s="1"/>
  <c r="H199" i="6"/>
  <c r="K199" i="6" s="1"/>
  <c r="H175" i="8"/>
  <c r="K175" i="8" s="1"/>
  <c r="H237" i="8"/>
  <c r="K237" i="8" s="1"/>
  <c r="J237" i="8"/>
  <c r="H19" i="10"/>
  <c r="K19" i="10" s="1"/>
  <c r="J19" i="10"/>
  <c r="H49" i="10"/>
  <c r="K49" i="10" s="1"/>
  <c r="J49" i="10"/>
  <c r="J48" i="10" s="1"/>
  <c r="J64" i="10"/>
  <c r="H64" i="10"/>
  <c r="K64" i="10" s="1"/>
  <c r="H121" i="10"/>
  <c r="K121" i="10" s="1"/>
  <c r="J28" i="2"/>
  <c r="J25" i="2" s="1"/>
  <c r="J114" i="2"/>
  <c r="J168" i="2"/>
  <c r="J178" i="2"/>
  <c r="J40" i="4"/>
  <c r="K48" i="6"/>
  <c r="J63" i="6"/>
  <c r="J69" i="6"/>
  <c r="J149" i="6"/>
  <c r="H167" i="6"/>
  <c r="K167" i="6" s="1"/>
  <c r="J186" i="6"/>
  <c r="H189" i="6"/>
  <c r="K189" i="6" s="1"/>
  <c r="J190" i="6"/>
  <c r="J213" i="6"/>
  <c r="J212" i="6" s="1"/>
  <c r="H217" i="6"/>
  <c r="K217" i="6" s="1"/>
  <c r="H222" i="6"/>
  <c r="K222" i="6" s="1"/>
  <c r="H224" i="6"/>
  <c r="K224" i="6" s="1"/>
  <c r="H13" i="8"/>
  <c r="K13" i="8" s="1"/>
  <c r="J27" i="8"/>
  <c r="J30" i="8"/>
  <c r="J43" i="8"/>
  <c r="J55" i="8"/>
  <c r="H211" i="8"/>
  <c r="K211" i="8" s="1"/>
  <c r="J226" i="8"/>
  <c r="H226" i="8"/>
  <c r="K226" i="8" s="1"/>
  <c r="H240" i="8"/>
  <c r="K240" i="8" s="1"/>
  <c r="J240" i="8"/>
  <c r="H18" i="10"/>
  <c r="K18" i="10" s="1"/>
  <c r="J18" i="10"/>
  <c r="J21" i="10"/>
  <c r="J20" i="10" s="1"/>
  <c r="H28" i="10"/>
  <c r="K28" i="10" s="1"/>
  <c r="J28" i="10"/>
  <c r="H35" i="10"/>
  <c r="K35" i="10" s="1"/>
  <c r="J35" i="10"/>
  <c r="J40" i="10"/>
  <c r="H40" i="10"/>
  <c r="K40" i="10" s="1"/>
  <c r="J60" i="10"/>
  <c r="H60" i="10"/>
  <c r="K60" i="10" s="1"/>
  <c r="H69" i="10"/>
  <c r="K69" i="10" s="1"/>
  <c r="H111" i="10"/>
  <c r="K111" i="10" s="1"/>
  <c r="J111" i="10"/>
  <c r="J117" i="10"/>
  <c r="H117" i="10"/>
  <c r="K117" i="10" s="1"/>
  <c r="H127" i="10"/>
  <c r="K127" i="10" s="1"/>
  <c r="J127" i="10"/>
  <c r="H132" i="10"/>
  <c r="K132" i="10" s="1"/>
  <c r="J138" i="10"/>
  <c r="J180" i="10"/>
  <c r="J188" i="10"/>
  <c r="J228" i="10"/>
  <c r="J33" i="10"/>
  <c r="J25" i="10"/>
  <c r="J94" i="10"/>
  <c r="H94" i="10"/>
  <c r="K94" i="10" s="1"/>
  <c r="H163" i="10"/>
  <c r="K163" i="10" s="1"/>
  <c r="J163" i="10"/>
  <c r="J209" i="10"/>
  <c r="H209" i="10"/>
  <c r="K209" i="10" s="1"/>
  <c r="H13" i="10"/>
  <c r="K13" i="10" s="1"/>
  <c r="K11" i="10" s="1"/>
  <c r="H17" i="10"/>
  <c r="K17" i="10" s="1"/>
  <c r="H22" i="10"/>
  <c r="K22" i="10" s="1"/>
  <c r="K20" i="10" s="1"/>
  <c r="H27" i="10"/>
  <c r="K27" i="10" s="1"/>
  <c r="H31" i="10"/>
  <c r="K31" i="10" s="1"/>
  <c r="H34" i="10"/>
  <c r="K34" i="10" s="1"/>
  <c r="H51" i="10"/>
  <c r="K51" i="10" s="1"/>
  <c r="J52" i="10"/>
  <c r="H65" i="10"/>
  <c r="K65" i="10" s="1"/>
  <c r="J237" i="10"/>
  <c r="J235" i="10" s="1"/>
  <c r="H237" i="10"/>
  <c r="K237" i="10" s="1"/>
  <c r="K235" i="10" s="1"/>
  <c r="J100" i="10"/>
  <c r="H100" i="10"/>
  <c r="K100" i="10" s="1"/>
  <c r="H45" i="10"/>
  <c r="K45" i="10" s="1"/>
  <c r="K39" i="10" s="1"/>
  <c r="H53" i="10"/>
  <c r="K53" i="10" s="1"/>
  <c r="K52" i="10" s="1"/>
  <c r="H61" i="10"/>
  <c r="K61" i="10" s="1"/>
  <c r="J66" i="10"/>
  <c r="H71" i="10"/>
  <c r="K71" i="10" s="1"/>
  <c r="K68" i="10" s="1"/>
  <c r="J78" i="10"/>
  <c r="J77" i="10" s="1"/>
  <c r="I105" i="10"/>
  <c r="J110" i="10"/>
  <c r="H110" i="10"/>
  <c r="K110" i="10" s="1"/>
  <c r="J114" i="10"/>
  <c r="H114" i="10"/>
  <c r="K114" i="10" s="1"/>
  <c r="J118" i="10"/>
  <c r="H118" i="10"/>
  <c r="K118" i="10" s="1"/>
  <c r="J122" i="10"/>
  <c r="H122" i="10"/>
  <c r="K122" i="10" s="1"/>
  <c r="J126" i="10"/>
  <c r="H126" i="10"/>
  <c r="K126" i="10" s="1"/>
  <c r="H141" i="10"/>
  <c r="K141" i="10" s="1"/>
  <c r="J141" i="10"/>
  <c r="I156" i="10"/>
  <c r="J169" i="10"/>
  <c r="H169" i="10"/>
  <c r="K169" i="10" s="1"/>
  <c r="J183" i="10"/>
  <c r="H183" i="10"/>
  <c r="K183" i="10" s="1"/>
  <c r="J203" i="10"/>
  <c r="H203" i="10"/>
  <c r="K203" i="10" s="1"/>
  <c r="K201" i="10" s="1"/>
  <c r="J215" i="10"/>
  <c r="H215" i="10"/>
  <c r="K215" i="10" s="1"/>
  <c r="J221" i="10"/>
  <c r="H221" i="10"/>
  <c r="K221" i="10" s="1"/>
  <c r="J46" i="10"/>
  <c r="J39" i="10" s="1"/>
  <c r="J32" i="10" s="1"/>
  <c r="J54" i="10"/>
  <c r="J62" i="10"/>
  <c r="J72" i="10"/>
  <c r="J68" i="10" s="1"/>
  <c r="H81" i="10"/>
  <c r="K81" i="10" s="1"/>
  <c r="K77" i="10" s="1"/>
  <c r="J104" i="10"/>
  <c r="H104" i="10"/>
  <c r="K104" i="10" s="1"/>
  <c r="K101" i="10" s="1"/>
  <c r="J108" i="10"/>
  <c r="H147" i="10"/>
  <c r="K147" i="10" s="1"/>
  <c r="J147" i="10"/>
  <c r="J133" i="10"/>
  <c r="H133" i="10"/>
  <c r="K133" i="10" s="1"/>
  <c r="J139" i="10"/>
  <c r="H139" i="10"/>
  <c r="K139" i="10" s="1"/>
  <c r="J145" i="10"/>
  <c r="J143" i="10" s="1"/>
  <c r="H145" i="10"/>
  <c r="K145" i="10" s="1"/>
  <c r="J153" i="10"/>
  <c r="H153" i="10"/>
  <c r="K153" i="10" s="1"/>
  <c r="J161" i="10"/>
  <c r="H161" i="10"/>
  <c r="K161" i="10" s="1"/>
  <c r="J173" i="10"/>
  <c r="H173" i="10"/>
  <c r="K173" i="10" s="1"/>
  <c r="J187" i="10"/>
  <c r="H187" i="10"/>
  <c r="K187" i="10" s="1"/>
  <c r="J193" i="10"/>
  <c r="H193" i="10"/>
  <c r="K193" i="10" s="1"/>
  <c r="H131" i="10"/>
  <c r="K131" i="10" s="1"/>
  <c r="K130" i="10" s="1"/>
  <c r="J131" i="10"/>
  <c r="H137" i="10"/>
  <c r="K137" i="10" s="1"/>
  <c r="J137" i="10"/>
  <c r="J135" i="10" s="1"/>
  <c r="H151" i="10"/>
  <c r="K151" i="10" s="1"/>
  <c r="J151" i="10"/>
  <c r="H159" i="10"/>
  <c r="K159" i="10" s="1"/>
  <c r="J159" i="10"/>
  <c r="J191" i="10"/>
  <c r="H191" i="10"/>
  <c r="K191" i="10" s="1"/>
  <c r="J197" i="10"/>
  <c r="H197" i="10"/>
  <c r="K197" i="10" s="1"/>
  <c r="K206" i="10"/>
  <c r="K212" i="10"/>
  <c r="J227" i="10"/>
  <c r="H227" i="10"/>
  <c r="K227" i="10" s="1"/>
  <c r="K223" i="10" s="1"/>
  <c r="J231" i="10"/>
  <c r="H231" i="10"/>
  <c r="K231" i="10" s="1"/>
  <c r="K230" i="10" s="1"/>
  <c r="J149" i="10"/>
  <c r="H149" i="10"/>
  <c r="K149" i="10" s="1"/>
  <c r="J157" i="10"/>
  <c r="H157" i="10"/>
  <c r="K157" i="10" s="1"/>
  <c r="J165" i="10"/>
  <c r="H165" i="10"/>
  <c r="K165" i="10" s="1"/>
  <c r="J179" i="10"/>
  <c r="H179" i="10"/>
  <c r="K179" i="10" s="1"/>
  <c r="I206" i="10"/>
  <c r="J217" i="10"/>
  <c r="H217" i="10"/>
  <c r="K217" i="10" s="1"/>
  <c r="K216" i="10" s="1"/>
  <c r="I229" i="10"/>
  <c r="J239" i="10"/>
  <c r="H239" i="10"/>
  <c r="K239" i="10" s="1"/>
  <c r="K238" i="10" s="1"/>
  <c r="J167" i="10"/>
  <c r="J171" i="10"/>
  <c r="J175" i="10"/>
  <c r="J181" i="10"/>
  <c r="J185" i="10"/>
  <c r="J189" i="10"/>
  <c r="J195" i="10"/>
  <c r="J199" i="10"/>
  <c r="J205" i="10"/>
  <c r="J207" i="10"/>
  <c r="J211" i="10"/>
  <c r="J213" i="10"/>
  <c r="J212" i="10" s="1"/>
  <c r="J219" i="10"/>
  <c r="J225" i="10"/>
  <c r="J223" i="10" s="1"/>
  <c r="J233" i="10"/>
  <c r="J241" i="10"/>
  <c r="H148" i="6"/>
  <c r="K148" i="6" s="1"/>
  <c r="J148" i="6"/>
  <c r="H15" i="8"/>
  <c r="K15" i="8" s="1"/>
  <c r="J15" i="8"/>
  <c r="J11" i="8" s="1"/>
  <c r="H21" i="8"/>
  <c r="K21" i="8" s="1"/>
  <c r="J21" i="8"/>
  <c r="H59" i="8"/>
  <c r="K59" i="8" s="1"/>
  <c r="J59" i="8"/>
  <c r="H66" i="8"/>
  <c r="K66" i="8" s="1"/>
  <c r="J66" i="8"/>
  <c r="H80" i="8"/>
  <c r="K80" i="8" s="1"/>
  <c r="J80" i="8"/>
  <c r="H145" i="8"/>
  <c r="K145" i="8" s="1"/>
  <c r="J145" i="8"/>
  <c r="H157" i="8"/>
  <c r="K157" i="8" s="1"/>
  <c r="J157" i="8"/>
  <c r="H162" i="8"/>
  <c r="K162" i="8" s="1"/>
  <c r="J162" i="8"/>
  <c r="H184" i="8"/>
  <c r="K184" i="8" s="1"/>
  <c r="J184" i="8"/>
  <c r="J190" i="8"/>
  <c r="H190" i="8"/>
  <c r="K190" i="8" s="1"/>
  <c r="H203" i="8"/>
  <c r="K203" i="8" s="1"/>
  <c r="J203" i="8"/>
  <c r="H146" i="4"/>
  <c r="K146" i="4" s="1"/>
  <c r="H79" i="6"/>
  <c r="K79" i="6" s="1"/>
  <c r="H128" i="6"/>
  <c r="K128" i="6" s="1"/>
  <c r="J128" i="6"/>
  <c r="H12" i="8"/>
  <c r="K12" i="8" s="1"/>
  <c r="J12" i="8"/>
  <c r="J20" i="8"/>
  <c r="H72" i="8"/>
  <c r="K72" i="8" s="1"/>
  <c r="J72" i="8"/>
  <c r="H91" i="8"/>
  <c r="K91" i="8" s="1"/>
  <c r="H122" i="8"/>
  <c r="K122" i="8" s="1"/>
  <c r="H128" i="8"/>
  <c r="K128" i="8" s="1"/>
  <c r="J128" i="8"/>
  <c r="H141" i="8"/>
  <c r="K141" i="8" s="1"/>
  <c r="H147" i="8"/>
  <c r="K147" i="8" s="1"/>
  <c r="H159" i="8"/>
  <c r="K159" i="8" s="1"/>
  <c r="H165" i="8"/>
  <c r="K165" i="8" s="1"/>
  <c r="H205" i="8"/>
  <c r="K205" i="8" s="1"/>
  <c r="H217" i="8"/>
  <c r="K217" i="8" s="1"/>
  <c r="H220" i="8"/>
  <c r="K220" i="8" s="1"/>
  <c r="H234" i="8"/>
  <c r="K234" i="8" s="1"/>
  <c r="H115" i="6"/>
  <c r="K115" i="6" s="1"/>
  <c r="J115" i="6"/>
  <c r="J39" i="8"/>
  <c r="H76" i="8"/>
  <c r="K76" i="8" s="1"/>
  <c r="J76" i="8"/>
  <c r="H194" i="8"/>
  <c r="K194" i="8" s="1"/>
  <c r="J194" i="8"/>
  <c r="J192" i="8" s="1"/>
  <c r="H222" i="2"/>
  <c r="K222" i="2" s="1"/>
  <c r="H60" i="4"/>
  <c r="K60" i="4" s="1"/>
  <c r="H81" i="4"/>
  <c r="K81" i="4" s="1"/>
  <c r="H88" i="4"/>
  <c r="K88" i="4" s="1"/>
  <c r="H18" i="6"/>
  <c r="K18" i="6" s="1"/>
  <c r="H67" i="6"/>
  <c r="K67" i="6" s="1"/>
  <c r="H82" i="6"/>
  <c r="K82" i="6" s="1"/>
  <c r="K77" i="6" s="1"/>
  <c r="H114" i="6"/>
  <c r="K114" i="6" s="1"/>
  <c r="J114" i="6"/>
  <c r="H151" i="6"/>
  <c r="K151" i="6" s="1"/>
  <c r="H19" i="8"/>
  <c r="K19" i="8" s="1"/>
  <c r="J19" i="8"/>
  <c r="H63" i="8"/>
  <c r="K63" i="8" s="1"/>
  <c r="J63" i="8"/>
  <c r="H102" i="8"/>
  <c r="K102" i="8" s="1"/>
  <c r="J102" i="8"/>
  <c r="J101" i="8" s="1"/>
  <c r="H239" i="8"/>
  <c r="K239" i="8" s="1"/>
  <c r="K238" i="8" s="1"/>
  <c r="J27" i="2"/>
  <c r="H70" i="2"/>
  <c r="K70" i="2" s="1"/>
  <c r="J73" i="2"/>
  <c r="J136" i="2"/>
  <c r="H138" i="2"/>
  <c r="K138" i="2" s="1"/>
  <c r="J150" i="2"/>
  <c r="J186" i="2"/>
  <c r="H188" i="2"/>
  <c r="K188" i="2" s="1"/>
  <c r="J194" i="2"/>
  <c r="H200" i="2"/>
  <c r="K200" i="2" s="1"/>
  <c r="J204" i="2"/>
  <c r="H37" i="4"/>
  <c r="K37" i="4" s="1"/>
  <c r="H41" i="4"/>
  <c r="K41" i="4" s="1"/>
  <c r="J44" i="4"/>
  <c r="H59" i="4"/>
  <c r="K59" i="4" s="1"/>
  <c r="H73" i="4"/>
  <c r="K73" i="4" s="1"/>
  <c r="H120" i="4"/>
  <c r="K120" i="4" s="1"/>
  <c r="H133" i="4"/>
  <c r="K133" i="4" s="1"/>
  <c r="J204" i="4"/>
  <c r="H224" i="4"/>
  <c r="K224" i="4" s="1"/>
  <c r="J27" i="6"/>
  <c r="J30" i="6"/>
  <c r="J47" i="6"/>
  <c r="J49" i="6"/>
  <c r="J51" i="6"/>
  <c r="J50" i="6" s="1"/>
  <c r="H119" i="6"/>
  <c r="K119" i="6" s="1"/>
  <c r="J119" i="6"/>
  <c r="H139" i="6"/>
  <c r="K139" i="6" s="1"/>
  <c r="J139" i="6"/>
  <c r="H144" i="6"/>
  <c r="K144" i="6" s="1"/>
  <c r="J144" i="6"/>
  <c r="J150" i="6"/>
  <c r="H150" i="6"/>
  <c r="K150" i="6" s="1"/>
  <c r="J239" i="6"/>
  <c r="H16" i="8"/>
  <c r="K16" i="8" s="1"/>
  <c r="J16" i="8"/>
  <c r="H38" i="8"/>
  <c r="K38" i="8" s="1"/>
  <c r="J44" i="8"/>
  <c r="J52" i="8"/>
  <c r="H58" i="8"/>
  <c r="K58" i="8" s="1"/>
  <c r="J58" i="8"/>
  <c r="H67" i="8"/>
  <c r="K67" i="8" s="1"/>
  <c r="J67" i="8"/>
  <c r="H90" i="8"/>
  <c r="K90" i="8" s="1"/>
  <c r="J90" i="8"/>
  <c r="H109" i="8"/>
  <c r="K109" i="8" s="1"/>
  <c r="J117" i="8"/>
  <c r="H121" i="8"/>
  <c r="K121" i="8" s="1"/>
  <c r="H146" i="8"/>
  <c r="K146" i="8" s="1"/>
  <c r="J146" i="8"/>
  <c r="J152" i="8"/>
  <c r="H152" i="8"/>
  <c r="K152" i="8" s="1"/>
  <c r="H158" i="8"/>
  <c r="K158" i="8" s="1"/>
  <c r="J158" i="8"/>
  <c r="J164" i="8"/>
  <c r="H164" i="8"/>
  <c r="K164" i="8" s="1"/>
  <c r="H183" i="8"/>
  <c r="K183" i="8" s="1"/>
  <c r="J183" i="8"/>
  <c r="H188" i="8"/>
  <c r="K188" i="8" s="1"/>
  <c r="J188" i="8"/>
  <c r="H193" i="8"/>
  <c r="K193" i="8" s="1"/>
  <c r="J193" i="8"/>
  <c r="H196" i="8"/>
  <c r="K196" i="8" s="1"/>
  <c r="H204" i="8"/>
  <c r="K204" i="8" s="1"/>
  <c r="J204" i="8"/>
  <c r="H219" i="8"/>
  <c r="K219" i="8" s="1"/>
  <c r="H233" i="8"/>
  <c r="K233" i="8" s="1"/>
  <c r="J22" i="2"/>
  <c r="J110" i="2"/>
  <c r="J160" i="2"/>
  <c r="J13" i="4"/>
  <c r="J11" i="4" s="1"/>
  <c r="J165" i="4"/>
  <c r="J176" i="4"/>
  <c r="J178" i="4"/>
  <c r="J183" i="4"/>
  <c r="J220" i="4"/>
  <c r="J26" i="6"/>
  <c r="J66" i="6"/>
  <c r="J78" i="6"/>
  <c r="J90" i="6"/>
  <c r="J113" i="6"/>
  <c r="H113" i="6"/>
  <c r="K113" i="6" s="1"/>
  <c r="H118" i="6"/>
  <c r="K118" i="6" s="1"/>
  <c r="J118" i="6"/>
  <c r="J145" i="6"/>
  <c r="J179" i="6"/>
  <c r="H193" i="6"/>
  <c r="K193" i="6" s="1"/>
  <c r="J193" i="6"/>
  <c r="H211" i="6"/>
  <c r="K211" i="6" s="1"/>
  <c r="J211" i="6"/>
  <c r="J240" i="6"/>
  <c r="H240" i="6"/>
  <c r="K240" i="6" s="1"/>
  <c r="J31" i="8"/>
  <c r="H37" i="8"/>
  <c r="K37" i="8" s="1"/>
  <c r="J37" i="8"/>
  <c r="J33" i="8" s="1"/>
  <c r="J32" i="8" s="1"/>
  <c r="J40" i="8"/>
  <c r="H49" i="8"/>
  <c r="K49" i="8" s="1"/>
  <c r="J49" i="8"/>
  <c r="J48" i="8" s="1"/>
  <c r="H62" i="8"/>
  <c r="K62" i="8" s="1"/>
  <c r="J62" i="8"/>
  <c r="H94" i="8"/>
  <c r="K94" i="8" s="1"/>
  <c r="J94" i="8"/>
  <c r="H100" i="8"/>
  <c r="K100" i="8" s="1"/>
  <c r="J100" i="8"/>
  <c r="J113" i="8"/>
  <c r="H120" i="8"/>
  <c r="K120" i="8" s="1"/>
  <c r="J120" i="8"/>
  <c r="H127" i="8"/>
  <c r="K127" i="8" s="1"/>
  <c r="J127" i="8"/>
  <c r="H185" i="8"/>
  <c r="K185" i="8" s="1"/>
  <c r="J189" i="8"/>
  <c r="H191" i="8"/>
  <c r="K191" i="8" s="1"/>
  <c r="H195" i="8"/>
  <c r="K195" i="8" s="1"/>
  <c r="J199" i="8"/>
  <c r="H208" i="8"/>
  <c r="K208" i="8" s="1"/>
  <c r="H218" i="8"/>
  <c r="K218" i="8" s="1"/>
  <c r="J218" i="8"/>
  <c r="H232" i="8"/>
  <c r="K232" i="8" s="1"/>
  <c r="K230" i="8" s="1"/>
  <c r="J232" i="8"/>
  <c r="J230" i="8" s="1"/>
  <c r="J68" i="8"/>
  <c r="J50" i="8"/>
  <c r="H166" i="8"/>
  <c r="K166" i="8" s="1"/>
  <c r="J166" i="8"/>
  <c r="J182" i="8"/>
  <c r="H182" i="8"/>
  <c r="K182" i="8" s="1"/>
  <c r="H198" i="8"/>
  <c r="K198" i="8" s="1"/>
  <c r="J198" i="8"/>
  <c r="H210" i="8"/>
  <c r="K210" i="8" s="1"/>
  <c r="J210" i="8"/>
  <c r="J227" i="8"/>
  <c r="H227" i="8"/>
  <c r="K227" i="8" s="1"/>
  <c r="H14" i="8"/>
  <c r="K14" i="8" s="1"/>
  <c r="K11" i="8" s="1"/>
  <c r="H18" i="8"/>
  <c r="K18" i="8" s="1"/>
  <c r="H23" i="8"/>
  <c r="K23" i="8" s="1"/>
  <c r="H28" i="8"/>
  <c r="K28" i="8" s="1"/>
  <c r="K25" i="8" s="1"/>
  <c r="H35" i="8"/>
  <c r="K35" i="8" s="1"/>
  <c r="H41" i="8"/>
  <c r="K41" i="8" s="1"/>
  <c r="H45" i="8"/>
  <c r="K45" i="8" s="1"/>
  <c r="H51" i="8"/>
  <c r="K51" i="8" s="1"/>
  <c r="K50" i="8" s="1"/>
  <c r="H53" i="8"/>
  <c r="K53" i="8" s="1"/>
  <c r="K52" i="8" s="1"/>
  <c r="H61" i="8"/>
  <c r="K61" i="8" s="1"/>
  <c r="H65" i="8"/>
  <c r="K65" i="8" s="1"/>
  <c r="H71" i="8"/>
  <c r="K71" i="8" s="1"/>
  <c r="H75" i="8"/>
  <c r="K75" i="8" s="1"/>
  <c r="H82" i="8"/>
  <c r="K82" i="8" s="1"/>
  <c r="H92" i="8"/>
  <c r="K92" i="8" s="1"/>
  <c r="H118" i="8"/>
  <c r="K118" i="8" s="1"/>
  <c r="H140" i="8"/>
  <c r="K140" i="8" s="1"/>
  <c r="J140" i="8"/>
  <c r="H150" i="8"/>
  <c r="K150" i="8" s="1"/>
  <c r="J150" i="8"/>
  <c r="I156" i="8"/>
  <c r="H170" i="8"/>
  <c r="K170" i="8" s="1"/>
  <c r="J170" i="8"/>
  <c r="H180" i="8"/>
  <c r="K180" i="8" s="1"/>
  <c r="J180" i="8"/>
  <c r="H222" i="8"/>
  <c r="K222" i="8" s="1"/>
  <c r="J222" i="8"/>
  <c r="H78" i="8"/>
  <c r="K78" i="8" s="1"/>
  <c r="K77" i="8" s="1"/>
  <c r="J83" i="8"/>
  <c r="H88" i="8"/>
  <c r="K88" i="8" s="1"/>
  <c r="K87" i="8" s="1"/>
  <c r="J93" i="8"/>
  <c r="H98" i="8"/>
  <c r="K98" i="8" s="1"/>
  <c r="H104" i="8"/>
  <c r="K104" i="8" s="1"/>
  <c r="K101" i="8" s="1"/>
  <c r="H114" i="8"/>
  <c r="K114" i="8" s="1"/>
  <c r="J119" i="8"/>
  <c r="H134" i="8"/>
  <c r="K134" i="8" s="1"/>
  <c r="J134" i="8"/>
  <c r="J130" i="8" s="1"/>
  <c r="H154" i="8"/>
  <c r="K154" i="8" s="1"/>
  <c r="J154" i="8"/>
  <c r="H169" i="8"/>
  <c r="K169" i="8" s="1"/>
  <c r="J177" i="8"/>
  <c r="H179" i="8"/>
  <c r="K179" i="8" s="1"/>
  <c r="H209" i="8"/>
  <c r="K209" i="8" s="1"/>
  <c r="J221" i="8"/>
  <c r="J216" i="8" s="1"/>
  <c r="H221" i="8"/>
  <c r="K221" i="8" s="1"/>
  <c r="I86" i="8"/>
  <c r="J172" i="8"/>
  <c r="H172" i="8"/>
  <c r="K172" i="8" s="1"/>
  <c r="I177" i="8"/>
  <c r="J206" i="8"/>
  <c r="J79" i="8"/>
  <c r="J89" i="8"/>
  <c r="J87" i="8" s="1"/>
  <c r="J99" i="8"/>
  <c r="J96" i="8" s="1"/>
  <c r="H110" i="8"/>
  <c r="K110" i="8" s="1"/>
  <c r="J115" i="8"/>
  <c r="H126" i="8"/>
  <c r="K126" i="8" s="1"/>
  <c r="H133" i="8"/>
  <c r="K133" i="8" s="1"/>
  <c r="K130" i="8" s="1"/>
  <c r="I135" i="8"/>
  <c r="I105" i="8" s="1"/>
  <c r="H153" i="8"/>
  <c r="K153" i="8" s="1"/>
  <c r="H168" i="8"/>
  <c r="K168" i="8" s="1"/>
  <c r="H178" i="8"/>
  <c r="K178" i="8" s="1"/>
  <c r="H200" i="8"/>
  <c r="K200" i="8" s="1"/>
  <c r="J215" i="8"/>
  <c r="J212" i="8" s="1"/>
  <c r="H215" i="8"/>
  <c r="K215" i="8" s="1"/>
  <c r="K212" i="8" s="1"/>
  <c r="H228" i="8"/>
  <c r="K228" i="8" s="1"/>
  <c r="J228" i="8"/>
  <c r="I229" i="8"/>
  <c r="H236" i="8"/>
  <c r="K236" i="8" s="1"/>
  <c r="K235" i="8" s="1"/>
  <c r="J236" i="8"/>
  <c r="H144" i="8"/>
  <c r="K144" i="8" s="1"/>
  <c r="H160" i="8"/>
  <c r="K160" i="8" s="1"/>
  <c r="H176" i="8"/>
  <c r="K176" i="8" s="1"/>
  <c r="H186" i="8"/>
  <c r="K186" i="8" s="1"/>
  <c r="H202" i="8"/>
  <c r="K202" i="8" s="1"/>
  <c r="K201" i="8" s="1"/>
  <c r="I206" i="8"/>
  <c r="I223" i="8"/>
  <c r="J238" i="8"/>
  <c r="H55" i="2"/>
  <c r="K55" i="2" s="1"/>
  <c r="H144" i="2"/>
  <c r="K144" i="2" s="1"/>
  <c r="H152" i="2"/>
  <c r="K152" i="2" s="1"/>
  <c r="H162" i="2"/>
  <c r="K162" i="2" s="1"/>
  <c r="H218" i="2"/>
  <c r="K218" i="2" s="1"/>
  <c r="H43" i="4"/>
  <c r="K43" i="4" s="1"/>
  <c r="H109" i="4"/>
  <c r="K109" i="4" s="1"/>
  <c r="H112" i="4"/>
  <c r="K112" i="4" s="1"/>
  <c r="H124" i="4"/>
  <c r="K124" i="4" s="1"/>
  <c r="H127" i="4"/>
  <c r="K127" i="4" s="1"/>
  <c r="H145" i="4"/>
  <c r="K145" i="4" s="1"/>
  <c r="H23" i="6"/>
  <c r="K23" i="6" s="1"/>
  <c r="J33" i="6"/>
  <c r="H41" i="6"/>
  <c r="K41" i="6" s="1"/>
  <c r="H45" i="6"/>
  <c r="K45" i="6" s="1"/>
  <c r="H94" i="6"/>
  <c r="K94" i="6" s="1"/>
  <c r="H95" i="6"/>
  <c r="K95" i="6" s="1"/>
  <c r="H131" i="6"/>
  <c r="K131" i="6" s="1"/>
  <c r="H141" i="6"/>
  <c r="K141" i="6" s="1"/>
  <c r="H153" i="6"/>
  <c r="K153" i="6" s="1"/>
  <c r="H154" i="6"/>
  <c r="K154" i="6" s="1"/>
  <c r="H169" i="6"/>
  <c r="K169" i="6" s="1"/>
  <c r="H183" i="6"/>
  <c r="K183" i="6" s="1"/>
  <c r="H197" i="6"/>
  <c r="K197" i="6" s="1"/>
  <c r="H198" i="6"/>
  <c r="K198" i="6" s="1"/>
  <c r="H203" i="6"/>
  <c r="K203" i="6" s="1"/>
  <c r="H236" i="6"/>
  <c r="K236" i="6" s="1"/>
  <c r="H241" i="6"/>
  <c r="K241" i="6" s="1"/>
  <c r="K238" i="6" s="1"/>
  <c r="H196" i="2"/>
  <c r="K196" i="2" s="1"/>
  <c r="H35" i="4"/>
  <c r="K35" i="4" s="1"/>
  <c r="J80" i="2"/>
  <c r="J83" i="2"/>
  <c r="J97" i="2"/>
  <c r="J140" i="2"/>
  <c r="H142" i="2"/>
  <c r="K142" i="2" s="1"/>
  <c r="J182" i="2"/>
  <c r="H184" i="2"/>
  <c r="K184" i="2" s="1"/>
  <c r="J190" i="2"/>
  <c r="H202" i="2"/>
  <c r="K202" i="2" s="1"/>
  <c r="H214" i="2"/>
  <c r="K214" i="2" s="1"/>
  <c r="J17" i="4"/>
  <c r="H42" i="4"/>
  <c r="K42" i="4" s="1"/>
  <c r="H55" i="4"/>
  <c r="K55" i="4" s="1"/>
  <c r="J58" i="4"/>
  <c r="H61" i="4"/>
  <c r="K61" i="4" s="1"/>
  <c r="J62" i="4"/>
  <c r="H71" i="4"/>
  <c r="K71" i="4" s="1"/>
  <c r="J78" i="4"/>
  <c r="J77" i="4" s="1"/>
  <c r="H116" i="4"/>
  <c r="K116" i="4" s="1"/>
  <c r="H134" i="4"/>
  <c r="K134" i="4" s="1"/>
  <c r="H166" i="4"/>
  <c r="K166" i="4" s="1"/>
  <c r="J169" i="4"/>
  <c r="H174" i="4"/>
  <c r="K174" i="4" s="1"/>
  <c r="H184" i="4"/>
  <c r="K184" i="4" s="1"/>
  <c r="J187" i="4"/>
  <c r="H194" i="4"/>
  <c r="K194" i="4" s="1"/>
  <c r="J197" i="4"/>
  <c r="H199" i="4"/>
  <c r="K199" i="4" s="1"/>
  <c r="J203" i="4"/>
  <c r="H213" i="4"/>
  <c r="K213" i="4" s="1"/>
  <c r="K212" i="4" s="1"/>
  <c r="J214" i="4"/>
  <c r="H225" i="4"/>
  <c r="K225" i="4" s="1"/>
  <c r="J226" i="4"/>
  <c r="J223" i="4" s="1"/>
  <c r="J13" i="6"/>
  <c r="J17" i="6"/>
  <c r="J54" i="6"/>
  <c r="J61" i="6"/>
  <c r="J65" i="6"/>
  <c r="J72" i="6"/>
  <c r="J76" i="6"/>
  <c r="H107" i="6"/>
  <c r="K107" i="6" s="1"/>
  <c r="K106" i="6" s="1"/>
  <c r="J111" i="6"/>
  <c r="H129" i="6"/>
  <c r="K129" i="6" s="1"/>
  <c r="H140" i="6"/>
  <c r="K140" i="6" s="1"/>
  <c r="J147" i="6"/>
  <c r="J164" i="6"/>
  <c r="J175" i="6"/>
  <c r="J176" i="6"/>
  <c r="H194" i="6"/>
  <c r="K194" i="6" s="1"/>
  <c r="J202" i="6"/>
  <c r="J201" i="6" s="1"/>
  <c r="J234" i="6"/>
  <c r="H24" i="2"/>
  <c r="K24" i="2" s="1"/>
  <c r="H64" i="2"/>
  <c r="K64" i="2" s="1"/>
  <c r="H116" i="2"/>
  <c r="K116" i="2" s="1"/>
  <c r="H170" i="2"/>
  <c r="K170" i="2" s="1"/>
  <c r="J59" i="2"/>
  <c r="J79" i="2"/>
  <c r="J82" i="2"/>
  <c r="H92" i="2"/>
  <c r="K92" i="2" s="1"/>
  <c r="J95" i="2"/>
  <c r="J146" i="2"/>
  <c r="H148" i="2"/>
  <c r="K148" i="2" s="1"/>
  <c r="J154" i="2"/>
  <c r="H158" i="2"/>
  <c r="K158" i="2" s="1"/>
  <c r="J164" i="2"/>
  <c r="H166" i="2"/>
  <c r="K166" i="2" s="1"/>
  <c r="J172" i="2"/>
  <c r="H174" i="2"/>
  <c r="K174" i="2" s="1"/>
  <c r="J198" i="2"/>
  <c r="J208" i="2"/>
  <c r="J220" i="2"/>
  <c r="J23" i="4"/>
  <c r="J20" i="4" s="1"/>
  <c r="J51" i="4"/>
  <c r="J50" i="4" s="1"/>
  <c r="J102" i="4"/>
  <c r="J101" i="4" s="1"/>
  <c r="J123" i="4"/>
  <c r="J126" i="4"/>
  <c r="J153" i="4"/>
  <c r="J12" i="6"/>
  <c r="J16" i="6"/>
  <c r="J22" i="6"/>
  <c r="J20" i="6" s="1"/>
  <c r="J40" i="6"/>
  <c r="J44" i="6"/>
  <c r="J53" i="6"/>
  <c r="J52" i="6" s="1"/>
  <c r="J71" i="6"/>
  <c r="J75" i="6"/>
  <c r="J93" i="6"/>
  <c r="J138" i="6"/>
  <c r="J163" i="6"/>
  <c r="J196" i="6"/>
  <c r="J207" i="6"/>
  <c r="J208" i="6"/>
  <c r="J219" i="6"/>
  <c r="J220" i="6"/>
  <c r="J233" i="6"/>
  <c r="K52" i="6"/>
  <c r="H24" i="6"/>
  <c r="K24" i="6" s="1"/>
  <c r="H29" i="6"/>
  <c r="K29" i="6" s="1"/>
  <c r="K25" i="6" s="1"/>
  <c r="H36" i="6"/>
  <c r="K36" i="6" s="1"/>
  <c r="K33" i="6" s="1"/>
  <c r="H74" i="6"/>
  <c r="K74" i="6" s="1"/>
  <c r="H83" i="6"/>
  <c r="K83" i="6" s="1"/>
  <c r="H152" i="6"/>
  <c r="K152" i="6" s="1"/>
  <c r="J152" i="6"/>
  <c r="H172" i="6"/>
  <c r="K172" i="6" s="1"/>
  <c r="J172" i="6"/>
  <c r="I206" i="6"/>
  <c r="I216" i="6"/>
  <c r="J228" i="6"/>
  <c r="H228" i="6"/>
  <c r="K228" i="6" s="1"/>
  <c r="I230" i="6"/>
  <c r="I229" i="6" s="1"/>
  <c r="J81" i="6"/>
  <c r="J77" i="6" s="1"/>
  <c r="I87" i="6"/>
  <c r="I86" i="6" s="1"/>
  <c r="J92" i="6"/>
  <c r="J98" i="6"/>
  <c r="H103" i="6"/>
  <c r="K103" i="6" s="1"/>
  <c r="K101" i="6" s="1"/>
  <c r="J110" i="6"/>
  <c r="H121" i="6"/>
  <c r="K121" i="6" s="1"/>
  <c r="J126" i="6"/>
  <c r="J159" i="6"/>
  <c r="I156" i="6"/>
  <c r="H171" i="6"/>
  <c r="K171" i="6" s="1"/>
  <c r="H180" i="6"/>
  <c r="K180" i="6" s="1"/>
  <c r="H226" i="6"/>
  <c r="K226" i="6" s="1"/>
  <c r="J226" i="6"/>
  <c r="J223" i="6" s="1"/>
  <c r="K235" i="6"/>
  <c r="J96" i="6"/>
  <c r="H132" i="6"/>
  <c r="K132" i="6" s="1"/>
  <c r="J132" i="6"/>
  <c r="H142" i="6"/>
  <c r="K142" i="6" s="1"/>
  <c r="J142" i="6"/>
  <c r="H168" i="6"/>
  <c r="K168" i="6" s="1"/>
  <c r="J168" i="6"/>
  <c r="J174" i="6"/>
  <c r="H174" i="6"/>
  <c r="K174" i="6" s="1"/>
  <c r="H182" i="6"/>
  <c r="K182" i="6" s="1"/>
  <c r="J182" i="6"/>
  <c r="H200" i="6"/>
  <c r="K200" i="6" s="1"/>
  <c r="J200" i="6"/>
  <c r="H15" i="6"/>
  <c r="K15" i="6" s="1"/>
  <c r="H19" i="6"/>
  <c r="K19" i="6" s="1"/>
  <c r="H42" i="6"/>
  <c r="K42" i="6" s="1"/>
  <c r="H46" i="6"/>
  <c r="K46" i="6" s="1"/>
  <c r="H60" i="6"/>
  <c r="K60" i="6" s="1"/>
  <c r="H64" i="6"/>
  <c r="K64" i="6" s="1"/>
  <c r="H70" i="6"/>
  <c r="K70" i="6" s="1"/>
  <c r="H91" i="6"/>
  <c r="K91" i="6" s="1"/>
  <c r="H97" i="6"/>
  <c r="K97" i="6" s="1"/>
  <c r="K96" i="6" s="1"/>
  <c r="H109" i="6"/>
  <c r="K109" i="6" s="1"/>
  <c r="H125" i="6"/>
  <c r="K125" i="6" s="1"/>
  <c r="J158" i="6"/>
  <c r="H158" i="6"/>
  <c r="K158" i="6" s="1"/>
  <c r="H181" i="6"/>
  <c r="K181" i="6" s="1"/>
  <c r="I192" i="6"/>
  <c r="J88" i="6"/>
  <c r="J104" i="6"/>
  <c r="J101" i="6" s="1"/>
  <c r="H117" i="6"/>
  <c r="K117" i="6" s="1"/>
  <c r="J122" i="6"/>
  <c r="H134" i="6"/>
  <c r="K134" i="6" s="1"/>
  <c r="H170" i="6"/>
  <c r="K170" i="6" s="1"/>
  <c r="H178" i="6"/>
  <c r="K178" i="6" s="1"/>
  <c r="J178" i="6"/>
  <c r="J184" i="6"/>
  <c r="H184" i="6"/>
  <c r="K184" i="6" s="1"/>
  <c r="J218" i="6"/>
  <c r="H218" i="6"/>
  <c r="K218" i="6" s="1"/>
  <c r="K216" i="6" s="1"/>
  <c r="H225" i="6"/>
  <c r="K225" i="6" s="1"/>
  <c r="J130" i="6"/>
  <c r="H136" i="6"/>
  <c r="K136" i="6" s="1"/>
  <c r="K135" i="6" s="1"/>
  <c r="I143" i="6"/>
  <c r="I105" i="6" s="1"/>
  <c r="H146" i="6"/>
  <c r="K146" i="6" s="1"/>
  <c r="H162" i="6"/>
  <c r="K162" i="6" s="1"/>
  <c r="I201" i="6"/>
  <c r="H204" i="6"/>
  <c r="K204" i="6" s="1"/>
  <c r="H210" i="6"/>
  <c r="K210" i="6" s="1"/>
  <c r="H232" i="6"/>
  <c r="K232" i="6" s="1"/>
  <c r="K230" i="6" s="1"/>
  <c r="H29" i="2"/>
  <c r="K29" i="2" s="1"/>
  <c r="H36" i="2"/>
  <c r="K36" i="2" s="1"/>
  <c r="J40" i="2"/>
  <c r="H46" i="2"/>
  <c r="K46" i="2" s="1"/>
  <c r="J63" i="2"/>
  <c r="J66" i="2"/>
  <c r="J78" i="2"/>
  <c r="K77" i="2"/>
  <c r="J102" i="2"/>
  <c r="H14" i="4"/>
  <c r="K14" i="4" s="1"/>
  <c r="H15" i="4"/>
  <c r="K15" i="4" s="1"/>
  <c r="H18" i="4"/>
  <c r="K18" i="4" s="1"/>
  <c r="H19" i="4"/>
  <c r="K19" i="4" s="1"/>
  <c r="J27" i="4"/>
  <c r="J31" i="4"/>
  <c r="J34" i="4"/>
  <c r="H47" i="4"/>
  <c r="K47" i="4" s="1"/>
  <c r="H49" i="4"/>
  <c r="K49" i="4" s="1"/>
  <c r="K48" i="4" s="1"/>
  <c r="H65" i="4"/>
  <c r="K65" i="4" s="1"/>
  <c r="H79" i="4"/>
  <c r="K79" i="4" s="1"/>
  <c r="K77" i="4" s="1"/>
  <c r="H80" i="4"/>
  <c r="K80" i="4" s="1"/>
  <c r="H83" i="4"/>
  <c r="K83" i="4" s="1"/>
  <c r="H91" i="4"/>
  <c r="K91" i="4" s="1"/>
  <c r="H92" i="4"/>
  <c r="K92" i="4" s="1"/>
  <c r="H95" i="4"/>
  <c r="K95" i="4" s="1"/>
  <c r="H99" i="4"/>
  <c r="K99" i="4" s="1"/>
  <c r="H103" i="4"/>
  <c r="K103" i="4" s="1"/>
  <c r="H107" i="4"/>
  <c r="K107" i="4" s="1"/>
  <c r="K106" i="4" s="1"/>
  <c r="H137" i="4"/>
  <c r="K137" i="4" s="1"/>
  <c r="H139" i="4"/>
  <c r="K139" i="4" s="1"/>
  <c r="H140" i="4"/>
  <c r="K140" i="4" s="1"/>
  <c r="J144" i="4"/>
  <c r="H157" i="4"/>
  <c r="K157" i="4" s="1"/>
  <c r="H158" i="4"/>
  <c r="K158" i="4" s="1"/>
  <c r="J160" i="4"/>
  <c r="H171" i="4"/>
  <c r="K171" i="4" s="1"/>
  <c r="J172" i="4"/>
  <c r="H185" i="4"/>
  <c r="K185" i="4" s="1"/>
  <c r="J186" i="4"/>
  <c r="J193" i="4"/>
  <c r="H198" i="4"/>
  <c r="K198" i="4" s="1"/>
  <c r="J200" i="4"/>
  <c r="J202" i="4"/>
  <c r="J209" i="4"/>
  <c r="J217" i="4"/>
  <c r="H227" i="4"/>
  <c r="K227" i="4" s="1"/>
  <c r="H228" i="4"/>
  <c r="K228" i="4" s="1"/>
  <c r="J23" i="2"/>
  <c r="J20" i="2" s="1"/>
  <c r="J62" i="2"/>
  <c r="J76" i="2"/>
  <c r="J100" i="2"/>
  <c r="H24" i="4"/>
  <c r="K24" i="4" s="1"/>
  <c r="H46" i="4"/>
  <c r="K46" i="4" s="1"/>
  <c r="J115" i="4"/>
  <c r="J118" i="4"/>
  <c r="J119" i="4"/>
  <c r="H136" i="4"/>
  <c r="K136" i="4" s="1"/>
  <c r="J138" i="4"/>
  <c r="H154" i="4"/>
  <c r="K154" i="4" s="1"/>
  <c r="H170" i="4"/>
  <c r="K170" i="4" s="1"/>
  <c r="H175" i="4"/>
  <c r="K175" i="4" s="1"/>
  <c r="J179" i="4"/>
  <c r="H188" i="4"/>
  <c r="K188" i="4" s="1"/>
  <c r="J191" i="4"/>
  <c r="H205" i="4"/>
  <c r="K205" i="4" s="1"/>
  <c r="H207" i="4"/>
  <c r="K207" i="4" s="1"/>
  <c r="K206" i="4" s="1"/>
  <c r="J208" i="4"/>
  <c r="J215" i="4"/>
  <c r="J221" i="4"/>
  <c r="K33" i="4"/>
  <c r="K39" i="4"/>
  <c r="K201" i="4"/>
  <c r="K216" i="4"/>
  <c r="L46" i="5"/>
  <c r="K46" i="5" s="1"/>
  <c r="K15" i="5"/>
  <c r="I105" i="4"/>
  <c r="K96" i="4"/>
  <c r="I32" i="4"/>
  <c r="J147" i="4"/>
  <c r="H147" i="4"/>
  <c r="K147" i="4" s="1"/>
  <c r="H152" i="4"/>
  <c r="K152" i="4" s="1"/>
  <c r="J152" i="4"/>
  <c r="H164" i="4"/>
  <c r="K164" i="4" s="1"/>
  <c r="J164" i="4"/>
  <c r="J189" i="4"/>
  <c r="H189" i="4"/>
  <c r="K189" i="4" s="1"/>
  <c r="H196" i="4"/>
  <c r="K196" i="4" s="1"/>
  <c r="J196" i="4"/>
  <c r="H21" i="4"/>
  <c r="K21" i="4" s="1"/>
  <c r="H26" i="4"/>
  <c r="K26" i="4" s="1"/>
  <c r="H30" i="4"/>
  <c r="K30" i="4" s="1"/>
  <c r="J129" i="4"/>
  <c r="H129" i="4"/>
  <c r="K129" i="4" s="1"/>
  <c r="I156" i="4"/>
  <c r="J163" i="4"/>
  <c r="H163" i="4"/>
  <c r="K163" i="4" s="1"/>
  <c r="J38" i="4"/>
  <c r="J66" i="4"/>
  <c r="J72" i="4"/>
  <c r="J82" i="4"/>
  <c r="J94" i="4"/>
  <c r="J87" i="4" s="1"/>
  <c r="J100" i="4"/>
  <c r="J96" i="4" s="1"/>
  <c r="H104" i="4"/>
  <c r="K104" i="4" s="1"/>
  <c r="H111" i="4"/>
  <c r="K111" i="4" s="1"/>
  <c r="J111" i="4"/>
  <c r="J141" i="4"/>
  <c r="H141" i="4"/>
  <c r="K141" i="4" s="1"/>
  <c r="H151" i="4"/>
  <c r="K151" i="4" s="1"/>
  <c r="H195" i="4"/>
  <c r="K195" i="4" s="1"/>
  <c r="J181" i="4"/>
  <c r="H181" i="4"/>
  <c r="K181" i="4" s="1"/>
  <c r="H12" i="4"/>
  <c r="K12" i="4" s="1"/>
  <c r="H16" i="4"/>
  <c r="K16" i="4" s="1"/>
  <c r="J48" i="4"/>
  <c r="H53" i="4"/>
  <c r="K53" i="4" s="1"/>
  <c r="H74" i="4"/>
  <c r="K74" i="4" s="1"/>
  <c r="H75" i="4"/>
  <c r="K75" i="4" s="1"/>
  <c r="H113" i="4"/>
  <c r="K113" i="4" s="1"/>
  <c r="H121" i="4"/>
  <c r="K121" i="4" s="1"/>
  <c r="H142" i="4"/>
  <c r="K142" i="4" s="1"/>
  <c r="J142" i="4"/>
  <c r="H168" i="4"/>
  <c r="K168" i="4" s="1"/>
  <c r="J168" i="4"/>
  <c r="I39" i="4"/>
  <c r="J54" i="4"/>
  <c r="J52" i="4" s="1"/>
  <c r="I57" i="4"/>
  <c r="I56" i="4" s="1"/>
  <c r="J76" i="4"/>
  <c r="H110" i="4"/>
  <c r="K110" i="4" s="1"/>
  <c r="H114" i="4"/>
  <c r="K114" i="4" s="1"/>
  <c r="J114" i="4"/>
  <c r="H122" i="4"/>
  <c r="K122" i="4" s="1"/>
  <c r="J122" i="4"/>
  <c r="H148" i="4"/>
  <c r="K148" i="4" s="1"/>
  <c r="J148" i="4"/>
  <c r="H167" i="4"/>
  <c r="K167" i="4" s="1"/>
  <c r="H182" i="4"/>
  <c r="K182" i="4" s="1"/>
  <c r="J182" i="4"/>
  <c r="H190" i="4"/>
  <c r="K190" i="4" s="1"/>
  <c r="J190" i="4"/>
  <c r="J216" i="4"/>
  <c r="J130" i="4"/>
  <c r="H117" i="4"/>
  <c r="K117" i="4" s="1"/>
  <c r="H125" i="4"/>
  <c r="K125" i="4" s="1"/>
  <c r="H131" i="4"/>
  <c r="K131" i="4" s="1"/>
  <c r="I143" i="4"/>
  <c r="I192" i="4"/>
  <c r="J212" i="4"/>
  <c r="H14" i="2"/>
  <c r="K14" i="2" s="1"/>
  <c r="H15" i="2"/>
  <c r="K15" i="2" s="1"/>
  <c r="H18" i="2"/>
  <c r="K18" i="2" s="1"/>
  <c r="H19" i="2"/>
  <c r="K19" i="2" s="1"/>
  <c r="H42" i="2"/>
  <c r="K42" i="2" s="1"/>
  <c r="H88" i="2"/>
  <c r="K88" i="2" s="1"/>
  <c r="H104" i="2"/>
  <c r="K104" i="2" s="1"/>
  <c r="K101" i="2" s="1"/>
  <c r="H112" i="2"/>
  <c r="K112" i="2" s="1"/>
  <c r="H118" i="2"/>
  <c r="K118" i="2" s="1"/>
  <c r="J120" i="2"/>
  <c r="H122" i="2"/>
  <c r="K122" i="2" s="1"/>
  <c r="J124" i="2"/>
  <c r="H126" i="2"/>
  <c r="K126" i="2" s="1"/>
  <c r="J128" i="2"/>
  <c r="J132" i="2"/>
  <c r="H134" i="2"/>
  <c r="K134" i="2" s="1"/>
  <c r="H224" i="2"/>
  <c r="K224" i="2" s="1"/>
  <c r="J226" i="2"/>
  <c r="H228" i="2"/>
  <c r="K228" i="2" s="1"/>
  <c r="J58" i="2"/>
  <c r="J57" i="2" s="1"/>
  <c r="J69" i="2"/>
  <c r="J72" i="2"/>
  <c r="J91" i="2"/>
  <c r="J94" i="2"/>
  <c r="H98" i="2"/>
  <c r="K98" i="2" s="1"/>
  <c r="J115" i="2"/>
  <c r="J35" i="2"/>
  <c r="J45" i="2"/>
  <c r="J54" i="2"/>
  <c r="J13" i="2"/>
  <c r="J17" i="2"/>
  <c r="H26" i="2"/>
  <c r="K26" i="2" s="1"/>
  <c r="J34" i="2"/>
  <c r="J41" i="2"/>
  <c r="J44" i="2"/>
  <c r="H60" i="2"/>
  <c r="K60" i="2" s="1"/>
  <c r="K57" i="2" s="1"/>
  <c r="J67" i="2"/>
  <c r="H74" i="2"/>
  <c r="K74" i="2" s="1"/>
  <c r="J90" i="2"/>
  <c r="J103" i="2"/>
  <c r="J101" i="2" s="1"/>
  <c r="J111" i="2"/>
  <c r="J53" i="2"/>
  <c r="H53" i="2"/>
  <c r="K53" i="2" s="1"/>
  <c r="J141" i="2"/>
  <c r="H141" i="2"/>
  <c r="K141" i="2" s="1"/>
  <c r="J181" i="2"/>
  <c r="H181" i="2"/>
  <c r="K181" i="2" s="1"/>
  <c r="J213" i="2"/>
  <c r="H213" i="2"/>
  <c r="K213" i="2" s="1"/>
  <c r="H12" i="2"/>
  <c r="K12" i="2" s="1"/>
  <c r="H16" i="2"/>
  <c r="K16" i="2" s="1"/>
  <c r="H21" i="2"/>
  <c r="K21" i="2" s="1"/>
  <c r="K20" i="2" s="1"/>
  <c r="H30" i="2"/>
  <c r="K30" i="2" s="1"/>
  <c r="J31" i="2"/>
  <c r="H37" i="2"/>
  <c r="K37" i="2" s="1"/>
  <c r="K33" i="2" s="1"/>
  <c r="J43" i="2"/>
  <c r="H43" i="2"/>
  <c r="K43" i="2" s="1"/>
  <c r="J47" i="2"/>
  <c r="H47" i="2"/>
  <c r="K47" i="2" s="1"/>
  <c r="J49" i="2"/>
  <c r="H49" i="2"/>
  <c r="K49" i="2" s="1"/>
  <c r="J51" i="2"/>
  <c r="J50" i="2" s="1"/>
  <c r="H51" i="2"/>
  <c r="K51" i="2" s="1"/>
  <c r="K50" i="2" s="1"/>
  <c r="J61" i="2"/>
  <c r="H61" i="2"/>
  <c r="K61" i="2" s="1"/>
  <c r="J65" i="2"/>
  <c r="H65" i="2"/>
  <c r="K65" i="2" s="1"/>
  <c r="J71" i="2"/>
  <c r="J68" i="2" s="1"/>
  <c r="H71" i="2"/>
  <c r="K71" i="2" s="1"/>
  <c r="J75" i="2"/>
  <c r="H75" i="2"/>
  <c r="K75" i="2" s="1"/>
  <c r="J109" i="2"/>
  <c r="J108" i="2" s="1"/>
  <c r="H109" i="2"/>
  <c r="K109" i="2" s="1"/>
  <c r="K108" i="2" s="1"/>
  <c r="J113" i="2"/>
  <c r="H113" i="2"/>
  <c r="K113" i="2" s="1"/>
  <c r="J117" i="2"/>
  <c r="H117" i="2"/>
  <c r="K117" i="2" s="1"/>
  <c r="J147" i="2"/>
  <c r="H147" i="2"/>
  <c r="K147" i="2" s="1"/>
  <c r="J207" i="2"/>
  <c r="H207" i="2"/>
  <c r="K207" i="2" s="1"/>
  <c r="J219" i="2"/>
  <c r="H219" i="2"/>
  <c r="K219" i="2" s="1"/>
  <c r="K216" i="2" s="1"/>
  <c r="J38" i="2"/>
  <c r="J81" i="2"/>
  <c r="H81" i="2"/>
  <c r="K81" i="2" s="1"/>
  <c r="J89" i="2"/>
  <c r="H89" i="2"/>
  <c r="K89" i="2" s="1"/>
  <c r="J93" i="2"/>
  <c r="H93" i="2"/>
  <c r="K93" i="2" s="1"/>
  <c r="J99" i="2"/>
  <c r="J96" i="2" s="1"/>
  <c r="H99" i="2"/>
  <c r="K99" i="2" s="1"/>
  <c r="K96" i="2" s="1"/>
  <c r="J107" i="2"/>
  <c r="H107" i="2"/>
  <c r="K107" i="2" s="1"/>
  <c r="J125" i="2"/>
  <c r="H125" i="2"/>
  <c r="K125" i="2" s="1"/>
  <c r="I143" i="2"/>
  <c r="I105" i="2" s="1"/>
  <c r="J167" i="2"/>
  <c r="H167" i="2"/>
  <c r="K167" i="2" s="1"/>
  <c r="H123" i="2"/>
  <c r="K123" i="2" s="1"/>
  <c r="J123" i="2"/>
  <c r="H133" i="2"/>
  <c r="K133" i="2" s="1"/>
  <c r="J133" i="2"/>
  <c r="H139" i="2"/>
  <c r="K139" i="2" s="1"/>
  <c r="J139" i="2"/>
  <c r="H145" i="2"/>
  <c r="K145" i="2" s="1"/>
  <c r="J145" i="2"/>
  <c r="J143" i="2" s="1"/>
  <c r="H153" i="2"/>
  <c r="K153" i="2" s="1"/>
  <c r="J153" i="2"/>
  <c r="H161" i="2"/>
  <c r="K161" i="2" s="1"/>
  <c r="J161" i="2"/>
  <c r="J171" i="2"/>
  <c r="H171" i="2"/>
  <c r="K171" i="2" s="1"/>
  <c r="J185" i="2"/>
  <c r="H185" i="2"/>
  <c r="K185" i="2" s="1"/>
  <c r="J205" i="2"/>
  <c r="H205" i="2"/>
  <c r="K205" i="2" s="1"/>
  <c r="K201" i="2" s="1"/>
  <c r="I206" i="2"/>
  <c r="J211" i="2"/>
  <c r="H211" i="2"/>
  <c r="K211" i="2" s="1"/>
  <c r="I212" i="2"/>
  <c r="J121" i="2"/>
  <c r="H121" i="2"/>
  <c r="K121" i="2" s="1"/>
  <c r="J129" i="2"/>
  <c r="H129" i="2"/>
  <c r="K129" i="2" s="1"/>
  <c r="J131" i="2"/>
  <c r="H131" i="2"/>
  <c r="K131" i="2" s="1"/>
  <c r="K130" i="2" s="1"/>
  <c r="J137" i="2"/>
  <c r="J135" i="2" s="1"/>
  <c r="H137" i="2"/>
  <c r="K137" i="2" s="1"/>
  <c r="K135" i="2" s="1"/>
  <c r="J151" i="2"/>
  <c r="H151" i="2"/>
  <c r="K151" i="2" s="1"/>
  <c r="J159" i="2"/>
  <c r="H159" i="2"/>
  <c r="K159" i="2" s="1"/>
  <c r="J175" i="2"/>
  <c r="H175" i="2"/>
  <c r="K175" i="2" s="1"/>
  <c r="J189" i="2"/>
  <c r="H189" i="2"/>
  <c r="K189" i="2" s="1"/>
  <c r="J195" i="2"/>
  <c r="H195" i="2"/>
  <c r="K195" i="2" s="1"/>
  <c r="J225" i="2"/>
  <c r="H225" i="2"/>
  <c r="K225" i="2" s="1"/>
  <c r="H119" i="2"/>
  <c r="K119" i="2" s="1"/>
  <c r="J119" i="2"/>
  <c r="H127" i="2"/>
  <c r="K127" i="2" s="1"/>
  <c r="J127" i="2"/>
  <c r="H149" i="2"/>
  <c r="K149" i="2" s="1"/>
  <c r="J149" i="2"/>
  <c r="H157" i="2"/>
  <c r="K157" i="2" s="1"/>
  <c r="J157" i="2"/>
  <c r="J163" i="2"/>
  <c r="H163" i="2"/>
  <c r="K163" i="2" s="1"/>
  <c r="I177" i="2"/>
  <c r="I155" i="2" s="1"/>
  <c r="J199" i="2"/>
  <c r="H199" i="2"/>
  <c r="K199" i="2" s="1"/>
  <c r="I216" i="2"/>
  <c r="J165" i="2"/>
  <c r="J169" i="2"/>
  <c r="J173" i="2"/>
  <c r="J179" i="2"/>
  <c r="J183" i="2"/>
  <c r="J187" i="2"/>
  <c r="J191" i="2"/>
  <c r="J193" i="2"/>
  <c r="J197" i="2"/>
  <c r="J203" i="2"/>
  <c r="J209" i="2"/>
  <c r="J215" i="2"/>
  <c r="J217" i="2"/>
  <c r="J221" i="2"/>
  <c r="J227" i="2"/>
  <c r="J105" i="12" l="1"/>
  <c r="K86" i="12"/>
  <c r="K56" i="12"/>
  <c r="K32" i="12"/>
  <c r="J86" i="12"/>
  <c r="J135" i="12"/>
  <c r="K192" i="12"/>
  <c r="K155" i="12" s="1"/>
  <c r="J56" i="12"/>
  <c r="J229" i="12"/>
  <c r="K135" i="12"/>
  <c r="K105" i="12" s="1"/>
  <c r="J192" i="12"/>
  <c r="J155" i="12" s="1"/>
  <c r="J242" i="12" s="1"/>
  <c r="K223" i="12"/>
  <c r="J39" i="12"/>
  <c r="J32" i="12" s="1"/>
  <c r="I242" i="12"/>
  <c r="K52" i="2"/>
  <c r="J135" i="6"/>
  <c r="J206" i="6"/>
  <c r="K96" i="8"/>
  <c r="K86" i="8" s="1"/>
  <c r="J238" i="6"/>
  <c r="J39" i="4"/>
  <c r="J238" i="10"/>
  <c r="J57" i="10"/>
  <c r="J56" i="10" s="1"/>
  <c r="K108" i="10"/>
  <c r="K25" i="10"/>
  <c r="K229" i="8"/>
  <c r="J156" i="8"/>
  <c r="K87" i="4"/>
  <c r="K20" i="6"/>
  <c r="J39" i="6"/>
  <c r="J57" i="6"/>
  <c r="J56" i="6" s="1"/>
  <c r="J108" i="8"/>
  <c r="J77" i="8"/>
  <c r="K206" i="8"/>
  <c r="K20" i="8"/>
  <c r="J25" i="8"/>
  <c r="J25" i="6"/>
  <c r="J57" i="8"/>
  <c r="K135" i="10"/>
  <c r="J101" i="10"/>
  <c r="K96" i="10"/>
  <c r="J87" i="10"/>
  <c r="K216" i="8"/>
  <c r="J201" i="4"/>
  <c r="K57" i="4"/>
  <c r="K87" i="6"/>
  <c r="J230" i="6"/>
  <c r="K68" i="8"/>
  <c r="K130" i="4"/>
  <c r="J68" i="6"/>
  <c r="J235" i="8"/>
  <c r="J229" i="8" s="1"/>
  <c r="J135" i="8"/>
  <c r="J201" i="10"/>
  <c r="J177" i="10"/>
  <c r="K177" i="10"/>
  <c r="K229" i="10"/>
  <c r="K57" i="10"/>
  <c r="K33" i="10"/>
  <c r="K192" i="10"/>
  <c r="J192" i="10"/>
  <c r="K56" i="10"/>
  <c r="K86" i="10"/>
  <c r="K50" i="10"/>
  <c r="K48" i="10"/>
  <c r="K156" i="10"/>
  <c r="K143" i="10"/>
  <c r="I155" i="10"/>
  <c r="I242" i="10" s="1"/>
  <c r="J206" i="10"/>
  <c r="J216" i="10"/>
  <c r="J156" i="10"/>
  <c r="J155" i="10" s="1"/>
  <c r="J230" i="10"/>
  <c r="J229" i="10" s="1"/>
  <c r="J130" i="10"/>
  <c r="J105" i="10" s="1"/>
  <c r="K32" i="10"/>
  <c r="K206" i="6"/>
  <c r="J143" i="6"/>
  <c r="J77" i="2"/>
  <c r="J32" i="6"/>
  <c r="J223" i="8"/>
  <c r="J201" i="8"/>
  <c r="J155" i="8" s="1"/>
  <c r="K68" i="2"/>
  <c r="K39" i="2"/>
  <c r="J52" i="2"/>
  <c r="J57" i="4"/>
  <c r="J87" i="6"/>
  <c r="J86" i="6" s="1"/>
  <c r="J156" i="6"/>
  <c r="J192" i="6"/>
  <c r="J229" i="6"/>
  <c r="J143" i="8"/>
  <c r="J105" i="8" s="1"/>
  <c r="K57" i="8"/>
  <c r="K39" i="8"/>
  <c r="J48" i="6"/>
  <c r="K212" i="2"/>
  <c r="J206" i="4"/>
  <c r="K68" i="6"/>
  <c r="K192" i="6"/>
  <c r="K108" i="8"/>
  <c r="K33" i="8"/>
  <c r="K32" i="8" s="1"/>
  <c r="K56" i="8"/>
  <c r="K192" i="8"/>
  <c r="K156" i="8"/>
  <c r="K177" i="8"/>
  <c r="J86" i="8"/>
  <c r="K143" i="8"/>
  <c r="I155" i="8"/>
  <c r="I242" i="8" s="1"/>
  <c r="K223" i="8"/>
  <c r="K48" i="8"/>
  <c r="J11" i="6"/>
  <c r="K68" i="4"/>
  <c r="K52" i="4"/>
  <c r="K223" i="4"/>
  <c r="J25" i="4"/>
  <c r="K143" i="6"/>
  <c r="J216" i="6"/>
  <c r="K108" i="6"/>
  <c r="J108" i="6"/>
  <c r="K192" i="4"/>
  <c r="J33" i="4"/>
  <c r="J32" i="4" s="1"/>
  <c r="K229" i="6"/>
  <c r="K39" i="6"/>
  <c r="K143" i="2"/>
  <c r="J177" i="4"/>
  <c r="K143" i="4"/>
  <c r="K101" i="4"/>
  <c r="K86" i="4" s="1"/>
  <c r="K84" i="4" s="1"/>
  <c r="K56" i="4" s="1"/>
  <c r="J68" i="4"/>
  <c r="K201" i="6"/>
  <c r="K223" i="6"/>
  <c r="K156" i="6"/>
  <c r="K57" i="6"/>
  <c r="K11" i="6"/>
  <c r="K130" i="6"/>
  <c r="K56" i="6"/>
  <c r="K32" i="6"/>
  <c r="J177" i="6"/>
  <c r="J155" i="6" s="1"/>
  <c r="K86" i="6"/>
  <c r="K177" i="6"/>
  <c r="I155" i="6"/>
  <c r="I242" i="6" s="1"/>
  <c r="J130" i="2"/>
  <c r="J11" i="2"/>
  <c r="J143" i="4"/>
  <c r="K177" i="4"/>
  <c r="K20" i="4"/>
  <c r="K32" i="4"/>
  <c r="J216" i="2"/>
  <c r="J223" i="2"/>
  <c r="K86" i="2"/>
  <c r="K223" i="2"/>
  <c r="K135" i="4"/>
  <c r="J135" i="4"/>
  <c r="J156" i="4"/>
  <c r="J192" i="4"/>
  <c r="J39" i="2"/>
  <c r="K156" i="4"/>
  <c r="K155" i="4" s="1"/>
  <c r="K108" i="4"/>
  <c r="K11" i="4"/>
  <c r="J86" i="4"/>
  <c r="J84" i="4" s="1"/>
  <c r="J56" i="4" s="1"/>
  <c r="I155" i="4"/>
  <c r="I229" i="4" s="1"/>
  <c r="J108" i="4"/>
  <c r="K25" i="4"/>
  <c r="J177" i="2"/>
  <c r="K192" i="2"/>
  <c r="J86" i="2"/>
  <c r="J33" i="2"/>
  <c r="J48" i="2"/>
  <c r="K25" i="2"/>
  <c r="J192" i="2"/>
  <c r="K11" i="2"/>
  <c r="J201" i="2"/>
  <c r="K32" i="2"/>
  <c r="I229" i="2"/>
  <c r="K156" i="2"/>
  <c r="K155" i="2"/>
  <c r="K106" i="2"/>
  <c r="K105" i="2"/>
  <c r="J87" i="2"/>
  <c r="J106" i="2"/>
  <c r="J105" i="2"/>
  <c r="K206" i="2"/>
  <c r="K48" i="2"/>
  <c r="J212" i="2"/>
  <c r="K87" i="2"/>
  <c r="K84" i="2" s="1"/>
  <c r="J155" i="2"/>
  <c r="J156" i="2"/>
  <c r="J206" i="2"/>
  <c r="K177" i="2"/>
  <c r="J252" i="12" l="1"/>
  <c r="J7" i="12"/>
  <c r="K242" i="12"/>
  <c r="J255" i="12" s="1"/>
  <c r="K105" i="4"/>
  <c r="K155" i="6"/>
  <c r="J242" i="10"/>
  <c r="J252" i="10" s="1"/>
  <c r="K105" i="10"/>
  <c r="J86" i="10"/>
  <c r="J105" i="6"/>
  <c r="K155" i="10"/>
  <c r="J56" i="8"/>
  <c r="J242" i="8" s="1"/>
  <c r="J7" i="10"/>
  <c r="K242" i="10"/>
  <c r="J255" i="10" s="1"/>
  <c r="K105" i="8"/>
  <c r="K155" i="8"/>
  <c r="K242" i="8" s="1"/>
  <c r="J255" i="8" s="1"/>
  <c r="J155" i="4"/>
  <c r="J84" i="2"/>
  <c r="J56" i="2" s="1"/>
  <c r="J229" i="2" s="1"/>
  <c r="J7" i="2" s="1"/>
  <c r="J32" i="2"/>
  <c r="J105" i="4"/>
  <c r="J242" i="6"/>
  <c r="J7" i="6" s="1"/>
  <c r="K105" i="6"/>
  <c r="K242" i="6" s="1"/>
  <c r="K229" i="4"/>
  <c r="J232" i="4" s="1"/>
  <c r="J229" i="4"/>
  <c r="J7" i="4" s="1"/>
  <c r="K56" i="2"/>
  <c r="K229" i="2" s="1"/>
  <c r="J232" i="2" s="1"/>
  <c r="J252" i="8" l="1"/>
  <c r="J7" i="8"/>
</calcChain>
</file>

<file path=xl/sharedStrings.xml><?xml version="1.0" encoding="utf-8"?>
<sst xmlns="http://schemas.openxmlformats.org/spreadsheetml/2006/main" count="7667" uniqueCount="567">
  <si>
    <t>PLANILHA DE MEDIÇÃO - UBS PROJETO MARIZ</t>
  </si>
  <si>
    <t>INFORMAÇÕES GERAIS</t>
  </si>
  <si>
    <r>
      <t xml:space="preserve">Município: </t>
    </r>
    <r>
      <rPr>
        <sz val="11"/>
        <rFont val="Arial"/>
        <family val="2"/>
      </rPr>
      <t>Prefeitura Municipal de Sousa - Bairro Projeto Mariz</t>
    </r>
  </si>
  <si>
    <r>
      <t>Empresa Executora:</t>
    </r>
    <r>
      <rPr>
        <sz val="11"/>
        <rFont val="Arial"/>
        <family val="2"/>
      </rPr>
      <t xml:space="preserve"> Elizabete Gomes Costrução e Incorporação Eireli ME</t>
    </r>
  </si>
  <si>
    <r>
      <t>Medição Nº :</t>
    </r>
    <r>
      <rPr>
        <sz val="11"/>
        <rFont val="Arial"/>
        <family val="2"/>
      </rPr>
      <t xml:space="preserve"> 01</t>
    </r>
  </si>
  <si>
    <r>
      <t>Obra:</t>
    </r>
    <r>
      <rPr>
        <sz val="11"/>
        <rFont val="Arial"/>
        <family val="2"/>
      </rPr>
      <t xml:space="preserve"> Construção de uma Unidade Básica de Saúde (Ministério da Saúde)</t>
    </r>
  </si>
  <si>
    <r>
      <t>Nº do Contrato Licitado: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565/2021</t>
    </r>
  </si>
  <si>
    <r>
      <t>Período:</t>
    </r>
    <r>
      <rPr>
        <sz val="11"/>
        <rFont val="Arial"/>
        <family val="2"/>
      </rPr>
      <t xml:space="preserve"> 18/08/2021 à 25/01/2022</t>
    </r>
  </si>
  <si>
    <r>
      <t>Responsável Técnico Fiscal:</t>
    </r>
    <r>
      <rPr>
        <sz val="11"/>
        <rFont val="Arial"/>
        <family val="2"/>
      </rPr>
      <t xml:space="preserve"> </t>
    </r>
  </si>
  <si>
    <r>
      <t>Responsável Técnico Executor:</t>
    </r>
    <r>
      <rPr>
        <sz val="11"/>
        <rFont val="Arial"/>
        <family val="2"/>
      </rPr>
      <t xml:space="preserve"> Yuri Estrela Batista</t>
    </r>
  </si>
  <si>
    <r>
      <t>Data:</t>
    </r>
    <r>
      <rPr>
        <sz val="11"/>
        <rFont val="Arial"/>
        <family val="2"/>
      </rPr>
      <t xml:space="preserve"> 25/07/2022</t>
    </r>
  </si>
  <si>
    <t>Nº CREA/CAU:</t>
  </si>
  <si>
    <r>
      <t>Nº CREA/CAU:</t>
    </r>
    <r>
      <rPr>
        <sz val="11"/>
        <rFont val="Arial"/>
        <family val="2"/>
      </rPr>
      <t xml:space="preserve"> 1616061260</t>
    </r>
  </si>
  <si>
    <t>Valor do BM:</t>
  </si>
  <si>
    <t>PLANILHA DE MEDIÇÃO</t>
  </si>
  <si>
    <t>ITEM</t>
  </si>
  <si>
    <r>
      <t xml:space="preserve">Discriminação
</t>
    </r>
    <r>
      <rPr>
        <i/>
        <sz val="11"/>
        <rFont val="Arial"/>
        <family val="2"/>
      </rPr>
      <t>Conforme Planilha Orçamentária Licitada e suas alterações</t>
    </r>
  </si>
  <si>
    <t>Unid.</t>
  </si>
  <si>
    <t>Preço
Unitário
A</t>
  </si>
  <si>
    <t>Quantidade
Prevista
Total
B</t>
  </si>
  <si>
    <t>Quantidade
Executada
Nesta Medição
C</t>
  </si>
  <si>
    <t>Quantidade
Executada
Acumulada
D</t>
  </si>
  <si>
    <t>Valor (R$)
Previsto
Total
AxB</t>
  </si>
  <si>
    <t>Valor (R$)
Executado
Nesta Medição
AxC</t>
  </si>
  <si>
    <t>Valor (R$)
Executado
Acumulado
AxD</t>
  </si>
  <si>
    <t>1.1</t>
  </si>
  <si>
    <t>PLACA DE OBRA EM CHAPA DE ACO GALVANIZADO</t>
  </si>
  <si>
    <t>m²</t>
  </si>
  <si>
    <t>1.2</t>
  </si>
  <si>
    <t>LOCACAO CONVENCIONAL DE OBRA, ATRAVÉS DE GABARITO DE TABUAS CORRIDAS PONTALETADAS A CADA 1,50M, SEM REAPROVEITAMENTO</t>
  </si>
  <si>
    <t>1.3</t>
  </si>
  <si>
    <t>TAPUME DE CHAPA DE MADEIRA COMPENSADA, E= 6MM, COM PINTURA A
CAL E REAPROVEITAMENTO DE 2X</t>
  </si>
  <si>
    <t>1.4</t>
  </si>
  <si>
    <t>DESMATAMENTO E LIMPEZA MECANIZADA DE TERRENO COM ARVORES
ATE Ø 15CM, UTILIZANDO TRATOR DE ESTEIRAS</t>
  </si>
  <si>
    <t>1.5</t>
  </si>
  <si>
    <t>INSTAL/LIGACAO PROVISORIA ELETRICA BAIXA TENSAO P/CANT OBRA OBRA,M3-CHAVE 100A CARGA 3KWH,20CV EXCL FORN MEDIDOR</t>
  </si>
  <si>
    <t>un</t>
  </si>
  <si>
    <t>1.6</t>
  </si>
  <si>
    <t>LIGAÇÃO PROVISÓRIA DE ÁGUA E SANITÁRIO</t>
  </si>
  <si>
    <t>1.7</t>
  </si>
  <si>
    <t>GALPAO ABERTO PARA OFICINA E DEPOSITO DE CANTEIRO DE OBRAS, EM MADEIRA DE LEI</t>
  </si>
  <si>
    <t>1.8</t>
  </si>
  <si>
    <t>BARRACAO DE OBRA EM CHAPA DE MADEIRA COMPENSADA COM
BANHEIRO, COBERTURA EM FIBROCIMENTO 4 MM, INCLUSO INSTALACOES HIDROSANITARIAS E ELETRICAS</t>
  </si>
  <si>
    <t>2.1</t>
  </si>
  <si>
    <t>ESCAVACAO MANUAL DE VALA EM  MATERIAL DE 1A CATEGORIA ATE 1,5M
EXCLUINDO ESGOTAMENTO / ESCORAMENTO</t>
  </si>
  <si>
    <t>m³</t>
  </si>
  <si>
    <t>2.2</t>
  </si>
  <si>
    <t>REATERRO DE VALA COM MATERIAL GRANULAR REAPROVEITADO ADENSADO E VIBRADO</t>
  </si>
  <si>
    <t>2.3</t>
  </si>
  <si>
    <t>CARGA E DESCARGA MECANIZADAS DE ENTULHO EM CAMINHAO BASCULANTE 6 M3</t>
  </si>
  <si>
    <t>2.4</t>
  </si>
  <si>
    <t>TRANSPORTE DE ENTULHO COM CAMINHAO BASCULANTE 6 M3, RODOVIA
PAVIMENTADA, DMT 0,5 A 1,0 KM</t>
  </si>
  <si>
    <t>3.1</t>
  </si>
  <si>
    <t>ESTRUTURA EM MADEIRA APARELHADA, PARA TELHA CERAMICA, APOIADA EM PAREDE</t>
  </si>
  <si>
    <t>3.2</t>
  </si>
  <si>
    <t>COBERTURA EM TELHA CERAMICA TIPO FRANCESA OU MARSELHA, EXCLUINDO MADEIRAMENTO</t>
  </si>
  <si>
    <t>3.3</t>
  </si>
  <si>
    <t>COBERTURA EM POLICARBONATO, INCL. ESTRUTURA METÁLICA</t>
  </si>
  <si>
    <t>3.4</t>
  </si>
  <si>
    <t>CUMEEIRA COM TELHA CERAMICA EMBOCADA COM ARGAMASSA TRACO
1:2:8 (CIMENTO, CAL E AREIA)</t>
  </si>
  <si>
    <t>m</t>
  </si>
  <si>
    <t>3.5</t>
  </si>
  <si>
    <t>CALHA EM CHAPA DE ACO GALVANIZADO NUMERO 24, DESENVOLVIMENTO DE 50CM</t>
  </si>
  <si>
    <t>3.6</t>
  </si>
  <si>
    <t>RUFO EM CHAPA DE ACO GALVANIZADO NUMERO 24, DESENVOLVIMENTO DE 25CM</t>
  </si>
  <si>
    <t>FUNDAÇÃO E ESTRUTURA</t>
  </si>
  <si>
    <t>4.1</t>
  </si>
  <si>
    <t>4.1.1</t>
  </si>
  <si>
    <t>LASTRO DE BRITA</t>
  </si>
  <si>
    <t>4.1.2</t>
  </si>
  <si>
    <t>FORMA TABUA P/ CONCRETO EM FUNDACAO C/ REAPROVEITAMENTO 10 X.</t>
  </si>
  <si>
    <t>4.1.3</t>
  </si>
  <si>
    <t>ARMACAO ACO CA-50, DIAM. 6,3 (1/4) À 12,5MM(1/2) -FORNECIMENTO/ CORTE(PERDA DE 10%) / DOBRA / COLOCAÇÃO.</t>
  </si>
  <si>
    <t>kg</t>
  </si>
  <si>
    <t>4.1.4</t>
  </si>
  <si>
    <t>ARMACAO DE ACO CA-60 DIAM. 3,4 A 6,0MM.- FORNECIMENTO / CORTE
(C/PERDA DE 10%) / DOBRA / COLOCAÇÃO.</t>
  </si>
  <si>
    <t>4.1.5</t>
  </si>
  <si>
    <t>CONCRETAGEM DE SAPATAS, FCK 30 MPA, COM USO DE JERICA – LANÇAMENTO, ADENSAMENTO E ACABAMENTO. AF_06/2017</t>
  </si>
  <si>
    <t>4.2</t>
  </si>
  <si>
    <t>4.2.1</t>
  </si>
  <si>
    <t>FORMA PARA ESTRUTURAS DE CONCRETO (PILAR, VIGA E LAJE) EM CHAPA DE MADEIRA COMPENSADA RESINADA, DE 1,10 X 2,20, ESPESSURA = 12 MM, 05 UTILIZACOES. (FABRICACAO, MONTAGEM E DESMONTAGEM)</t>
  </si>
  <si>
    <t>4.2.2</t>
  </si>
  <si>
    <t>4.2.3</t>
  </si>
  <si>
    <t>4.2.4</t>
  </si>
  <si>
    <t>CONCRETO FCK = 30MPA, TRAÇO 1:2,1:2,5 (CIMENTO/ AREIA MÉDIA/ BRITA 1)  - PREPARO MECÂNICO COM BETONEIRA 600 L. AF_07/2016</t>
  </si>
  <si>
    <t>4.2.5</t>
  </si>
  <si>
    <t>LANÇAMENTO COM USO DE BALDES, ADENSAMENTO E ACABAMENTO DE
CONCRETO EM ESTRUTURAS. AF_12/2015</t>
  </si>
  <si>
    <t>4.2.6</t>
  </si>
  <si>
    <t>LAJE PRE-MOLD BETA 12 P/3,5KN/M2 VAO 4,1M INCL VIGOTAS TIJOLOS ARMADU-RA NEGATIVA CAPEAMENTO 3CM CONCRETO 15MPA ESCORAMENTO MATERIAIS E MAO DE OBRA.</t>
  </si>
  <si>
    <t>4.2.7</t>
  </si>
  <si>
    <t>LAJE PRE-MOLD BETA 16 P/3,5KN/M2 VAO 5,2M INCL VIGOTAS TIJOLOS ARMADU-RA NEGATIVA CAPEAMENTO 3CM CONCRETO 15MPA ESCORAMENTO MATERIAL E MAO  DE OBRA.</t>
  </si>
  <si>
    <t>4.2.8</t>
  </si>
  <si>
    <t>VERGA 10X10CM EM CONCRETO PRÉ-MOLDADO FCK=20MPA (PREPARO COM BETONEIRA) AÇO CA60, BITOLA FINA, INCLUSIVE FORMAS TABUA 3A.</t>
  </si>
  <si>
    <t>ALVENARIA - VEDAÇÃO</t>
  </si>
  <si>
    <t>5.1</t>
  </si>
  <si>
    <t>(COMPOSIÇÃO REPRESENTATIVA) DO SERVIÇO DE ALVENARIA DE VEDAÇÃO DE BLOCOS VAZADOS DE CERÂMICA DE 9X19X19CM (ESPESSURA 9CM), PARA EDIFICAÇÃO HABITACIONAL UNIFAMILIAR (CASA) E EDIFICAÇÃO PÚBLICA PADRÃO. AF_11/2014</t>
  </si>
  <si>
    <t>5.2</t>
  </si>
  <si>
    <t>MURO</t>
  </si>
  <si>
    <t>5.2.1</t>
  </si>
  <si>
    <t>COBOGO DE CONCRETO (ELEMENTO VAZADO), 7X50X50CM, ASSENTADO COM ARGAMASSA TRACO 1:3 (CIMENTO E AREIA)</t>
  </si>
  <si>
    <t>IMPERMEABILIZAÇÃO</t>
  </si>
  <si>
    <t>6.1</t>
  </si>
  <si>
    <t>IMPERMEABILIZACAO DE ESTRUTURAS ENTERRADAS, COM TINTA ASFALTICA, DUAS DEMAOS.</t>
  </si>
  <si>
    <t>6.2</t>
  </si>
  <si>
    <t>IMPERMEABILIZACAO DE SUPERFICIE COM MANTA ASFALTICA (COM POLIMEROS TIPO APP), E=3 MM</t>
  </si>
  <si>
    <t>6.3</t>
  </si>
  <si>
    <t>PROTECAO MECANICA DE SUPERFICIE COM ARGAMASSA DE CIMENTO E AREIA, TRACO 1:3, E=2 CM</t>
  </si>
  <si>
    <t>REVESTIMENTOS - PISOS, PAREDES E TETOS</t>
  </si>
  <si>
    <t>7.1</t>
  </si>
  <si>
    <t>PISO</t>
  </si>
  <si>
    <t>7.1.1</t>
  </si>
  <si>
    <t>CONTRAPISO EM ARGAMASSA TRACO 1:4 (CIMENTO E AREIA), ESPESSURA
7CM, PREPARO MANUAL</t>
  </si>
  <si>
    <t>7.1.2</t>
  </si>
  <si>
    <t>REGULARIZAÇÃO DE BASE PARA REVEST. DE PISOS COM ARG. TRAÇO T4, ESP. MÉDIA = 2,5CM</t>
  </si>
  <si>
    <t>7.1.3</t>
  </si>
  <si>
    <t>EXECUÇÃO DE PASSEIO (CALÇADA) EM CONCRETO (CIMENTO/AREIA/SEIXO ROLADO), PREPARO MECÂNICO, ESPESSURA 7CM, COM JUNTA DE DILATAÇÃO EM MADEIRA, INCLUSO LANÇAMENTO E ADENSAMENTO</t>
  </si>
  <si>
    <t>7.1.4</t>
  </si>
  <si>
    <t>EXECUÇÃO DE PÁTIO/ESTACIONAMENTO EM PISO INTERTRAVADO, COM BLOCO RETANGULAR DE 20 X 10 CM, ESPESSURA 10 CM. AF_12/2015</t>
  </si>
  <si>
    <t>7.1.5</t>
  </si>
  <si>
    <t>MEIO-FIO (GUIA) DE CONCRETO PRE-MOLDADO, DIMENSÕES 12X15X30X100CM (FACE SUPERIORXFACE INFERIORXALTURAXCOMPRIMENTO),REJUNTADO C/ARGAMASSA 1:4 CIMENTO:AREIA, INCLUINDO ESCAVAÇÃO E REATERRO.</t>
  </si>
  <si>
    <t>7.1.6</t>
  </si>
  <si>
    <t>PLANTIO DE GRAMA EM PLACAS. AF_05/2018</t>
  </si>
  <si>
    <t>7.1.7</t>
  </si>
  <si>
    <t>SARJETA EM CONCRETO, PREPARO MANUAL, COM SEIXO ROLADO,
ESPESSURA = 8CM, LARGURA  = 40CM.</t>
  </si>
  <si>
    <t>7.1.8</t>
  </si>
  <si>
    <t>REVESTIMENTO CERÂMICO PARA PISO OU PAREDE, 40 X 40 CM, C/ PISO SOLID GREY, INCEPA OU SIMILAR, PEI 5, APLICADO COM ARGAMASSA INDUSTRIALIZADA AC-III, REJUNTE EPOXI, EXCLUSIVE REGULARIZAÇÃO DE BASE OU EMBOÇO</t>
  </si>
  <si>
    <t>7.1.9</t>
  </si>
  <si>
    <t>RODAPÉ DE CERAMICA ESMALTADA,  H=10CM, ASSENTADO  COM ARGAMASSA  COLANTE E REJUNTAMENTO EM EPOXI [ADAPTADO DE CAERN 1100087]</t>
  </si>
  <si>
    <t>7.1.10</t>
  </si>
  <si>
    <t>SOLEIRA EM GRANITO, LARGURA 15 CM, ESPESSURA 2,0 CM. AF_06/2018</t>
  </si>
  <si>
    <t>7.2</t>
  </si>
  <si>
    <t>PAREDE</t>
  </si>
  <si>
    <t>7.2.1</t>
  </si>
  <si>
    <t>CHAPISCO EM PAREDE COM ARGAMASSA TRAÇO T1 - 1:3 (CIMENTO / AREIA) - REVISADO 08/2015</t>
  </si>
  <si>
    <t>7.2.2</t>
  </si>
  <si>
    <t>CHAPISCO APLICADO EM ALVENARIAS E ESTRUTURAS DE CONCRETO
INTERNAS, COM COLHER DE PEDREIRO.  ARGAMASSA TRAÇO 1:3 COM PREPARO MANUAL. AF_06/2014</t>
  </si>
  <si>
    <t>7.2.3</t>
  </si>
  <si>
    <t>REBOCO OU EMBOÇO EXTERNO, DE PAREDE, COM ARGAMASSA TRAÇO T5 - 1:2:8 (CIMENTO / CAL / AREIA), ESPESSURA 2,0 CM</t>
  </si>
  <si>
    <t>7.2.4</t>
  </si>
  <si>
    <t>REVESTIMENTO CERÂMICO PARA PAREDES INTERNAS COM PLACAS TIPO ESMALTADA PADRÃO POPULAR DE DIMENSÕES 20X20 CM, ARGAMASSA TIPO AC I, REJUNTE EPOXI, APLICADAS EM AMBIENTES DE ÁREA MAIOR QUE 5 M2 NA ALTURA INTEIRA DAS PAREDES. AF_06/2014</t>
  </si>
  <si>
    <t>7.2.5</t>
  </si>
  <si>
    <t>APLICAÇÃO MANUAL DE MASSA ACRÍLICA EM PAREDES EXTERNAS DE CASAS, DUAS DEMÃOS. AF_05/2017</t>
  </si>
  <si>
    <t>7.2.6</t>
  </si>
  <si>
    <t>APLICAÇÃO MANUAL DE PINTURA COM TINTA LÁTEX ACRÍLICA EM PAREDES, DUAS DEMÃOS. AF_06/2014</t>
  </si>
  <si>
    <t>7.2.7</t>
  </si>
  <si>
    <t>PEITORIL GRANITO CINZA POLIDO, C/ LARGURA = 17 CM, ESP = 2 CM</t>
  </si>
  <si>
    <t>7.2.8</t>
  </si>
  <si>
    <t>APLICAÇÃO MANUAL DE PINTURA COM TINTA TEXTURIZADA ACRÍLICA EM PAREDES EXTERNAS DE CASAS, UMA COR. AF_06/2014</t>
  </si>
  <si>
    <t>7.3</t>
  </si>
  <si>
    <t>TETO</t>
  </si>
  <si>
    <t>7.3.1</t>
  </si>
  <si>
    <t>CHAPISCO EM TETO, E=5MM, COM ARGAMASSA TRAÇO T1 - 1:3 (CIMENTO / AREIA) -
REVISASA 08/2015</t>
  </si>
  <si>
    <t>7.3.2</t>
  </si>
  <si>
    <t>REBOCO OU EMBOÇO INTERNO, DE TETO, COM ARGAMASSA TRAÇO T6 - 1:2:10 (CIMENTO / CAL / AREIA), ESPESSURA 1,5 CM</t>
  </si>
  <si>
    <t>7.3.3</t>
  </si>
  <si>
    <t>EMASSAMENTO DE SUPERFCIE, COM APLICAO DE 02 DEMOS DE MASSA ACRLICA, LIXAMENTO E RETOQUES - REV 01</t>
  </si>
  <si>
    <t>7.3.4</t>
  </si>
  <si>
    <t>7.3.5</t>
  </si>
  <si>
    <t>7.3.6</t>
  </si>
  <si>
    <t>FORRO EM PLACAS PRE-MOLDADAS DE GESSO LISO, BISOTADO, 60X60CM COM ESPESSURA CENTRAL 1,2CM E NAS BORDAS 3,0CM, INCLUSO FIXACAO COM ARAME E ESTRUTURA DE MADEIRA</t>
  </si>
  <si>
    <t>7.4</t>
  </si>
  <si>
    <t>MURO DE FECHAMENTO DO RESERV. REAPROVEITAMENTO DE ÁGUA    </t>
  </si>
  <si>
    <t>7.4.1</t>
  </si>
  <si>
    <t>ESQUADRIAS</t>
  </si>
  <si>
    <t>8.1</t>
  </si>
  <si>
    <t>MADEIRA</t>
  </si>
  <si>
    <t>8.1.1</t>
  </si>
  <si>
    <t>PORTA EM MADEIRA COMPENSADA (CANELA), LISA, SEMI-ÔCA, 0.80 X 2.10 M, INCLUSIVE BATENTE E FERRAGENS</t>
  </si>
  <si>
    <t>8.1.2</t>
  </si>
  <si>
    <t>PORTA EM MADEIRA COMPENSADA (CANELA), LISA, SEMI-ÔCA, 0.90 X 2.10 M, INCLUSIVE BATENTES E FERRAGENS</t>
  </si>
  <si>
    <t>8.1.3</t>
  </si>
  <si>
    <t>PORTA EM MADEIRA COMPENSADA (CANELA), LISA, SEMI-ÔCA, 1.00 X 2.10 M, INCLUSIVE BATENTES E FERRAGENS</t>
  </si>
  <si>
    <t>8.1.4</t>
  </si>
  <si>
    <t>FECHADURA DE EMBUTIR COMPLETA, PARA PORTAS INTERNAS, PADRAO DE</t>
  </si>
  <si>
    <t>8.1.5</t>
  </si>
  <si>
    <t>PORTA DE MADEIRA COMPENSADA LISA PARA PINTURA, 0,80X2,10M, CORRER, INCLUSO ADUELA 1A, ALIZAR 1A, TRILHO E FECHADURA - COMPLETA</t>
  </si>
  <si>
    <t>8.1.6</t>
  </si>
  <si>
    <t>PORTA DE MADEIRA COMPENSADA LISA PARA PINTURA, 0,90X2,10M, CORRER, INCLUSO ADUELA 1A, ALIZAR 1A, TRILHO E FECHADURA - COMPLETA</t>
  </si>
  <si>
    <t>8.1.7</t>
  </si>
  <si>
    <t>PORTA DE MADEIRA COMPENSADA LISA PARA PINTURA, 1,20X2,10M, CORRER, INCLUSO ADUELA 1A, ALIZAR 1A, TRILHO E FECHADURA - COMPLETA</t>
  </si>
  <si>
    <t>8.1.8</t>
  </si>
  <si>
    <t>PINTURA ESMALTE ACETINADO PARA MADEIRA, DUAS DEMAOS, SOBRE
FUNDO NIVELADOR BRANCO</t>
  </si>
  <si>
    <t>8.2</t>
  </si>
  <si>
    <t>ALUMINIO</t>
  </si>
  <si>
    <t>8.2.1</t>
  </si>
  <si>
    <t>JANELA DE ALUMINIO TIPO MAXIM AR, INCLUSO GUARNICOES E VIDRO FANTASIA</t>
  </si>
  <si>
    <t>8.2.2</t>
  </si>
  <si>
    <t>JANELA EM ALUMÍNIO, COR N/P/B, TIPO VENEZIANA, DE CORRER, 1F+1M</t>
  </si>
  <si>
    <t>8.2.3</t>
  </si>
  <si>
    <t>PORTA DE ABRIR, EM ALUMINIO, CHAPA CORRUGADA COM GUARNICAO</t>
  </si>
  <si>
    <t>8.2.4</t>
  </si>
  <si>
    <t>BICICLETÁRIO EM TUBO DE AÇO GALVANIZADO DIAM=50MM, EXCETO PINTURA DE
ACABAMENTO</t>
  </si>
  <si>
    <t>8.3</t>
  </si>
  <si>
    <t>VIDRO</t>
  </si>
  <si>
    <t>8.3.1</t>
  </si>
  <si>
    <t>VIDRO TEMPERADO 10MM, LISO, TRANSPARENTE, COM FERRAGENS</t>
  </si>
  <si>
    <t>8.3.2</t>
  </si>
  <si>
    <t>VIDRO LISO COMUM TRANSPARENTE, ESPESSURA 3MM</t>
  </si>
  <si>
    <t>8.3.3</t>
  </si>
  <si>
    <t>ESPELHO CRISTAL, ESPESSURA 4MM, COM PARAFUSOS DE FIXACAO, SEM
MOLDURA</t>
  </si>
  <si>
    <t>INSTALAÇÕES ELETRICAS</t>
  </si>
  <si>
    <t>9.1</t>
  </si>
  <si>
    <t>PADRÃO DE ENTRADA TRIFÁSICO 125A AÉREO</t>
  </si>
  <si>
    <t>9.1.2</t>
  </si>
  <si>
    <t>PADRÃO DE ENTRADA TRIFÁSICO 125A AÉREO - COMPLETO CFE PROJETO</t>
  </si>
  <si>
    <t>9.2</t>
  </si>
  <si>
    <t>ALUMINIUPONTOS ELÉTRICOS</t>
  </si>
  <si>
    <t>9.2.1</t>
  </si>
  <si>
    <t>LUMINARIA TIPO CALHA, DE SOBREPOR, COM REATOR DE PARTIDA RAPIDA
E LAMPADA FLUORESCENTE 2X40W, COMPLETA, FORNECIMENTO E INSTALACAO</t>
  </si>
  <si>
    <t>9.2.2</t>
  </si>
  <si>
    <t>LUMINARIA TIPO SPOT PARA 1 LAMPADA INCANDESCENTE/FLUORESCENTE
COMPACTA</t>
  </si>
  <si>
    <t>9.2.3</t>
  </si>
  <si>
    <t>LUMINÁRIA ARANDELA TIPO TARTARUGA, COM GRADE, PARA 1 LÂMPADA DE 15 W - FORNECIMENTO E INSTALAÇÃO. AF_11/2017</t>
  </si>
  <si>
    <t>9.2.4</t>
  </si>
  <si>
    <t>BLOCO AUTÔNOMO DE ILUMINAÇÃO DE EMERGÊNCIA COM AUTONOMIA MÍNIMA DE 1 HORA, EQUIPADO COM 2 LÂMPADAS DE 11 W</t>
  </si>
  <si>
    <t>9.2.5</t>
  </si>
  <si>
    <t>PROJETOR P/ FACHADA A PROVA DE TEMPO P/ LAMPADA INCANDESCENTE OU VAPOR MERCURIO - FORNECIMENTO E INSTALACAO</t>
  </si>
  <si>
    <t>9.2.6</t>
  </si>
  <si>
    <t>RELE FOTOELETRICO P/ COMANDO DE ILUMINACAO EXTERNA 220V/1000W -
FORNECIMENTO E INSTALACAO</t>
  </si>
  <si>
    <t>9.2.7</t>
  </si>
  <si>
    <t>PONTO DE LUZ EM TETO OU PAREDE, COM ELETRODUTO DE PVC FLEXIVEL SANFONADO EMBUTIDO Ø 3/4"</t>
  </si>
  <si>
    <t>9.2.8</t>
  </si>
  <si>
    <t>PLACA PARA CAIXA 2" X 4", COM FURO CENTRAL</t>
  </si>
  <si>
    <t>9.2.9</t>
  </si>
  <si>
    <t>TOMADA 2P + T, ABNT, DE EMBUTIR, 20 A, COM PLACA EM PVC</t>
  </si>
  <si>
    <t>9.2.10</t>
  </si>
  <si>
    <t>CAIXA DE PASSAGEM, EM PVC, DE 4" X 2", PARA ELETRODUTO FLEXIVEL CORRUGADO</t>
  </si>
  <si>
    <t>9.2.11</t>
  </si>
  <si>
    <t>9.2.12</t>
  </si>
  <si>
    <t>CAIXA 100X100X80MM</t>
  </si>
  <si>
    <t>9.2.13</t>
  </si>
  <si>
    <t>9.2.14</t>
  </si>
  <si>
    <t>INTERRUPTOR SIMPLES DE EMBUTIR 10A/250V 1 TECLA, SEM PLACA - FORNECIMENTO E INSTALACAO</t>
  </si>
  <si>
    <t>9.2.15</t>
  </si>
  <si>
    <t>INTERRUPTOR SIMPLES DE EMBUTIR 10A/250V 2 TECLAS, COM PLACA - FORNECIMENTO E INSTALACAO</t>
  </si>
  <si>
    <t>9.2.16</t>
  </si>
  <si>
    <t>INTERRUPTOR SIMPLES DE EMBUTIR 10A/250V 3 TECLAS, COM PLACA - FORNECIMENTO E INSTALACAO</t>
  </si>
  <si>
    <t>9.2.17</t>
  </si>
  <si>
    <t>INTERRUPTOR INTERMEDIARIO (FOUR-WAY) - FORNECIMENTO E INSTALACAO</t>
  </si>
  <si>
    <t>9.2.18</t>
  </si>
  <si>
    <t>INTERRUPTOR PARALELO DE EMBUTIR 10A/250V 1 TECLA, SEM PLACA - FORNECIMENTO E INSTALACAO</t>
  </si>
  <si>
    <t>9.2.19</t>
  </si>
  <si>
    <t>ESPELHO PLASTICO 4X2" - FORNECIMENTO E INSTALACAO</t>
  </si>
  <si>
    <t>9.2.20</t>
  </si>
  <si>
    <t>TOMADA DUPLA, 2P + T, ABNT, DE EMBUTIR, 20 A, COM PLACA EM PVC</t>
  </si>
  <si>
    <t>9.2.21</t>
  </si>
  <si>
    <t>9.3</t>
  </si>
  <si>
    <t>QPDG</t>
  </si>
  <si>
    <t>9.3.1</t>
  </si>
  <si>
    <t>QUADRO DE DISTRIBUICAO DE ENERGIA DE EMBUTIR, EM CHAPA METALICA, PARA 18 DISJUNTORES TERMOMAGNETICOS MONOPOLARES, COM BARRAMENTO TRIFASICO E NEUTRO, FORNECIMENTO E INSTALACAO</t>
  </si>
  <si>
    <t>9.3.2</t>
  </si>
  <si>
    <t>DISJUNTOR TERMOMAGNETICO TRIPOLAR PADRAO NEMA (AMERICANO) 125 A 150A 240V, FORNECIMENTO E INSTALACAO</t>
  </si>
  <si>
    <t>9.3.3</t>
  </si>
  <si>
    <t>DISJUNTOR TERMOMAGNETICO TRIPOLAR PADRAO NEMA (AMERICANO) 60 A 100A 240V, FORNECIMENTO E INSTALACAO</t>
  </si>
  <si>
    <t>9.3.4</t>
  </si>
  <si>
    <t>PÁRA-RAIO DE LINHA PEV M-175-13 DA VOLTTS OU SIMILAR</t>
  </si>
  <si>
    <t>9.4</t>
  </si>
  <si>
    <t>QUADROS</t>
  </si>
  <si>
    <t>9.4.1</t>
  </si>
  <si>
    <t>9.4.2</t>
  </si>
  <si>
    <t>INTERRUPTOR DIFERENCIAL RESIDUAL (D.R.) TETRAPOLAR DE 63A-30MA</t>
  </si>
  <si>
    <t>9.4.3</t>
  </si>
  <si>
    <t>9.4.4</t>
  </si>
  <si>
    <t>9.4.5</t>
  </si>
  <si>
    <t>DISJUNTOR TERMOMAGNETICO MONOPOLAR PADRAO NEMA (AMERICANO) 10 A 30A 240V, FORNECIMENTO E INSTALACAO</t>
  </si>
  <si>
    <t>9.4.6</t>
  </si>
  <si>
    <t>DISJUNTOR TERMOMAGNETICO MONOPOLAR PADRAO NEMA (AMERICANO) 35 A 50A 240V, FORNECIMENTO E INSTALACAO</t>
  </si>
  <si>
    <t>9.4.7</t>
  </si>
  <si>
    <t>DISJUNTOR TERMOMAGNETICO BIPOLAR PADRAO NEMA (AMERICANO) 10 A 50A 240V, FORNECIMENTO E INSTALACAO</t>
  </si>
  <si>
    <t>9.5</t>
  </si>
  <si>
    <t>EQUIPAMENTOS LÓGICA E TELEFONIA</t>
  </si>
  <si>
    <t>9.5.1</t>
  </si>
  <si>
    <t>TOMADA DUPLA PARA LÓGICA RJ45, 4"X4", EMBUTIR, COMPLETA</t>
  </si>
  <si>
    <t>9.5.2</t>
  </si>
  <si>
    <t>PONTO SECO DE TOMADA P/ LÓGICA, COM ELETRODUTO PVC RÍGIDO EMBUTIDO, Ø 3/4"</t>
  </si>
  <si>
    <t>9.5.3</t>
  </si>
  <si>
    <t>CERTIFICAÇÃO DE GARANTIA DE TRANSMISSÃO DE CABOS LÓGICOS - CATEGORIA 6E</t>
  </si>
  <si>
    <t>9.5.4</t>
  </si>
  <si>
    <t>PONTO DE TELEFONE, INCLUINDO ELETRODUTO DE PVC RÍGIDO E CAIXA COM ESPELHO</t>
  </si>
  <si>
    <t>pt</t>
  </si>
  <si>
    <t>9.5.5</t>
  </si>
  <si>
    <t>RACK FECHADO PADRÃO METÁLICO, 19 X 12 US X 470 MM</t>
  </si>
  <si>
    <t>9.5.6</t>
  </si>
  <si>
    <t>SWITCH 24 PORTAS 10/100 MBPS - FORNECIMENTO</t>
  </si>
  <si>
    <t>9.5.7</t>
  </si>
  <si>
    <t>FORNECIMENTO E INSTALAÇÃO DE VOICE PANEL 24 PORTAS CAT 6</t>
  </si>
  <si>
    <t>9.5.8</t>
  </si>
  <si>
    <t>PLACA PARA CAIXA 4" X 4", 2 POSTOS REDONDOS</t>
  </si>
  <si>
    <t>9.5.9</t>
  </si>
  <si>
    <t>PONTO SECO PARA INSTALAÇÃO DE SOM, TV, ALARME E LÓGICA, INCLUINDO ELETRODUTO DE PVC RÍGIDO E CAIXA COM ESPELHO</t>
  </si>
  <si>
    <t>9.5.10</t>
  </si>
  <si>
    <t>QUADRO DE DISTRIBUICAO PARA TELEFONE N.3, 40X40X12CM EM CHAPA METALICA, DE EMBUTIR, SEM ACESSORIOS, PADRAO TELEBRAS, FORNECIMENTO E INSTALACAO</t>
  </si>
  <si>
    <t>9.5.11</t>
  </si>
  <si>
    <t>CAIXA ENTERRADA PARA INSTALACOES TELEFONICAS TIPO R1 0,60X0,35X0,50M EM BLOCOS DE CONCRETO ESTRUTURAL</t>
  </si>
  <si>
    <t>INSTALAÇÕES HIDRÁULICAS</t>
  </si>
  <si>
    <t>10.1</t>
  </si>
  <si>
    <t>LOUÇAS E APARELHOS SANITÁRIOS </t>
  </si>
  <si>
    <t>10.1.1</t>
  </si>
  <si>
    <t>VASO SANITÁRIO SIFONADO COM CAIXA ACOPLADA LOUÇA BRANCA - FORNECIMENTO E INSTALAÇÃO. AF_12/2013</t>
  </si>
  <si>
    <t>10.1.2</t>
  </si>
  <si>
    <t>ASSENTO PLÁSTICO, UNIVERSAL, BRANCO, PARA VASO SANITÁRIO, PADRÃO POPULAR</t>
  </si>
  <si>
    <t>10.1.3</t>
  </si>
  <si>
    <t>VASO SANITÁRIO CONVENCIONAL, ADAPTADO P/ DEFICIENTE FÍSICO, LINHA POPULAR, ELIZABETH OU SIMILAR, C/CAIXA DE DESCARGA DE SOBREPOR AKROS OU SIMILAR, ASSENTO PLASTICO UNIVERSAL BRANCO, CONJUNTO DE FIXAÇÃO, TUBO DE LIGAÇÃO E ENGATE PLÁSTICO</t>
  </si>
  <si>
    <t>10.1.4</t>
  </si>
  <si>
    <t>PORTA-PAPEL HIGIÊNICO, LINHA DOMUS, REF. 102 C40, DA MEBER OU SIMILAR</t>
  </si>
  <si>
    <t>10.1.5</t>
  </si>
  <si>
    <t>LAVATÓRIO LOUÇA BRANCA SUSPENSO 29,5 X 39,0 CM, PADRÃO POPULAR, COM SIFÃO PLÁSTICO TIPO COPO 1", VÁLVULA EM PLÁSTICO BRANCO 1" E CONJUNTO PARA FIXAÇÃO</t>
  </si>
  <si>
    <t>10.1.6</t>
  </si>
  <si>
    <t>LAVATORIO EM INOX PARA ESCOVAÇÃO, INCL VALVULAS E SIFÕES</t>
  </si>
  <si>
    <t>10.1.7</t>
  </si>
  <si>
    <t>DISPENSER PARA SABONETE LÍQUIDO</t>
  </si>
  <si>
    <t>10.1.8</t>
  </si>
  <si>
    <t>DISPENSER PARA TOALHA INTERFOLHADA</t>
  </si>
  <si>
    <t>10.1.9</t>
  </si>
  <si>
    <t>TANQUE DE LOUÇA (DECA REFTQ 03) COM COLUNA (DECA REFCT 25), COM TORNEIRA METÁLICA 1158 (DOCOL 20040506), C/ VÁLVULA DE PLÁSTICO E CONJUNTO DE FIXAÇÃO OU SIMILARES</t>
  </si>
  <si>
    <t>10.1.10</t>
  </si>
  <si>
    <t>BEBEDOURO ELÉTRICO DE PRESSÃO 40 LITROS INOX 110V, MASTERFRIO OU SIMILAR</t>
  </si>
  <si>
    <t>10.1.11</t>
  </si>
  <si>
    <t>BANCADA EM INOX COM 1 CUBA (C/VÁLVULA E SIFÃO EM METAL CROMADOS), COMPLETA</t>
  </si>
  <si>
    <t>10.1.12</t>
  </si>
  <si>
    <t>BANCADA EM INOX</t>
  </si>
  <si>
    <t>10.1.13</t>
  </si>
  <si>
    <t>BARRA APOIO PARA DEFICIENTE EM AÇO INOX</t>
  </si>
  <si>
    <t>10.1.14</t>
  </si>
  <si>
    <t>CUBA DE AÇO INOX 304 OU FUNIL EXPURGO HOSPITALAR 285X410MM SEM MESA PARA EMBUTIR - HIDRONOX OU SIMILAR</t>
  </si>
  <si>
    <t>10.1.15</t>
  </si>
  <si>
    <t>TORNEIRA AUTOMÁTICA CROMADA 1/2" OU 3/4" PARA LAVATÓRIO, COM
ENGATE FLEXIVEL METÁLICO 1/2"X30CM</t>
  </si>
  <si>
    <t>10.1.16</t>
  </si>
  <si>
    <t>ENGATE / RABICHO FLEXIVEL INOX 1/2 " X 30 CM</t>
  </si>
  <si>
    <t>10.1.17</t>
  </si>
  <si>
    <t>FORNECIMENTO E INSTALAÇÃO DE TORNEIRA DE LIMPEZA C/ CHAVE DE ACIONAMENTO Ø = 1/2"</t>
  </si>
  <si>
    <t>10.1.18</t>
  </si>
  <si>
    <t>TORNEIRA DE MESA BICA LONGA, BRANCA/CROMADA, FECHAMENTO AUTOMÁTICO, REF. 0101379, DA AZZO OU SIMILAR</t>
  </si>
  <si>
    <t>10.1.19</t>
  </si>
  <si>
    <t>CHUVEIRO ELETRICO COMUM CORPO PLASTICO TIPO DUCHA, FORNECIMENTO E INSTALACAO</t>
  </si>
  <si>
    <t>10.1.20</t>
  </si>
  <si>
    <t>BANCO ARTICULADO PARA BANHO COM PÉS DE APOIO 700X450MM (P/DEFICIENTES) - EM PLACA SÓLIDA DE FÓRMICA, SISTEMA DE TRAVAMENTO NA VERTICAL E FERRAGENS EM LATÃO</t>
  </si>
  <si>
    <t>10.2</t>
  </si>
  <si>
    <t>REAPROVEITAMENTO DE ÁGUA PLUVIAIS</t>
  </si>
  <si>
    <t>10.2.1</t>
  </si>
  <si>
    <t>CAIXA D´ÁGUA EM FIBRA DE VIDRO  - INSTALADA, SEM ESTRUTURA DE SUPORTE CAP. 3.000 LITROS</t>
  </si>
  <si>
    <t>10.2.2</t>
  </si>
  <si>
    <t>VÁLVULA DE RETENÇÃO VERTICAL Ø 32MM (1.1/4") - FORNECIMENTO E INSTALAÇÃO</t>
  </si>
  <si>
    <t>10.2.3</t>
  </si>
  <si>
    <t>TORNEIRA DE BOIA VAZAO TOTAL 3/4”COM BALAO PLASTICO - FORNECIMENTO E INSTALACAO</t>
  </si>
  <si>
    <t>10.2.4</t>
  </si>
  <si>
    <t>LUVA DE ACO GALVANIZADO 3/4" - FORNECIMENTO E INSTALACAO</t>
  </si>
  <si>
    <t>10.2.5</t>
  </si>
  <si>
    <t>FILTRO VOLUMETRICO MODELO VF1</t>
  </si>
  <si>
    <t>10.2.6</t>
  </si>
  <si>
    <t>FREIO D'ÁGUA Ø100</t>
  </si>
  <si>
    <t>und</t>
  </si>
  <si>
    <t>10.2.7</t>
  </si>
  <si>
    <t>SIFÃO LADRÃO EM POLIETILENO PARA EXTRAVASÃO, DIÂMETRO DE 100MM</t>
  </si>
  <si>
    <t>10.2.8</t>
  </si>
  <si>
    <t>SISTEMA AUTOMÁTICO DE REALIMENTAÇÃO 3/4" CONTENDO BÓIA
AUTOMÁTICA DE NÍVEL E VÁLVULA SOLENÓIDE</t>
  </si>
  <si>
    <t>10.2.9</t>
  </si>
  <si>
    <t>CONJUNTO FLUTUANTE DE SUCÇÃO Ø 1"</t>
  </si>
  <si>
    <t>10.2.10</t>
  </si>
  <si>
    <t>CHAVE DE BOIA AUTOMÁTICA SUPERIOR 10A/250V - FORNECIMENTO E
INSTALACAO</t>
  </si>
  <si>
    <t>10.2.11</t>
  </si>
  <si>
    <t>PRESSURIZADOR (SILENCIOSO) AUTOMÁTICO COM PRESSOSTATO,
POTENCIA 0,5HP - 19MCA 2.000 L/H</t>
  </si>
  <si>
    <t>10.2.12</t>
  </si>
  <si>
    <t>REGISTRO GAVETA 1.1/4" BRUTO LATAO - FORNECIMENTO E INSTALACAO</t>
  </si>
  <si>
    <t>10.2.13</t>
  </si>
  <si>
    <t>REGISTRO GAVETA 3/4" BRUTO LATAO - FORNECIMENTO E INSTALACAO</t>
  </si>
  <si>
    <t>10.2.14</t>
  </si>
  <si>
    <t>REGISTRO GAVETA 1" BRUTO LATAO - FORNECIMENTO E INSTALACAO</t>
  </si>
  <si>
    <t>10.3</t>
  </si>
  <si>
    <t>METAIS, ACESSÓRIOS E EQUIPAMENTOS</t>
  </si>
  <si>
    <t>10.3.1</t>
  </si>
  <si>
    <t>REGISTRO DE PRESSÃO BRUTO, LATÃO, ROSCÁVEL, 3/4", COM
ACABAMENTO E CANOPLA CROMADOS. FORNECIDO E INSTALADO EM RAMAL DE ÁGUA. AF_12/2014</t>
  </si>
  <si>
    <t>10.3.2</t>
  </si>
  <si>
    <t>VALVULA DESCARGA 1.1/2" COM REGISTRO, ACABAMENTO EM METAL
CROMADO - FORNECIMENTO E INSTALACAO</t>
  </si>
  <si>
    <t>10.3.3</t>
  </si>
  <si>
    <t>REGISTRO GAVETA 3/4" COM CANOPLA ACABAMENTO CROMADO SIMPLES -
FORNECIMENTO E INSTALACAO</t>
  </si>
  <si>
    <t>10.3.4</t>
  </si>
  <si>
    <t>RESERVATORIO EM FIBRA DE VIDRO 5.000 L</t>
  </si>
  <si>
    <t>10.3.5</t>
  </si>
  <si>
    <t>TORNEIRA DE BOIA VAZAO TOTAL 3/4”COM BALAO PLASTICO -
FORNECIMENTO E INSTALACAO</t>
  </si>
  <si>
    <t>10.3.6</t>
  </si>
  <si>
    <t>10.3.7</t>
  </si>
  <si>
    <t>10.3.8</t>
  </si>
  <si>
    <t>CAIXA SIFONADA PVC 150X150X50MM COM GRELHA REDONDA BRANCA -
FORNECIMENTO E INSTALACAO</t>
  </si>
  <si>
    <t>10.4</t>
  </si>
  <si>
    <t>PONTOS DE HIRAULICA </t>
  </si>
  <si>
    <t>10.4.1</t>
  </si>
  <si>
    <t>PONTO DE ÁGUA FRIA EMBUTIDO, C/MATERIAL PVC RÍGIDO ROSCÁVEL Ø 3/4"</t>
  </si>
  <si>
    <t>10.4.2</t>
  </si>
  <si>
    <t>PONTO DE ÁGUA FRIA EMBUTIDO, C/MATERIAL PVC RÍGIDO SOLDÁVEL Ø 40MM</t>
  </si>
  <si>
    <t>10.4.3</t>
  </si>
  <si>
    <t>PONTO DE ESGOTO COM TUBO DE PVC RÍGIDO SOLDÁVEL DE  Ø 50 MM (PIAS DE COZINHA, MÁQUINAS DE LAVAR, ETC...)</t>
  </si>
  <si>
    <t>10.4.4</t>
  </si>
  <si>
    <t>PONTO DE ESGOTO COM TUBO DE PVC RÍGIDO SOLDÁVEL DE Ø 100 MM (VASO SANITÁRIO)</t>
  </si>
  <si>
    <t>10.5</t>
  </si>
  <si>
    <t>REDE EXTERNAS</t>
  </si>
  <si>
    <t>10.5.1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</si>
  <si>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</si>
  <si>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10.5.2</t>
  </si>
  <si>
    <t>TUBO PVC ESGOTO PREDIAL DN 75MM, INCLUSIVE CONEXOES - FORNECIMENTO</t>
  </si>
  <si>
    <t>10.5.3</t>
  </si>
  <si>
    <t>TUBO PVC  SERIE NORMAL, DN 100 MM, PARA ESGOTO  PREDIAL (NBR
5688)</t>
  </si>
  <si>
    <t>10.5.4</t>
  </si>
  <si>
    <t>TANQUE SÉPTICO RETANGULAR, EM ALVENARIA COM TIJOLOS CERÂMICOS MACIÇOS, DIMENSÕES INTERNAS: 1,4 X 3,2 X 1,8 M, VOLUME ÚTIL: 6272 L (PARA 32 CONTRIBUINTES). AF_05/2018</t>
  </si>
  <si>
    <t>10.5.5</t>
  </si>
  <si>
    <t>SUMIDOURO RETANGULAR, EM ALVENARIA COM TIJOLOS CERÂMICOS MACIÇOS, DIMENSÕES INTERNAS: 1,0 X 3,0 X 3,0 M, ÁREA DE INFILTRAÇÃO: 25 M² (PARA 10 CONTRIBUINTES). AF_05/2018</t>
  </si>
  <si>
    <t>REDE AR COMPRIMIDO</t>
  </si>
  <si>
    <t>11.1</t>
  </si>
  <si>
    <t>TUBO DE COBRE RÍGIDO CLASSE A, D= 15MM</t>
  </si>
  <si>
    <t>11.2</t>
  </si>
  <si>
    <t>VÁLVULA DE ESFERA EM BRONZE Ø 1/2" - FORNECIMENTO E INSTALAÇÃO</t>
  </si>
  <si>
    <t>11.3</t>
  </si>
  <si>
    <t>TOMADA POSTO PAREDE - INTERNA AR COMPRIMIDO</t>
  </si>
  <si>
    <t>COMUNICAÇÃO VISUAL</t>
  </si>
  <si>
    <t>12.1</t>
  </si>
  <si>
    <t>PLACAS DE IDENTIFICAÇÃO "1" EM CHAPA AÇO GALVANIZADO Nº 26 COM PINTURA AUTOMITIVA PU, COM 2 POSTES RETO EM AÇO COR NATURAL ENGASTADO NO SOLO. APLICAÇÃO DE ADESIVO VINIL MONOMÉRICO. DIMENSÃO 150X77CM</t>
  </si>
  <si>
    <t>12.2</t>
  </si>
  <si>
    <t>PLACA DE SINALIZAÇÃO "2" EM PVC ADESIVADO COM ADESIVO POLIMÉRICO RECORTADO ELETRONICAMENTE E FIXADO À PAREDE COM FITA DUPLA FACE. DIM 80X41CM</t>
  </si>
  <si>
    <t>12.3</t>
  </si>
  <si>
    <t>PLACA DE SINALIZAÇÃO "3" EM PVC ADESIVADO COM ADESIVO POLIMÉRICO RECORTADO ELETRONICAMENTE E FIXADO AO TETO POR CABO DE AÇO 2MM. DIM 40X50CM</t>
  </si>
  <si>
    <t>12.4</t>
  </si>
  <si>
    <t>PLACA DE SINALIZAÇÃO "5 - FACHADA" EM CHAPA DE AÇO GALVANIZADO Nº 26 COM PINTURA AUTOMOTIVA PU, FIXADO À PAREDE COM PARAFUSOS. APLICAÇÃO DE ADESIVO VINIL MONOMÉRICO. DIM 150X60CM</t>
  </si>
  <si>
    <t>12.5</t>
  </si>
  <si>
    <t>PLACA DE IDENTIFICAÇÃO "6" EM PVC ADESIVADO COM ADESIVO POLIMÉRICO RECORTADO ELETRONICAMENTE E FIXADO À PAREDE COM
FITA DUPLA FACE. DIM 20X10CM</t>
  </si>
  <si>
    <t>12.6</t>
  </si>
  <si>
    <t>PLACA DE INDICAÇÃO "7" EM PVC ADESIVADO COM ADESIVO POLIMÉRICO RECORTADO ELETRONICAMENTE E FIXADO À PAREDE COM FITA DUPLA FACE. DIM 20X5CM - COMPRESSOR E RESIDUOS</t>
  </si>
  <si>
    <t>DIVERSOS E LIMPEZA DA OBRA</t>
  </si>
  <si>
    <t>13.1</t>
  </si>
  <si>
    <t>BANCO EM CONCRETO CURVO</t>
  </si>
  <si>
    <t>13.2</t>
  </si>
  <si>
    <t>BANCO DE CONCRETO C/ ENCOSTO DE 1,50 X 0,40M</t>
  </si>
  <si>
    <t>13.3</t>
  </si>
  <si>
    <t>LIMPEZA FINAL DA OBRA</t>
  </si>
  <si>
    <t>13.4</t>
  </si>
  <si>
    <t>CARGA MECANIZADA E REMOCAO E ENTULHO COM TRANSPORTE ATE 1KM</t>
  </si>
  <si>
    <t>m3</t>
  </si>
  <si>
    <t>13.5</t>
  </si>
  <si>
    <t>TRANSPORTE LOCAL COM CAMINHAO BASCULANTE 6 M3, RODOVIA PAVIMENTADA ( PARA DISTANCIAS SUPERIORES A 4 KM )</t>
  </si>
  <si>
    <t>m3xkm</t>
  </si>
  <si>
    <t>TOTAL</t>
  </si>
  <si>
    <t>MEMÓRIA DE CÁLCULO BM 01</t>
  </si>
  <si>
    <t>Discriminação</t>
  </si>
  <si>
    <t>QUANTIDADE</t>
  </si>
  <si>
    <t>MOBILIZAÇÃO - CANTEIRO DE OBRAS - DEMOLIÇÕES</t>
  </si>
  <si>
    <t xml:space="preserve">2,90 x 3,90 = </t>
  </si>
  <si>
    <t>Pelo projeto arquitetonico</t>
  </si>
  <si>
    <t>TAPUME DE CHAPA DE MADEIRA COMPENSADA, E= 6MM, COM PINTURA A CAL E REAPROVEITAMENTO DE 2X</t>
  </si>
  <si>
    <t>DESMATAMENTO E LIMPEZA MECANIZADA DE TERRENO COM ARVORES ATE Ø 15CM, UTILIZANDO TRATOR DE ESTEIRAS</t>
  </si>
  <si>
    <t>BARRACAO DE OBRA EM CHAPA DE MADEIRA COMPENSADA COM BANHEIRO, COBERTURA EM FIBROCIMENTO 4 MM, INCLUSO INSTALACOES HIDROSANITARIAS E ELETRICAS</t>
  </si>
  <si>
    <t>TRANSPORTE DE ENTULHO COM CAMINHAO BASCULANTE 6 M3, RODOVIA PAVIMENTADA, DMT 0,5 A 1,0 KM</t>
  </si>
  <si>
    <t>CUMEEIRA COM TELHA CERAMICA EMBOCADA COM ARGAMASSA TRACO 1:2:8 (CIMENTO, CAL E AREIA)</t>
  </si>
  <si>
    <t>FUNDAÇÃO</t>
  </si>
  <si>
    <t>ARMACAO DE ACO CA-60 DIAM. 3,4 A 6,0MM.- FORNECIMENTO / CORTE (C/PERDA DE 10%) / DOBRA / COLOCAÇÃO.</t>
  </si>
  <si>
    <t>LANÇAMENTO COM USO DE BALDES, ADENSAMENTO E ACABAMENTO DE CONCRETO EM ESTRUTURAS. AF_12/2015</t>
  </si>
  <si>
    <t>CONTRAPISO EM ARGAMASSA TRACO 1:4 (CIMENTO E AREIA), ESPESSURA 7CM, PREPARO MANUAL</t>
  </si>
  <si>
    <t>SARJETA EM CONCRETO, PREPARO MANUAL, COM SEIXO ROLADO, ESPESSURA = 8CM, LARGURA  = 40CM.</t>
  </si>
  <si>
    <t>CHAPISCO APLICADO EM ALVENARIAS E ESTRUTURAS DE CONCRETO INTERNAS, COM COLHER DE PEDREIRO.  ARGAMASSA TRAÇO 1:3 COM PREPARO MANUAL. AF_06/2014</t>
  </si>
  <si>
    <t>CHAPISCO EM TETO, E=5MM, COM ARGAMASSA TRAÇO T1 - 1:3 (CIMENTO / AREIA) - REVISASA 08/2015</t>
  </si>
  <si>
    <t>PINTURA ESMALTE ACETINADO PARA MADEIRA, DUAS DEMAOS, SOBRE FUNDO NIVELADOR BRANCO</t>
  </si>
  <si>
    <t>BICICLETÁRIO EM TUBO DE AÇO GALVANIZADO DIAM=50MM, EXCETO PINTURA DE ACABAMENTO</t>
  </si>
  <si>
    <t>ESPELHO CRISTAL, ESPESSURA 4MM, COM PARAFUSOS DE FIXACAO, SEM MOLDURA</t>
  </si>
  <si>
    <t>LUMINARIA TIPO CALHA, DE SOBREPOR, COM REATOR DE PARTIDA RAPIDA E LAMPADA FLUORESCENTE 2X40W, COMPLETA, FORNECIMENTO E INSTALACAO</t>
  </si>
  <si>
    <t>LUMINARIA TIPO SPOT PARA 1 LAMPADA INCANDESCENTE/FLUORESCENTE COMPACTA</t>
  </si>
  <si>
    <t>RELE FOTOELETRICO P/ COMANDO DE ILUMINACAO EXTERNA 220V/1000W - FORNECIMENTO E INSTALACAO</t>
  </si>
  <si>
    <t>TORNEIRA AUTOMÁTICA CROMADA 1/2" OU 3/4" PARA LAVATÓRIO, COM ENGATE FLEXIVEL METÁLICO 1/2"X30CM</t>
  </si>
  <si>
    <t>SISTEMA AUTOMÁTICO DE REALIMENTAÇÃO 3/4" CONTENDO BÓIA AUTOMÁTICA DE NÍVEL E VÁLVULA SOLENÓIDE</t>
  </si>
  <si>
    <t>CHAVE DE BOIA AUTOMÁTICA SUPERIOR 10A/250V - FORNECIMENTO E INSTALACAO</t>
  </si>
  <si>
    <t>PRESSURIZADOR (SILENCIOSO) AUTOMÁTICO COM PRESSOSTATO, POTENCIA 0,5HP - 19MCA 2.000 L/H</t>
  </si>
  <si>
    <t>REGISTRO DE PRESSÃO BRUTO, LATÃO, ROSCÁVEL, 3/4", COM ACABAMENTO E CANOPLA CROMADOS. FORNECIDO E INSTALADO EM RAMAL DE ÁGUA. AF_12/2014</t>
  </si>
  <si>
    <t>VALVULA DESCARGA 1.1/2" COM REGISTRO, ACABAMENTO EM METAL CROMADO - FORNECIMENTO E INSTALACAO</t>
  </si>
  <si>
    <t>REGISTRO GAVETA 3/4" COM CANOPLA ACABAMENTO CROMADO SIMPLES - FORNECIMENTO E INSTALACAO</t>
  </si>
  <si>
    <t>CAIXA SIFONADA PVC 150X150X50MM COM GRELHA REDONDA BRANCA - FORNECIMENTO E INSTALACAO</t>
  </si>
  <si>
    <t>TUBO PVC  SERIE NORMAL, DN 100 MM, PARA ESGOTO  PREDIAL (NBR 5688)</t>
  </si>
  <si>
    <t>PLACA DE IDENTIFICAÇÃO "6" EM PVC ADESIVADO COM ADESIVO POLIMÉRICO RECORTADO ELETRONICAMENTE E FIXADO À PAREDE COM FITA DUPLA FACE. DIM 20X10CM</t>
  </si>
  <si>
    <r>
      <t>Medição Nº :</t>
    </r>
    <r>
      <rPr>
        <sz val="11"/>
        <rFont val="Arial"/>
        <family val="2"/>
      </rPr>
      <t xml:space="preserve"> 02</t>
    </r>
  </si>
  <si>
    <r>
      <t>Período:</t>
    </r>
    <r>
      <rPr>
        <sz val="11"/>
        <rFont val="Arial"/>
        <family val="2"/>
      </rPr>
      <t xml:space="preserve"> 26/01/2022 à 15/12/2022</t>
    </r>
  </si>
  <si>
    <r>
      <t>Data:</t>
    </r>
    <r>
      <rPr>
        <sz val="11"/>
        <rFont val="Arial"/>
        <family val="2"/>
      </rPr>
      <t xml:space="preserve"> 15/12/2022</t>
    </r>
  </si>
  <si>
    <t>MEMÓRIA DE CÁLCULO BM 02</t>
  </si>
  <si>
    <r>
      <t xml:space="preserve">Área = 24,30 x 2,00 = </t>
    </r>
    <r>
      <rPr>
        <b/>
        <sz val="11"/>
        <rFont val="Arial"/>
        <family val="2"/>
      </rPr>
      <t>48,60 m²</t>
    </r>
  </si>
  <si>
    <t>Conforme projeto arquitêtonico</t>
  </si>
  <si>
    <r>
      <t xml:space="preserve">Q = </t>
    </r>
    <r>
      <rPr>
        <b/>
        <sz val="11"/>
        <rFont val="Arial"/>
        <family val="2"/>
      </rPr>
      <t>1,00 unid.</t>
    </r>
  </si>
  <si>
    <r>
      <t xml:space="preserve">Área = 3,00 x 7,00 = </t>
    </r>
    <r>
      <rPr>
        <b/>
        <sz val="11"/>
        <rFont val="Arial"/>
        <family val="2"/>
      </rPr>
      <t>21,00 m²</t>
    </r>
  </si>
  <si>
    <r>
      <t xml:space="preserve">Área = 4,00 x 10,00 = </t>
    </r>
    <r>
      <rPr>
        <b/>
        <sz val="11"/>
        <rFont val="Arial"/>
        <family val="2"/>
      </rPr>
      <t>40,00 m²</t>
    </r>
  </si>
  <si>
    <r>
      <t xml:space="preserve">Conforme projeto estrutural - Prancha 5/21 e 6/21   S6=S10=S11=S24=S30=S37=S39 = 1,15 x 1,05 x 7,00 x 0,85 = 7,18 m³ S7=S8=S19=S20=S25=S34 = 1,00 x 0,90 x 6,00 x 0,85 = 4,59 m³                                                                                                                                    S16=S29 = 1,25 x 1,15 x 2,00 x 0,85 = 2,44 m³                                                                                                                                                                             S33=S43=S44 = 1,05 x 0,95 x 3,00 x 0,85 = 2,54 m³                                                                                                                                                                    S38 = 1,20 x 1,10 x 0,85 = 1,12 m³                                                                                                                                                                                                                 S42 = 0,80 x 0,70 x 0,85 = 0,48 m³                                                                                                                                                                                      S1=S2=S3=S5=S13=S23 = 0,95 x 0,85 x 6,00 x 0,85 = 4,12 m³                                                                                                                                               S4=S45 = 0,70 x 0,60 x 2,00 x 0,85 = 0,71 m³                                                       S9=S14=S15=S18=S21=S22=S26=S27=S32=S35=S36=S41 = 0,90 x 0,80 x 12,00 x 0,85 = 7,34 m³                                             S12=S17=S28=S31=S40 = 1,00 x 1,10 x 5,00 x 0,85 = 4,68 m³                                                                                                                                                  Volume total = </t>
    </r>
    <r>
      <rPr>
        <b/>
        <sz val="11"/>
        <rFont val="Arial"/>
        <family val="2"/>
      </rPr>
      <t xml:space="preserve">35,21 m³ </t>
    </r>
  </si>
  <si>
    <r>
      <t>Conforme projeto estrutural - Prancha 5/21 e 6/21   S6=S10=S11=S24=S30=S37=S39 = 7,00 x 0,29 = 2,03 m³ S7=S8=S19=S20=S25=S34 = 1,00 x 0,90 x 0,25 x 6,00 = 1,35 m³                                                                                                                                       S16=S29 = 0,373 x 2,00 = 0,75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S33=S43=S44 = 1,05 x 0,95 x 0,25 x 3,00 = 0,75 m³                                                                                                                                                                                                                                                                       S38 = 0,32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S42 = 0,80 x 0,70 x 0,25 = 0,14 m³                                                                                                                                                                                                                                                                            S1=S2=S3=S5=S13=S23 = 0,95 x 0,85 x 0,25 x 6,00 = 1,21 m³                                                                                                                                                                                                                                             S4=S45 = 0,70 x 0,60 x 0,25 x 2,00 = 0,21 m³                                                                                                                                                                                          S9=S14=S15=S18=S21=S22=S26=S27=S32=S35=S36=S41 = 0,90 x 0,80 x 0,25 x 12,00 = 2,16 m³                                                                                                                                                      S12=S17=S28=S31=S40 = 0,265 x 5,00 = 1,33 m³                                                                                                                                                                                                                                                                      Volume total (sapatas) = 10,24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P10 = 0,25 x 0,20 x 0,50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P39=P30 = 0,20 x 0,30 x 0,50 = 0,06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P11=P24 =P6=P37 = 0,15 x 0,25 x 0,50 x 4,00 = 0,08 m³                                                                                                                                                                                                                                                P7=P19 =P20=P25=P8 = 0,15 x 0,25 x 0,55 x 5,00 = 0,10 m³                                                                                                                                                                                                                                                  P34 = 0,20 x 0,30 x 0,55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P16 = 0,15 x 0,25 x 0,45 = 0,02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P29 = 0,20 x 0,30 x 0,45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P43=P44 = 0,15 x 0,30 x 0,55 x 2,00 = 0,05 m³                                                                                                                                                                                                                                                                                   P33 = 0,20 x 0,30 x 0,55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P38 = 0,20 x 0,30 x 0,50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P42 = 0,15 x 0,25 x 0,55 =  0,02 m³                                                                                                                                                                                                                                                       P1=P2=P3=P5=P13=P23=P4=P45 = 0,15 x 0,25 x 0,55 x 8,00 = 0,17 m³                                                                                                                               P9=P14=P15=P18=P21=P22=P26=P27=P32=P35=P36=P41 = 0,15 x 0,25 x 0,55 x 12,00 = 0,25 m³                                                                                                                                                       P12=P28=P31=P40 = 0,15 x 0,25 x 0,50 x 4,00 = 0,08 m³                                                                                                                                                                                                                                                           P17 = 0,20 x 0,25 x 0,50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Volume total (arranques) = 1,08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Volume de reaterro = 35,21 (escavação) - 10,24 (sapatas) - 1,08 (arranques) - 2,07 (lastro de brita) =</t>
    </r>
    <r>
      <rPr>
        <b/>
        <sz val="11"/>
        <rFont val="Arial"/>
        <family val="2"/>
      </rPr>
      <t xml:space="preserve"> 21,82 m³ </t>
    </r>
  </si>
  <si>
    <t>Material reaaproveitado das escavações</t>
  </si>
  <si>
    <r>
      <t xml:space="preserve">Conforme projeto estrutural - Prancha 5/21 e 6/21   S6=S10=S11=S24=S30=S37=S39 = 1,15 x 1,05 x 7,00 x 0,05 = 0,42 m³ S7=S8=S19=S20=S25=S34 = 1,00 x 0,90 x 6,00 x 0,05 = 0,27 m³                                                                                                                                        S16=S29 = 1,25 x 1,15 x 2,00 x 0,05 = 0,14 m³                                                                                                                                                                                                                                                                 S33=S43=S44 = 1,05 x 0,95 x 3,00 x 0,05 = 0,15 m³                                                                                                                                                                                                                                                                      S38 = 1,20 x 1,10 x 0,05 = 0,07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S42 = 0,80 x 0,70 x 0,05 = 0,03 m³                                                                                                                                                                                                                                                                       S1=S2=S3=S5=S13=S23 = 0,95 x 0,85 x 6,00 x 0,05 = 0,24 m³                                                                                                                                                                                                                                       S4=S45 = 0,70 x 0,60 x 2,00 x 0,05 = 0,04 m³                                                                                                                                                                                          S9=S14=S15=S18=S21=S22=S26=S27=S32=S35=S36=S41 = 0,90 x 0,80 x 12,00 x 0,05 = 0,43 m³                                                                                                                                                     S12=S17=S28=S31=S40 = 1,00 x 1,10 x 5,00 x 0,05 = 0,28 m³                                                                                                                                                                                                                                            Volume total = </t>
    </r>
    <r>
      <rPr>
        <b/>
        <sz val="11"/>
        <rFont val="Arial"/>
        <family val="2"/>
      </rPr>
      <t xml:space="preserve">2,07 m³ </t>
    </r>
  </si>
  <si>
    <r>
      <t xml:space="preserve">Conforme projeto estrutural - Prancha 9/21                                                                                                                                                                                                                                                                            Peso aço CA-50 = </t>
    </r>
    <r>
      <rPr>
        <b/>
        <sz val="11"/>
        <rFont val="Arial"/>
        <family val="2"/>
      </rPr>
      <t>212,53 m²</t>
    </r>
    <r>
      <rPr>
        <sz val="11"/>
        <rFont val="Arial"/>
        <family val="2"/>
      </rPr>
      <t xml:space="preserve"> (sapatas, arranques e vigas baldrame) </t>
    </r>
  </si>
  <si>
    <r>
      <t xml:space="preserve">Conforme projeto estrutural - Prancha 9/21                                                                                                                                                                                                                                                                          Peso aço CA-50 = 124,90 + 501,10 + 227,00 + 159,30 + 102,00 =  </t>
    </r>
    <r>
      <rPr>
        <b/>
        <sz val="11"/>
        <rFont val="Arial"/>
        <family val="2"/>
      </rPr>
      <t xml:space="preserve">1.114,30 kg </t>
    </r>
    <r>
      <rPr>
        <sz val="11"/>
        <rFont val="Arial"/>
        <family val="2"/>
      </rPr>
      <t xml:space="preserve">(sapatas, arranques e vigas baldrame) </t>
    </r>
  </si>
  <si>
    <r>
      <t xml:space="preserve">Conforme projeto estrutural - Prancha 9/21                                                                                                                                                                                                                                                                     Peso aço CA-60 = </t>
    </r>
    <r>
      <rPr>
        <b/>
        <sz val="11"/>
        <rFont val="Arial"/>
        <family val="2"/>
      </rPr>
      <t>225,70 kg</t>
    </r>
    <r>
      <rPr>
        <sz val="11"/>
        <rFont val="Arial"/>
        <family val="2"/>
      </rPr>
      <t xml:space="preserve"> (sapatas, arranques e vigas baldrame) </t>
    </r>
  </si>
  <si>
    <r>
      <t>Conforme projeto estrutural - Prancha 9/21                                                                                                                                                                                                                                                                         Volume de concreto total =</t>
    </r>
    <r>
      <rPr>
        <b/>
        <sz val="11"/>
        <rFont val="Arial"/>
        <family val="2"/>
      </rPr>
      <t xml:space="preserve"> 20,00 m³</t>
    </r>
    <r>
      <rPr>
        <sz val="11"/>
        <rFont val="Arial"/>
        <family val="2"/>
      </rPr>
      <t xml:space="preserve"> (sapatas, arranques e vigas baldrame)                                                                                   </t>
    </r>
  </si>
  <si>
    <r>
      <t xml:space="preserve">Conforme projeto estrutural - Prancha 9/21                                                                                                                                                                                         Volume de concreto (baldrames) = 20,00 m³ (sapatas, arranques e vigas baldrame) - 10,24 (sapatas) - 1,08 (arranques) = 8,68 m³                                                                                                                                                                                     Comprimento (baldrame) = 8,68/(0,15 x 0,25) =  231,49 m                                                                                                                                                       Área = 231,49 x (0,25 x 2,00 + 0,15) = </t>
    </r>
    <r>
      <rPr>
        <b/>
        <sz val="11"/>
        <rFont val="Arial"/>
        <family val="2"/>
      </rPr>
      <t xml:space="preserve">150,47 m²  </t>
    </r>
    <r>
      <rPr>
        <sz val="11"/>
        <rFont val="Arial"/>
        <family val="2"/>
      </rPr>
      <t xml:space="preserve">                                                                                                                                                                              </t>
    </r>
  </si>
  <si>
    <r>
      <t>Medição Nº :</t>
    </r>
    <r>
      <rPr>
        <sz val="11"/>
        <rFont val="Arial"/>
        <family val="2"/>
      </rPr>
      <t xml:space="preserve"> 03</t>
    </r>
  </si>
  <si>
    <r>
      <t>Período:</t>
    </r>
    <r>
      <rPr>
        <sz val="11"/>
        <rFont val="Arial"/>
        <family val="2"/>
      </rPr>
      <t xml:space="preserve"> 16/12/2022 à 21/12/2022</t>
    </r>
  </si>
  <si>
    <r>
      <t>Data:</t>
    </r>
    <r>
      <rPr>
        <sz val="11"/>
        <rFont val="Arial"/>
        <family val="2"/>
      </rPr>
      <t xml:space="preserve"> 22/12/2022</t>
    </r>
  </si>
  <si>
    <t>ITENS ADITADOS</t>
  </si>
  <si>
    <t>14.1</t>
  </si>
  <si>
    <t>MURO DE ENTORNO</t>
  </si>
  <si>
    <t>14.1.1</t>
  </si>
  <si>
    <t xml:space="preserve">	Muro em alvenaria bloco cerâmico, e= 0,09m, c/ alv de pedra 0,35 x 0,60m, pilares (9x20cm) a cada 3,0m, cintas inferior e superior (9x15cm) em concreto armado fck=15,0 Mpa, c/ chapisco, reboco e pintura hidracor ou similar.</t>
  </si>
  <si>
    <t>14.1.2</t>
  </si>
  <si>
    <t>ALVENARIA DE VEDAÇÃO DE BLOCOS CERÂMICOS FURADOS NA HORIZONTAL DE 14X9X19CM (ESPESSURA 14CM, BLOCO DEITADO) DE PAREDES COM ÁREA LÍQUIDA MENOR QUE 6M² SEM VÃOS E ARGAMASSA DE ASSENTAMENTO COM PREPARO EM BETONEIRA. AF_06/2014</t>
  </si>
  <si>
    <t>14.1.3</t>
  </si>
  <si>
    <t>14.1.4</t>
  </si>
  <si>
    <t>14.2</t>
  </si>
  <si>
    <t>INFRAESTRUTURA</t>
  </si>
  <si>
    <t>14.2.1</t>
  </si>
  <si>
    <t>14.2.2</t>
  </si>
  <si>
    <t>ATERRO MECANIZADO DE VALA COM ESCAVADEIRA HIDRÁULICA (CAPACIDADE DA CAÇAMBA: 0,8 M³ / POTÊNCIA: 111 HP), LARGURA DE 1,5 A 2,5 M, PROFUNDIDADE ATÉ 1,5 M, COM SOLO ARGILO-ARENOSO. AF_05/2016</t>
  </si>
  <si>
    <t>14.3</t>
  </si>
  <si>
    <t>DIVERSOS</t>
  </si>
  <si>
    <t>14.3.1</t>
  </si>
  <si>
    <t>GRADIL EM ALUMÍNIO FIXADO EM VÃOS DE JANELAS, FORMADO POR TUBOS DE 3/4". AF_04/2019 (JANELAS DA FACHADA LESTE TERREO)</t>
  </si>
  <si>
    <t>14.3.2</t>
  </si>
  <si>
    <t>FORRO EM PLACAS DE GESSO, PARA AMBIENTES RESIDENCIAIS. AF_05/2017_P</t>
  </si>
  <si>
    <t>14.3.3</t>
  </si>
  <si>
    <t>Portão de abrir, 2 folhas, com quadro em tubo galvanizado 2", com barra quadrada de 3/4" na vertical e esticador redondo de 3/4", inclusive fechadura e dobradiças</t>
  </si>
  <si>
    <t>OBS: A PARTIR DO TERMO DE ADITIVO DE VALOR N. 01, ASSINADO EM 20/AGOSTO/2022, ESTA OBRA PASSOU A VIGORAR COM O VALOR DE R$ 649.116,55</t>
  </si>
  <si>
    <t>MEMÓRIA DE CÁLCULO BM 03</t>
  </si>
  <si>
    <t>área total de recobo menos cerâmica de parede</t>
  </si>
  <si>
    <t>área de reboco - área considerada área externa</t>
  </si>
  <si>
    <t>considerando esta parte como todo o reboco externo</t>
  </si>
  <si>
    <t xml:space="preserve">(5,8+23,9+35+30,4)*2 </t>
  </si>
  <si>
    <t>alvenaria de embsamento do muro de entorno da edificação ((0,14+0,6)*28,95/2)+((0,6+1,35)*28,95/2)+((0,6+1,35)*34,65/2)+((0,38+0,45)*5,98/2)</t>
  </si>
  <si>
    <t>Face externa da alvenaria de embasamento do muro</t>
  </si>
  <si>
    <t>Alvenaria de embasamento da edificação = 69,1</t>
  </si>
  <si>
    <t>Pela cubação realizada com a topografia da Prefeitura Municipal de Sousa = 380,67</t>
  </si>
  <si>
    <r>
      <t>Medição Nº :</t>
    </r>
    <r>
      <rPr>
        <sz val="11"/>
        <rFont val="Arial"/>
        <family val="2"/>
      </rPr>
      <t xml:space="preserve"> 04</t>
    </r>
  </si>
  <si>
    <r>
      <t>Período:</t>
    </r>
    <r>
      <rPr>
        <sz val="11"/>
        <rFont val="Arial"/>
        <family val="2"/>
      </rPr>
      <t xml:space="preserve"> 22/12/2022 à 02/02/2023</t>
    </r>
  </si>
  <si>
    <r>
      <t>Data:</t>
    </r>
    <r>
      <rPr>
        <sz val="11"/>
        <rFont val="Arial"/>
        <family val="2"/>
      </rPr>
      <t xml:space="preserve"> 02/02/2023</t>
    </r>
  </si>
  <si>
    <t>OBS: A PARTIR DO TERMO DE ADITIVO DE VALOR N. __, ASSINADO EM __/____/2023 E PUBLICADO EM __/___/2023, O CONTRATO PASSOU A SER REAJUSTADO APÓS TER COMPLETADO A PERIODICIDADE DE UM ANO EM SEU SALDO DEVEDOR PELO ÍNDICE DE 1,1157</t>
  </si>
  <si>
    <t>LOGO O VALOR FINAL DESTA MEDIÇÃO SERÁ DE:</t>
  </si>
  <si>
    <t>MEMÓRIA DE CÁLCULO BM 04</t>
  </si>
  <si>
    <t>Formas das vigas e dos pilares = 142,90 + 181,36 = 324,26</t>
  </si>
  <si>
    <t xml:space="preserve">Pelo projeto estrutural: Pilares 826.7 kg CA 50 + Vigas 743.1 kg CA 50 = </t>
  </si>
  <si>
    <t xml:space="preserve">Pelo projeto estrutural: Pilares 170.9 kg CA 60 + Vigas 208.6 kg CA 60 = </t>
  </si>
  <si>
    <t>Vol. de concreto total (C-30) = 10.85 m³ (vigas) - Vol. de concreto total (C-30) = 7.34 m³ (pilares)</t>
  </si>
  <si>
    <t>mesmo volume de concreto</t>
  </si>
  <si>
    <t>Laje de toda edificação, com exceção da caixa d'água</t>
  </si>
  <si>
    <t>Vergas: 3,28+1,28+1,40+1,34+1,45+1,48+1,58+1,51+3,34+1,37+2,15+1,46+ 2,90+1,34+2,69+1,79+1,36+1,60+1,46 + 2,35+2,66+2,50+1,60+1,50+2,53+2,45+1,11+1,86+2,67+2,82+2,91+ 1,60+1,46+2,46+1,98+1,82+1,39+1,46+1,49+1,32+1,29 = 78,01; Contra vergas: 1,60+1,46 + 2,35+2,66+2,50+1,60+1,50+2,53+2,45+1,11+1,86+2,67+2,82+2,91+ 1,60+1,46+2,46+1,98+1,82+1,39+1,46+1,49+1,32+1,29 = 46,29 m; totalizando: 124,3 m</t>
  </si>
  <si>
    <t>Comprimento de= (3,40+1,75+3,60+2,85+2,90+3,50+7,50+3,50+ 3,40+1,50+3,80+5,90+1,35+3,65+3,95+3,95+1,45+3,15+3,15+1,45+ 4,40+2,60+2,90+1,50+3,50+2,45+3,40+5,30+2,55+3,45+ 4,40+1,60+ 3,70+4,60+3,45+3,50+2,70+3,60+5,60+4,00+3,50+1,00+1,60+0,50 +1,60+1,50+1,60+1,50+7,30+3,50+2,60+3,70+1,90+3,30+5,80+3,50+2,90) x 2,65 pé direito = 482,83 m² - descontos (1,00*0,80+1*2,10+2*0,80+1,60*2,10+1,00*2,10+1*0,80+,6*,9+3*1*2,1+1,2*2,1+1*,8+1*1+1*0,8+,8*2,1+,8*2,1+2*,8+1*1,5+2*,8+2*,9*2,1+2*,8+2*1*2,1+,9*2,1+,9*2,1+2*,8+1*1+2*,8+,9*2,1*2+2*,8+1*,8+3*,9*2,1+1*,8*2+2*,8*2) = 64,99 m²; totalizando = 417,84 m²; mais alvenaria da platibanda = (5,90+5,20+10,00+ 5,00+6,20+4,40+1,8+2,2+1,8+4,5+5,35+9,00+4,45+3,2+3,2+2,25+ 4,45)*1,50 + (10,00+10,00+6,20+5,90+3,8+2,8+16,4+3,8+2,8)*0,20 + 2,15*(2,00+1,60+2,00+1,60)+3,70*(5,7+4,70+5,70+4,70); totalizando = 226,57 m²; perfazendo uma área total de: 644,41 m²</t>
  </si>
  <si>
    <r>
      <t>Medição Nº :</t>
    </r>
    <r>
      <rPr>
        <sz val="11"/>
        <rFont val="Arial"/>
        <family val="2"/>
      </rPr>
      <t xml:space="preserve"> 05</t>
    </r>
  </si>
  <si>
    <r>
      <t>Período:</t>
    </r>
    <r>
      <rPr>
        <sz val="11"/>
        <rFont val="Arial"/>
        <family val="2"/>
      </rPr>
      <t xml:space="preserve"> 03/02/2023 à 09/03/2023</t>
    </r>
  </si>
  <si>
    <r>
      <t>Data:</t>
    </r>
    <r>
      <rPr>
        <sz val="11"/>
        <rFont val="Arial"/>
        <family val="2"/>
      </rPr>
      <t xml:space="preserve"> 09/03/2023</t>
    </r>
  </si>
  <si>
    <t>MEMÓRIA DE CÁLCULO BM 05</t>
  </si>
  <si>
    <t>3,7*1,75*2 + 3,90*1,75-1,1*1,75 = 17,85 m²; mais complemento de platibanda = (5,90+5,20+10,00+ 5,00+6,20+4,40+1,8+2,2+1,8+4,5 +5,35+9,00+4,45+3,2+3,2 +2,25+ 4,45)*0,15 + 0,15*(2,00+1,60+ 2,00+1,60)+0,15*(5,7+ 4,70+5,70+4,70) = 16,03 m². totalizando 33,88 m²</t>
  </si>
  <si>
    <t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 + piso do reservatório - 3,60*3,65; totalizando 258,81 m²</t>
  </si>
  <si>
    <t xml:space="preserve">área total de reboco - </t>
  </si>
  <si>
    <t>área total de alvenaria executada até então x 2 lados = 678,29 * 2 = 1.356,58 m²</t>
  </si>
  <si>
    <t>1 und</t>
  </si>
  <si>
    <t>2 und</t>
  </si>
  <si>
    <t>16 und</t>
  </si>
  <si>
    <t>40 und</t>
  </si>
  <si>
    <t>38 und</t>
  </si>
  <si>
    <t>5 und</t>
  </si>
  <si>
    <t>17 unidades</t>
  </si>
  <si>
    <r>
      <t>Medição Nº :</t>
    </r>
    <r>
      <rPr>
        <sz val="11"/>
        <rFont val="Arial"/>
        <family val="2"/>
      </rPr>
      <t xml:space="preserve"> 06</t>
    </r>
  </si>
  <si>
    <r>
      <t>Período:</t>
    </r>
    <r>
      <rPr>
        <sz val="11"/>
        <rFont val="Arial"/>
        <family val="2"/>
      </rPr>
      <t xml:space="preserve"> 10/03/2023 à 04/04/2023</t>
    </r>
  </si>
  <si>
    <r>
      <t>Data:</t>
    </r>
    <r>
      <rPr>
        <sz val="11"/>
        <rFont val="Arial"/>
        <family val="2"/>
      </rPr>
      <t xml:space="preserve"> 04/04/2023</t>
    </r>
  </si>
  <si>
    <t>MEMÓRIA DE CÁLCULO BM 06</t>
  </si>
  <si>
    <t xml:space="preserve">Pelo projeto - </t>
  </si>
  <si>
    <t>Calçada externa dentro da edificação - 4,6*3,16 + (8,90+3,00+2,95+4,50+3,75+7,05+5,80+ 4,50+5,45+0,80+0,80+6,10+3,50)*0,50 + 1,26*13,30 + 1,42*3,20 + 7,30*2,05 + 7,60*2,10 + 8,00*1,00 = 103,31</t>
  </si>
  <si>
    <t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</t>
  </si>
  <si>
    <t>1 UND</t>
  </si>
  <si>
    <t>2+5+9+3+4+1+2+2+3+4+9+6+4+1+9+8+8+3+18+3+7+6+7+16 = 140 pontos totais</t>
  </si>
  <si>
    <t>1 und 50 a</t>
  </si>
  <si>
    <t>11 disjuntores de 16a, 7 disjuntores de 20a, 3 disjuntores de 10a e 3 disjuntores de 25a = 24 disjuntores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</si>
</sst>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_-;[Red]\-* #,##0.00_-;_-* &quot;-&quot;??_-;_-@_-"/>
    <numFmt numFmtId="165" formatCode="_(* #,##0.00_);_(* \(#,##0.00\);_(* &quot;-&quot;??_);_(@_)"/>
  </numFmts>
  <fonts count="2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sz val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i/>
      <sz val="11"/>
      <name val="Arial"/>
      <family val="2"/>
    </font>
    <font>
      <sz val="9"/>
      <name val="Aral"/>
    </font>
    <font>
      <sz val="9"/>
      <name val="Arial"/>
      <family val="2"/>
    </font>
    <font>
      <sz val="9"/>
      <color rgb="FF000000"/>
      <name val="Aral"/>
    </font>
    <font>
      <b/>
      <sz val="10"/>
      <name val="Arial"/>
      <family val="2"/>
    </font>
    <font>
      <b/>
      <sz val="11"/>
      <color theme="0"/>
      <name val="Arial"/>
      <family val="2"/>
    </font>
    <font>
      <sz val="11"/>
      <name val="Aral"/>
    </font>
    <font>
      <sz val="11"/>
      <color rgb="FF000000"/>
      <name val="Aral"/>
    </font>
    <font>
      <sz val="11"/>
      <color rgb="FFFF0000"/>
      <name val="Arial"/>
      <family val="2"/>
    </font>
    <font>
      <sz val="9"/>
      <color rgb="FFFF0000"/>
      <name val="Aral"/>
    </font>
    <font>
      <b/>
      <sz val="12"/>
      <name val="Arial"/>
      <family val="2"/>
    </font>
    <font>
      <b/>
      <sz val="11"/>
      <name val="Aral"/>
    </font>
    <font>
      <b/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double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3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/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164" fontId="6" fillId="2" borderId="0" xfId="1" applyNumberFormat="1" applyFont="1" applyFill="1" applyAlignment="1">
      <alignment horizontal="left" vertical="center"/>
    </xf>
    <xf numFmtId="0" fontId="6" fillId="4" borderId="11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/>
    </xf>
    <xf numFmtId="164" fontId="3" fillId="5" borderId="10" xfId="1" applyNumberFormat="1" applyFont="1" applyFill="1" applyBorder="1" applyAlignment="1">
      <alignment horizontal="left" vertical="center" wrapText="1"/>
    </xf>
    <xf numFmtId="0" fontId="3" fillId="5" borderId="10" xfId="1" applyFont="1" applyFill="1" applyBorder="1" applyAlignment="1">
      <alignment horizontal="center" vertical="center" wrapText="1"/>
    </xf>
    <xf numFmtId="164" fontId="3" fillId="5" borderId="10" xfId="2" applyNumberFormat="1" applyFont="1" applyFill="1" applyBorder="1" applyAlignment="1">
      <alignment horizontal="right" vertical="center"/>
    </xf>
    <xf numFmtId="164" fontId="3" fillId="5" borderId="17" xfId="2" applyNumberFormat="1" applyFont="1" applyFill="1" applyBorder="1" applyAlignment="1">
      <alignment horizontal="right" vertical="center"/>
    </xf>
    <xf numFmtId="164" fontId="3" fillId="5" borderId="18" xfId="2" applyNumberFormat="1" applyFont="1" applyFill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9" fillId="0" borderId="19" xfId="1" applyFont="1" applyBorder="1" applyAlignment="1">
      <alignment horizontal="justify" vertical="top" wrapText="1"/>
    </xf>
    <xf numFmtId="0" fontId="9" fillId="0" borderId="19" xfId="1" applyFont="1" applyBorder="1" applyAlignment="1">
      <alignment horizontal="center" vertical="top" wrapText="1"/>
    </xf>
    <xf numFmtId="164" fontId="10" fillId="2" borderId="2" xfId="2" applyNumberFormat="1" applyFont="1" applyFill="1" applyBorder="1" applyAlignment="1">
      <alignment horizontal="right" vertical="center"/>
    </xf>
    <xf numFmtId="164" fontId="3" fillId="4" borderId="20" xfId="2" applyNumberFormat="1" applyFont="1" applyFill="1" applyBorder="1" applyAlignment="1">
      <alignment horizontal="right" vertical="center"/>
    </xf>
    <xf numFmtId="164" fontId="3" fillId="4" borderId="1" xfId="2" applyNumberFormat="1" applyFont="1" applyFill="1" applyBorder="1" applyAlignment="1">
      <alignment horizontal="right" vertical="center"/>
    </xf>
    <xf numFmtId="164" fontId="3" fillId="4" borderId="21" xfId="2" applyNumberFormat="1" applyFont="1" applyFill="1" applyBorder="1" applyAlignment="1">
      <alignment horizontal="right" vertical="center"/>
    </xf>
    <xf numFmtId="164" fontId="3" fillId="2" borderId="4" xfId="2" applyNumberFormat="1" applyFont="1" applyFill="1" applyBorder="1" applyAlignment="1">
      <alignment horizontal="right" vertical="center"/>
    </xf>
    <xf numFmtId="0" fontId="11" fillId="0" borderId="19" xfId="1" applyFont="1" applyBorder="1" applyAlignment="1">
      <alignment horizontal="justify" vertical="top" wrapText="1"/>
    </xf>
    <xf numFmtId="0" fontId="3" fillId="5" borderId="1" xfId="1" applyFont="1" applyFill="1" applyBorder="1" applyAlignment="1">
      <alignment horizontal="center" vertical="center"/>
    </xf>
    <xf numFmtId="164" fontId="3" fillId="5" borderId="3" xfId="1" applyNumberFormat="1" applyFont="1" applyFill="1" applyBorder="1" applyAlignment="1">
      <alignment horizontal="left" vertical="center" wrapText="1"/>
    </xf>
    <xf numFmtId="0" fontId="3" fillId="5" borderId="3" xfId="1" applyFont="1" applyFill="1" applyBorder="1" applyAlignment="1">
      <alignment horizontal="center" vertical="center" wrapText="1"/>
    </xf>
    <xf numFmtId="164" fontId="3" fillId="5" borderId="3" xfId="2" applyNumberFormat="1" applyFont="1" applyFill="1" applyBorder="1" applyAlignment="1">
      <alignment horizontal="right" vertical="center"/>
    </xf>
    <xf numFmtId="164" fontId="3" fillId="5" borderId="4" xfId="2" applyNumberFormat="1" applyFont="1" applyFill="1" applyBorder="1" applyAlignment="1">
      <alignment horizontal="right" vertical="center"/>
    </xf>
    <xf numFmtId="165" fontId="11" fillId="0" borderId="19" xfId="2" applyFont="1" applyFill="1" applyBorder="1" applyAlignment="1">
      <alignment horizontal="right" vertical="top" shrinkToFit="1"/>
    </xf>
    <xf numFmtId="0" fontId="6" fillId="4" borderId="1" xfId="1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164" fontId="6" fillId="4" borderId="2" xfId="2" applyNumberFormat="1" applyFont="1" applyFill="1" applyBorder="1" applyAlignment="1">
      <alignment horizontal="right" vertical="center"/>
    </xf>
    <xf numFmtId="164" fontId="6" fillId="4" borderId="20" xfId="2" applyNumberFormat="1" applyFont="1" applyFill="1" applyBorder="1" applyAlignment="1">
      <alignment horizontal="right" vertical="center"/>
    </xf>
    <xf numFmtId="164" fontId="6" fillId="4" borderId="4" xfId="2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2" fillId="0" borderId="0" xfId="1" applyFont="1"/>
    <xf numFmtId="164" fontId="6" fillId="4" borderId="3" xfId="1" applyNumberFormat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center" vertical="center" wrapText="1"/>
    </xf>
    <xf numFmtId="164" fontId="6" fillId="4" borderId="3" xfId="2" applyNumberFormat="1" applyFont="1" applyFill="1" applyBorder="1" applyAlignment="1">
      <alignment horizontal="right" vertical="center"/>
    </xf>
    <xf numFmtId="0" fontId="9" fillId="0" borderId="19" xfId="1" applyFont="1" applyBorder="1" applyAlignment="1">
      <alignment horizontal="left" vertical="top" wrapText="1"/>
    </xf>
    <xf numFmtId="0" fontId="11" fillId="0" borderId="19" xfId="1" applyFont="1" applyBorder="1" applyAlignment="1">
      <alignment horizontal="left" vertical="top" wrapText="1"/>
    </xf>
    <xf numFmtId="164" fontId="6" fillId="5" borderId="3" xfId="1" applyNumberFormat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9" fillId="0" borderId="19" xfId="1" applyFont="1" applyBorder="1" applyAlignment="1">
      <alignment horizontal="right" vertical="top" wrapText="1" indent="1"/>
    </xf>
    <xf numFmtId="164" fontId="3" fillId="4" borderId="22" xfId="2" applyNumberFormat="1" applyFont="1" applyFill="1" applyBorder="1" applyAlignment="1">
      <alignment horizontal="right" vertical="center"/>
    </xf>
    <xf numFmtId="0" fontId="3" fillId="2" borderId="23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justify" vertical="top" wrapText="1"/>
    </xf>
    <xf numFmtId="0" fontId="9" fillId="2" borderId="19" xfId="1" applyFont="1" applyFill="1" applyBorder="1" applyAlignment="1">
      <alignment horizontal="center" vertical="top" wrapText="1"/>
    </xf>
    <xf numFmtId="165" fontId="11" fillId="2" borderId="19" xfId="2" applyFont="1" applyFill="1" applyBorder="1" applyAlignment="1">
      <alignment horizontal="right" vertical="top" shrinkToFit="1"/>
    </xf>
    <xf numFmtId="164" fontId="3" fillId="2" borderId="7" xfId="2" applyNumberFormat="1" applyFont="1" applyFill="1" applyBorder="1" applyAlignment="1">
      <alignment horizontal="right" vertical="center"/>
    </xf>
    <xf numFmtId="164" fontId="3" fillId="4" borderId="3" xfId="1" applyNumberFormat="1" applyFont="1" applyFill="1" applyBorder="1" applyAlignment="1">
      <alignment horizontal="left" vertical="center" wrapText="1"/>
    </xf>
    <xf numFmtId="0" fontId="6" fillId="6" borderId="1" xfId="1" applyFont="1" applyFill="1" applyBorder="1" applyAlignment="1">
      <alignment horizontal="center" vertical="center"/>
    </xf>
    <xf numFmtId="164" fontId="6" fillId="6" borderId="3" xfId="1" applyNumberFormat="1" applyFont="1" applyFill="1" applyBorder="1" applyAlignment="1">
      <alignment horizontal="left" vertical="center" wrapText="1"/>
    </xf>
    <xf numFmtId="0" fontId="6" fillId="6" borderId="3" xfId="1" applyFont="1" applyFill="1" applyBorder="1" applyAlignment="1">
      <alignment horizontal="center" vertical="center" wrapText="1"/>
    </xf>
    <xf numFmtId="164" fontId="6" fillId="6" borderId="3" xfId="2" applyNumberFormat="1" applyFont="1" applyFill="1" applyBorder="1" applyAlignment="1">
      <alignment horizontal="right" vertical="center"/>
    </xf>
    <xf numFmtId="164" fontId="6" fillId="6" borderId="4" xfId="2" applyNumberFormat="1" applyFont="1" applyFill="1" applyBorder="1" applyAlignment="1">
      <alignment horizontal="right" vertical="center"/>
    </xf>
    <xf numFmtId="0" fontId="9" fillId="0" borderId="24" xfId="1" applyFont="1" applyBorder="1" applyAlignment="1">
      <alignment horizontal="left" vertical="top" wrapText="1"/>
    </xf>
    <xf numFmtId="0" fontId="9" fillId="0" borderId="24" xfId="1" applyFont="1" applyBorder="1" applyAlignment="1">
      <alignment horizontal="center" vertical="top" wrapText="1"/>
    </xf>
    <xf numFmtId="164" fontId="6" fillId="0" borderId="28" xfId="2" applyNumberFormat="1" applyFont="1" applyFill="1" applyBorder="1" applyAlignment="1">
      <alignment horizontal="right" vertical="center"/>
    </xf>
    <xf numFmtId="0" fontId="1" fillId="2" borderId="0" xfId="1" applyFill="1" applyAlignment="1">
      <alignment wrapText="1"/>
    </xf>
    <xf numFmtId="0" fontId="1" fillId="2" borderId="0" xfId="1" applyFill="1" applyAlignment="1">
      <alignment vertical="center"/>
    </xf>
    <xf numFmtId="0" fontId="1" fillId="2" borderId="0" xfId="1" applyFill="1" applyAlignment="1">
      <alignment horizontal="center" vertical="center"/>
    </xf>
    <xf numFmtId="43" fontId="1" fillId="2" borderId="0" xfId="1" applyNumberFormat="1" applyFill="1" applyAlignment="1">
      <alignment vertical="center"/>
    </xf>
    <xf numFmtId="10" fontId="1" fillId="2" borderId="0" xfId="3" applyNumberFormat="1" applyFont="1" applyFill="1" applyAlignment="1">
      <alignment vertical="center"/>
    </xf>
    <xf numFmtId="0" fontId="1" fillId="2" borderId="0" xfId="1" applyFill="1"/>
    <xf numFmtId="0" fontId="6" fillId="4" borderId="31" xfId="1" applyFont="1" applyFill="1" applyBorder="1" applyAlignment="1">
      <alignment horizontal="center" vertical="center"/>
    </xf>
    <xf numFmtId="0" fontId="6" fillId="4" borderId="31" xfId="1" applyFont="1" applyFill="1" applyBorder="1" applyAlignment="1">
      <alignment horizontal="center" vertical="center" wrapText="1"/>
    </xf>
    <xf numFmtId="0" fontId="3" fillId="5" borderId="31" xfId="1" applyFont="1" applyFill="1" applyBorder="1" applyAlignment="1">
      <alignment horizontal="center" vertical="center"/>
    </xf>
    <xf numFmtId="164" fontId="3" fillId="5" borderId="31" xfId="1" applyNumberFormat="1" applyFont="1" applyFill="1" applyBorder="1" applyAlignment="1">
      <alignment horizontal="left" vertical="center" wrapText="1"/>
    </xf>
    <xf numFmtId="0" fontId="3" fillId="5" borderId="31" xfId="1" applyFont="1" applyFill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/>
    </xf>
    <xf numFmtId="0" fontId="14" fillId="0" borderId="31" xfId="1" applyFont="1" applyBorder="1" applyAlignment="1">
      <alignment horizontal="justify" vertical="top" wrapText="1"/>
    </xf>
    <xf numFmtId="0" fontId="14" fillId="0" borderId="31" xfId="1" applyFont="1" applyBorder="1" applyAlignment="1">
      <alignment horizontal="center" vertical="top" wrapText="1"/>
    </xf>
    <xf numFmtId="0" fontId="15" fillId="0" borderId="31" xfId="1" applyFont="1" applyBorder="1" applyAlignment="1">
      <alignment horizontal="justify" vertical="top" wrapText="1"/>
    </xf>
    <xf numFmtId="164" fontId="6" fillId="4" borderId="31" xfId="1" applyNumberFormat="1" applyFont="1" applyFill="1" applyBorder="1" applyAlignment="1">
      <alignment horizontal="left" vertical="center" wrapText="1"/>
    </xf>
    <xf numFmtId="0" fontId="14" fillId="0" borderId="31" xfId="1" applyFont="1" applyBorder="1" applyAlignment="1">
      <alignment horizontal="left" vertical="top" wrapText="1"/>
    </xf>
    <xf numFmtId="0" fontId="15" fillId="0" borderId="31" xfId="1" applyFont="1" applyBorder="1" applyAlignment="1">
      <alignment horizontal="left" vertical="top" wrapText="1"/>
    </xf>
    <xf numFmtId="164" fontId="6" fillId="5" borderId="31" xfId="1" applyNumberFormat="1" applyFont="1" applyFill="1" applyBorder="1" applyAlignment="1">
      <alignment horizontal="left" vertical="center" wrapText="1"/>
    </xf>
    <xf numFmtId="0" fontId="3" fillId="2" borderId="31" xfId="1" applyFont="1" applyFill="1" applyBorder="1" applyAlignment="1">
      <alignment horizontal="center" vertical="center"/>
    </xf>
    <xf numFmtId="0" fontId="14" fillId="0" borderId="31" xfId="1" applyFont="1" applyBorder="1" applyAlignment="1">
      <alignment horizontal="right" vertical="top" wrapText="1" indent="1"/>
    </xf>
    <xf numFmtId="0" fontId="14" fillId="2" borderId="31" xfId="1" applyFont="1" applyFill="1" applyBorder="1" applyAlignment="1">
      <alignment horizontal="justify" vertical="top" wrapText="1"/>
    </xf>
    <xf numFmtId="0" fontId="14" fillId="2" borderId="31" xfId="1" applyFont="1" applyFill="1" applyBorder="1" applyAlignment="1">
      <alignment horizontal="center" vertical="top" wrapText="1"/>
    </xf>
    <xf numFmtId="164" fontId="3" fillId="4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/>
    </xf>
    <xf numFmtId="164" fontId="6" fillId="6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0" borderId="0" xfId="1" applyFont="1" applyAlignment="1">
      <alignment horizontal="left"/>
    </xf>
    <xf numFmtId="0" fontId="3" fillId="2" borderId="0" xfId="1" applyFont="1" applyFill="1" applyAlignment="1">
      <alignment horizontal="center" vertical="center"/>
    </xf>
    <xf numFmtId="4" fontId="1" fillId="0" borderId="0" xfId="1" applyNumberFormat="1"/>
    <xf numFmtId="4" fontId="1" fillId="0" borderId="0" xfId="1" applyNumberFormat="1" applyAlignment="1">
      <alignment wrapText="1"/>
    </xf>
    <xf numFmtId="2" fontId="1" fillId="0" borderId="0" xfId="1" applyNumberFormat="1"/>
    <xf numFmtId="0" fontId="14" fillId="0" borderId="31" xfId="1" applyFont="1" applyBorder="1" applyAlignment="1">
      <alignment horizontal="justify" vertical="center" wrapText="1"/>
    </xf>
    <xf numFmtId="0" fontId="14" fillId="0" borderId="31" xfId="1" applyFont="1" applyBorder="1" applyAlignment="1">
      <alignment horizontal="center" vertical="center" wrapText="1"/>
    </xf>
    <xf numFmtId="0" fontId="15" fillId="0" borderId="31" xfId="1" applyFont="1" applyBorder="1" applyAlignment="1">
      <alignment horizontal="justify" vertical="center" wrapText="1"/>
    </xf>
    <xf numFmtId="0" fontId="16" fillId="2" borderId="23" xfId="1" applyFont="1" applyFill="1" applyBorder="1" applyAlignment="1">
      <alignment horizontal="center" vertical="center"/>
    </xf>
    <xf numFmtId="0" fontId="17" fillId="0" borderId="19" xfId="1" applyFont="1" applyBorder="1" applyAlignment="1">
      <alignment horizontal="justify" vertical="top" wrapText="1"/>
    </xf>
    <xf numFmtId="0" fontId="17" fillId="0" borderId="19" xfId="1" applyFont="1" applyBorder="1" applyAlignment="1">
      <alignment horizontal="center" vertical="top" wrapText="1"/>
    </xf>
    <xf numFmtId="165" fontId="17" fillId="0" borderId="19" xfId="2" applyFont="1" applyFill="1" applyBorder="1" applyAlignment="1">
      <alignment horizontal="right" vertical="top" shrinkToFit="1"/>
    </xf>
    <xf numFmtId="164" fontId="16" fillId="4" borderId="22" xfId="2" applyNumberFormat="1" applyFont="1" applyFill="1" applyBorder="1" applyAlignment="1">
      <alignment horizontal="right" vertical="center"/>
    </xf>
    <xf numFmtId="164" fontId="16" fillId="2" borderId="4" xfId="2" applyNumberFormat="1" applyFont="1" applyFill="1" applyBorder="1" applyAlignment="1">
      <alignment horizontal="right" vertical="center"/>
    </xf>
    <xf numFmtId="0" fontId="3" fillId="0" borderId="35" xfId="1" applyFont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center" vertical="center" wrapText="1"/>
    </xf>
    <xf numFmtId="0" fontId="6" fillId="4" borderId="31" xfId="1" applyFont="1" applyFill="1" applyBorder="1" applyAlignment="1">
      <alignment wrapText="1"/>
    </xf>
    <xf numFmtId="0" fontId="6" fillId="4" borderId="0" xfId="1" applyFont="1" applyFill="1" applyAlignment="1">
      <alignment horizontal="center" vertical="center"/>
    </xf>
    <xf numFmtId="0" fontId="3" fillId="2" borderId="31" xfId="1" applyFont="1" applyFill="1" applyBorder="1" applyAlignment="1">
      <alignment wrapText="1"/>
    </xf>
    <xf numFmtId="0" fontId="19" fillId="4" borderId="31" xfId="1" applyFont="1" applyFill="1" applyBorder="1" applyAlignment="1">
      <alignment horizontal="center" vertical="top" wrapText="1"/>
    </xf>
    <xf numFmtId="0" fontId="7" fillId="3" borderId="1" xfId="1" applyFont="1" applyFill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left" vertical="center" wrapText="1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2" borderId="8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0" xfId="1" applyFont="1" applyFill="1" applyAlignment="1">
      <alignment vertical="center"/>
    </xf>
    <xf numFmtId="0" fontId="6" fillId="2" borderId="9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3" fillId="0" borderId="31" xfId="1" applyFont="1" applyBorder="1" applyAlignment="1">
      <alignment horizontal="left"/>
    </xf>
    <xf numFmtId="164" fontId="6" fillId="4" borderId="31" xfId="1" applyNumberFormat="1" applyFont="1" applyFill="1" applyBorder="1" applyAlignment="1">
      <alignment horizontal="left" vertical="center" wrapText="1"/>
    </xf>
    <xf numFmtId="0" fontId="3" fillId="0" borderId="31" xfId="1" applyFont="1" applyBorder="1" applyAlignment="1">
      <alignment horizontal="left" wrapText="1"/>
    </xf>
    <xf numFmtId="0" fontId="13" fillId="3" borderId="29" xfId="1" applyFont="1" applyFill="1" applyBorder="1" applyAlignment="1">
      <alignment horizontal="center" vertical="center"/>
    </xf>
    <xf numFmtId="0" fontId="13" fillId="3" borderId="30" xfId="1" applyFont="1" applyFill="1" applyBorder="1" applyAlignment="1">
      <alignment horizontal="center" vertical="center"/>
    </xf>
    <xf numFmtId="0" fontId="3" fillId="0" borderId="31" xfId="1" applyFont="1" applyBorder="1" applyAlignment="1">
      <alignment horizontal="center"/>
    </xf>
    <xf numFmtId="0" fontId="3" fillId="0" borderId="32" xfId="1" applyFont="1" applyBorder="1" applyAlignment="1">
      <alignment vertical="top" wrapText="1"/>
    </xf>
    <xf numFmtId="0" fontId="3" fillId="0" borderId="33" xfId="1" applyFont="1" applyBorder="1" applyAlignment="1">
      <alignment vertical="top" wrapText="1"/>
    </xf>
    <xf numFmtId="0" fontId="3" fillId="0" borderId="34" xfId="1" applyFont="1" applyBorder="1" applyAlignment="1">
      <alignment vertical="top" wrapText="1"/>
    </xf>
    <xf numFmtId="0" fontId="3" fillId="0" borderId="32" xfId="1" applyFont="1" applyBorder="1" applyAlignment="1">
      <alignment horizontal="left" vertical="top" wrapText="1"/>
    </xf>
    <xf numFmtId="0" fontId="3" fillId="0" borderId="33" xfId="1" applyFont="1" applyBorder="1" applyAlignment="1">
      <alignment horizontal="left" vertical="top" wrapText="1"/>
    </xf>
    <xf numFmtId="0" fontId="3" fillId="0" borderId="34" xfId="1" applyFont="1" applyBorder="1" applyAlignment="1">
      <alignment horizontal="left" vertical="top" wrapText="1"/>
    </xf>
    <xf numFmtId="0" fontId="3" fillId="0" borderId="32" xfId="1" applyFont="1" applyBorder="1" applyAlignment="1">
      <alignment horizontal="left" vertical="center" wrapText="1"/>
    </xf>
    <xf numFmtId="0" fontId="3" fillId="0" borderId="33" xfId="1" applyFont="1" applyBorder="1" applyAlignment="1">
      <alignment horizontal="left" vertical="center" wrapText="1"/>
    </xf>
    <xf numFmtId="0" fontId="3" fillId="0" borderId="34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left" vertical="center" wrapText="1"/>
    </xf>
    <xf numFmtId="0" fontId="18" fillId="2" borderId="0" xfId="1" applyFont="1" applyFill="1" applyAlignment="1">
      <alignment horizontal="left" vertical="center" wrapText="1"/>
    </xf>
    <xf numFmtId="0" fontId="6" fillId="4" borderId="31" xfId="1" applyFont="1" applyFill="1" applyBorder="1" applyAlignment="1">
      <alignment horizontal="left"/>
    </xf>
    <xf numFmtId="0" fontId="20" fillId="2" borderId="36" xfId="1" applyFont="1" applyFill="1" applyBorder="1" applyAlignment="1">
      <alignment horizontal="center" vertical="top" wrapText="1"/>
    </xf>
    <xf numFmtId="0" fontId="20" fillId="2" borderId="37" xfId="1" applyFont="1" applyFill="1" applyBorder="1" applyAlignment="1">
      <alignment horizontal="center" vertical="top" wrapText="1"/>
    </xf>
    <xf numFmtId="44" fontId="20" fillId="2" borderId="44" xfId="4" applyFont="1" applyFill="1" applyBorder="1" applyAlignment="1">
      <alignment horizontal="center" vertical="top" wrapText="1"/>
    </xf>
    <xf numFmtId="44" fontId="20" fillId="2" borderId="45" xfId="4" applyFont="1" applyFill="1" applyBorder="1" applyAlignment="1">
      <alignment horizontal="center" vertical="top" wrapText="1"/>
    </xf>
    <xf numFmtId="0" fontId="18" fillId="2" borderId="36" xfId="1" applyFont="1" applyFill="1" applyBorder="1" applyAlignment="1">
      <alignment horizontal="left" vertical="center" wrapText="1"/>
    </xf>
    <xf numFmtId="0" fontId="18" fillId="2" borderId="37" xfId="1" applyFont="1" applyFill="1" applyBorder="1" applyAlignment="1">
      <alignment horizontal="left" vertical="center" wrapText="1"/>
    </xf>
    <xf numFmtId="0" fontId="18" fillId="2" borderId="38" xfId="1" applyFont="1" applyFill="1" applyBorder="1" applyAlignment="1">
      <alignment horizontal="left" vertical="center" wrapText="1"/>
    </xf>
    <xf numFmtId="0" fontId="18" fillId="2" borderId="39" xfId="1" applyFont="1" applyFill="1" applyBorder="1" applyAlignment="1">
      <alignment horizontal="left" vertical="center" wrapText="1"/>
    </xf>
    <xf numFmtId="0" fontId="18" fillId="2" borderId="40" xfId="1" applyFont="1" applyFill="1" applyBorder="1" applyAlignment="1">
      <alignment horizontal="left" vertical="center" wrapText="1"/>
    </xf>
    <xf numFmtId="0" fontId="18" fillId="2" borderId="41" xfId="1" applyFont="1" applyFill="1" applyBorder="1" applyAlignment="1">
      <alignment horizontal="left" vertical="center" wrapText="1"/>
    </xf>
    <xf numFmtId="0" fontId="18" fillId="2" borderId="42" xfId="1" applyFont="1" applyFill="1" applyBorder="1" applyAlignment="1">
      <alignment horizontal="left" vertical="center" wrapText="1"/>
    </xf>
    <xf numFmtId="0" fontId="18" fillId="2" borderId="43" xfId="1" applyFont="1" applyFill="1" applyBorder="1" applyAlignment="1">
      <alignment horizontal="left" vertical="center" wrapText="1"/>
    </xf>
  </cellXfs>
  <cellStyles count="5">
    <cellStyle name="Moeda 2" xfId="4" xr:uid="{C611A22B-8E8A-450F-8193-D1378E2FBCD4}"/>
    <cellStyle name="Normal" xfId="0" builtinId="0"/>
    <cellStyle name="Normal 2" xfId="1" xr:uid="{FF0ED172-806D-4CCC-9189-315FC4D78927}"/>
    <cellStyle name="Porcentagem 2" xfId="3" xr:uid="{0FB8876E-7057-4689-A02C-6DFF1DAC27EF}"/>
    <cellStyle name="Vírgula 2" xfId="2" xr:uid="{23CE0742-1743-4642-B764-390073F3B91C}"/>
  </cellStyles>
  <dxfs count="40"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14</xdr:row>
      <xdr:rowOff>723900</xdr:rowOff>
    </xdr:from>
    <xdr:to>
      <xdr:col>1</xdr:col>
      <xdr:colOff>4085748</xdr:colOff>
      <xdr:row>14</xdr:row>
      <xdr:rowOff>1304852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1F9ECA7-A2F6-4548-9D91-7CA44D51E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6543675"/>
          <a:ext cx="3819048" cy="5809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Raquel%20Gadelha\BM%20-%20UBS%20Raquel%20Gadelha%20Correto.xlsx" TargetMode="External"/><Relationship Id="rId1" Type="http://schemas.openxmlformats.org/officeDocument/2006/relationships/externalLinkPath" Target="/Documents/Prefeitura/UBS/UBS%20-%20Raquel%20Gadelha/BM%20-%20UBS%20Raquel%20Gadelha%20Corret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Projeto%20Mariz\Boletim%20de%20Medi&#231;&#227;o%20UBS%20-%20Projeto%20Mariz.xlsx" TargetMode="External"/><Relationship Id="rId1" Type="http://schemas.openxmlformats.org/officeDocument/2006/relationships/externalLinkPath" Target="/Documents/Prefeitura/UBS/UBS%20-%20Projeto%20Mariz/Boletim%20de%20Medi&#231;&#227;o%20UBS%20-%20Projeto%20Mariz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yso/OneDrive/Documentos/UBS%20SOUSA%20DIA%201%20DE%20JUNHO%2020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yso\OneDrive\Documentos\UBS%20SOUSA%20DIA%201%20DE%20JUNH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29">
          <cell r="B229">
            <v>14</v>
          </cell>
          <cell r="C229" t="str">
            <v>ITENS ADITADOS</v>
          </cell>
        </row>
        <row r="230">
          <cell r="B230" t="str">
            <v>14.1</v>
          </cell>
          <cell r="C230" t="str">
            <v>MURO DE ENTORNO</v>
          </cell>
        </row>
        <row r="231">
          <cell r="B231" t="str">
            <v>14.1.1</v>
          </cell>
          <cell r="C231" t="str">
            <v xml:space="preserve">	Muro em alvenaria bloco cerâmico, e= 0,09m, c/ alv de pedra 0,35 x 0,60m, pilares (9x20cm) a cada 3,0m, cintas inferior e superior (9x15cm) em concreto armado fck=15,0 Mpa, c/ chapisco, reboco e pintura hidracor ou similar.</v>
          </cell>
          <cell r="D231" t="str">
            <v>m²</v>
          </cell>
        </row>
        <row r="232">
          <cell r="B232" t="str">
            <v>14.1.2</v>
          </cell>
          <cell r="C232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2" t="str">
            <v>m²</v>
          </cell>
        </row>
        <row r="233">
          <cell r="B233" t="str">
            <v>14.1.3</v>
          </cell>
          <cell r="C233" t="str">
            <v>CHAPISCO EM PAREDE COM ARGAMASSA TRAÇO T1 - 1:3 (CIMENTO / AREIA) - REVISADO 08/2015</v>
          </cell>
          <cell r="D233" t="str">
            <v>m²</v>
          </cell>
        </row>
        <row r="234">
          <cell r="B234" t="str">
            <v>14.1.4</v>
          </cell>
          <cell r="C234" t="str">
            <v>REBOCO OU EMBOÇO EXTERNO, DE PAREDE, COM ARGAMASSA TRAÇO T5 - 1:2:8 (CIMENTO / CAL / AREIA), ESPESSURA 2,0 CM</v>
          </cell>
          <cell r="D234" t="str">
            <v>m²</v>
          </cell>
        </row>
        <row r="235">
          <cell r="B235" t="str">
            <v>14.2</v>
          </cell>
          <cell r="C235" t="str">
            <v>INFRAESTRUTURA</v>
          </cell>
        </row>
        <row r="236">
          <cell r="B236" t="str">
            <v>14.2.1</v>
          </cell>
          <cell r="C236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6" t="str">
            <v>m²</v>
          </cell>
        </row>
        <row r="237">
          <cell r="B237" t="str">
            <v>14.2.2</v>
          </cell>
          <cell r="C237" t="str">
            <v>ATERRO MECANIZADO DE VALA COM ESCAVADEIRA HIDRÁULICA (CAPACIDADE DA CAÇAMBA: 0,8 M³ / POTÊNCIA: 111 HP), LARGURA DE 1,5 A 2,5 M, PROFUNDIDADE ATÉ 1,5 M, COM SOLO ARGILO-ARENOSO. AF_05/2016</v>
          </cell>
          <cell r="D237" t="str">
            <v>m³</v>
          </cell>
        </row>
        <row r="238">
          <cell r="B238" t="str">
            <v>14.3</v>
          </cell>
          <cell r="C238" t="str">
            <v>DIVERSOS</v>
          </cell>
        </row>
        <row r="239">
          <cell r="B239" t="str">
            <v>14.3.1</v>
          </cell>
          <cell r="C239" t="str">
            <v>GRADIL EM ALUMÍNIO FIXADO EM VÃOS DE JANELAS, FORMADO POR TUBOS DE 3/4". AF_04/2019 (JANELAS DA FACHADA LESTE TERREO)</v>
          </cell>
          <cell r="D239" t="str">
            <v>m²</v>
          </cell>
        </row>
        <row r="240">
          <cell r="B240" t="str">
            <v>14.3.2</v>
          </cell>
          <cell r="C240" t="str">
            <v>FORRO EM PLACAS DE GESSO, PARA AMBIENTES RESIDENCIAIS. AF_05/2017_P</v>
          </cell>
          <cell r="D240" t="str">
            <v>m²</v>
          </cell>
        </row>
        <row r="241">
          <cell r="B241" t="str">
            <v>14.3.3</v>
          </cell>
          <cell r="C241" t="str">
            <v>Portão de abrir, 2 folhas, com quadro em tubo galvanizado 2", com barra quadrada de 3/4" na vertical e esticador redondo de 3/4", inclusive fechadura e dobradiças</v>
          </cell>
          <cell r="D241" t="str">
            <v>m²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REAJUSTE"/>
      <sheetName val="Planilha1"/>
      <sheetName val="atestado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>
        <row r="12">
          <cell r="H12">
            <v>8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1">
          <cell r="H21">
            <v>0</v>
          </cell>
        </row>
        <row r="22">
          <cell r="H22">
            <v>0</v>
          </cell>
        </row>
        <row r="23">
          <cell r="H23">
            <v>0</v>
          </cell>
        </row>
        <row r="24">
          <cell r="H24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2">
        <row r="5">
          <cell r="K5">
            <v>8</v>
          </cell>
        </row>
        <row r="6">
          <cell r="K6">
            <v>267.25</v>
          </cell>
        </row>
      </sheetData>
      <sheetData sheetId="3">
        <row r="12">
          <cell r="H12">
            <v>8</v>
          </cell>
        </row>
        <row r="13">
          <cell r="H13">
            <v>267.25</v>
          </cell>
        </row>
        <row r="14">
          <cell r="H14">
            <v>48.6</v>
          </cell>
        </row>
        <row r="15">
          <cell r="F15">
            <v>829.73</v>
          </cell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40</v>
          </cell>
        </row>
        <row r="21">
          <cell r="H21">
            <v>35.21125</v>
          </cell>
        </row>
        <row r="22">
          <cell r="H22">
            <v>18.09</v>
          </cell>
        </row>
        <row r="23">
          <cell r="H23">
            <v>0</v>
          </cell>
        </row>
        <row r="24">
          <cell r="H24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2.07125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142.35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4">
        <row r="7">
          <cell r="K7">
            <v>48.6</v>
          </cell>
        </row>
        <row r="8">
          <cell r="K8">
            <v>829.73</v>
          </cell>
        </row>
        <row r="9">
          <cell r="K9">
            <v>1</v>
          </cell>
        </row>
        <row r="10">
          <cell r="K10">
            <v>1</v>
          </cell>
        </row>
        <row r="11">
          <cell r="K11">
            <v>10</v>
          </cell>
        </row>
        <row r="12">
          <cell r="K12">
            <v>40</v>
          </cell>
        </row>
        <row r="14">
          <cell r="K14">
            <v>35.21125</v>
          </cell>
        </row>
        <row r="27">
          <cell r="K27">
            <v>2.07125</v>
          </cell>
        </row>
        <row r="28">
          <cell r="K28">
            <v>212.53</v>
          </cell>
        </row>
        <row r="29">
          <cell r="K29">
            <v>1114.3</v>
          </cell>
        </row>
        <row r="30">
          <cell r="K30">
            <v>225.7</v>
          </cell>
        </row>
        <row r="31">
          <cell r="K31">
            <v>20</v>
          </cell>
        </row>
      </sheetData>
      <sheetData sheetId="5">
        <row r="12">
          <cell r="H12">
            <v>8</v>
          </cell>
        </row>
        <row r="13">
          <cell r="H13">
            <v>267.25</v>
          </cell>
        </row>
        <row r="14">
          <cell r="H14">
            <v>48.6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40</v>
          </cell>
        </row>
        <row r="21">
          <cell r="H21">
            <v>35.21125</v>
          </cell>
        </row>
        <row r="22">
          <cell r="H22">
            <v>18.09</v>
          </cell>
        </row>
        <row r="23">
          <cell r="H23">
            <v>0</v>
          </cell>
        </row>
        <row r="24">
          <cell r="H24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2.07125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142.35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31">
          <cell r="H231">
            <v>190.2</v>
          </cell>
        </row>
        <row r="232">
          <cell r="H232">
            <v>75.2</v>
          </cell>
        </row>
        <row r="233">
          <cell r="H233">
            <v>75.2</v>
          </cell>
        </row>
        <row r="234">
          <cell r="H234">
            <v>75.2</v>
          </cell>
        </row>
        <row r="235">
          <cell r="H235">
            <v>0</v>
          </cell>
        </row>
        <row r="236">
          <cell r="H236">
            <v>69.099999999999994</v>
          </cell>
        </row>
        <row r="237">
          <cell r="H237">
            <v>380.67</v>
          </cell>
        </row>
        <row r="238">
          <cell r="H238">
            <v>0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</sheetData>
      <sheetData sheetId="6">
        <row r="224">
          <cell r="K224">
            <v>190.2</v>
          </cell>
        </row>
        <row r="225">
          <cell r="K225">
            <v>75.2</v>
          </cell>
        </row>
        <row r="226">
          <cell r="K226">
            <v>75.2</v>
          </cell>
        </row>
        <row r="227">
          <cell r="K227">
            <v>75.2</v>
          </cell>
        </row>
        <row r="229">
          <cell r="K229">
            <v>69.099999999999994</v>
          </cell>
        </row>
        <row r="230">
          <cell r="K230">
            <v>380.67</v>
          </cell>
        </row>
      </sheetData>
      <sheetData sheetId="7">
        <row r="12">
          <cell r="H12">
            <v>8</v>
          </cell>
        </row>
        <row r="13">
          <cell r="H13">
            <v>267.25</v>
          </cell>
        </row>
        <row r="14">
          <cell r="H14">
            <v>48.6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40</v>
          </cell>
        </row>
        <row r="21">
          <cell r="H21">
            <v>35.21125</v>
          </cell>
        </row>
        <row r="22">
          <cell r="H22">
            <v>18.09</v>
          </cell>
        </row>
        <row r="23">
          <cell r="H23">
            <v>0</v>
          </cell>
        </row>
        <row r="24">
          <cell r="H24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2.07125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1569.8000000000002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124.3</v>
          </cell>
        </row>
        <row r="49">
          <cell r="H49">
            <v>644.41000000000008</v>
          </cell>
        </row>
        <row r="50">
          <cell r="H50">
            <v>0</v>
          </cell>
        </row>
        <row r="51">
          <cell r="H51">
            <v>0</v>
          </cell>
        </row>
        <row r="53">
          <cell r="H53">
            <v>142.35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31">
          <cell r="H231">
            <v>190.2</v>
          </cell>
        </row>
        <row r="232">
          <cell r="H232">
            <v>75.2</v>
          </cell>
        </row>
        <row r="233">
          <cell r="H233">
            <v>75.2</v>
          </cell>
        </row>
        <row r="234">
          <cell r="H234">
            <v>75.2</v>
          </cell>
        </row>
        <row r="236">
          <cell r="H236">
            <v>69.099999999999994</v>
          </cell>
        </row>
        <row r="237">
          <cell r="H237">
            <v>380.67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</sheetData>
      <sheetData sheetId="8">
        <row r="33">
          <cell r="K33">
            <v>324.26</v>
          </cell>
        </row>
        <row r="34">
          <cell r="K34">
            <v>1569.8000000000002</v>
          </cell>
        </row>
        <row r="35">
          <cell r="K35">
            <v>379.5</v>
          </cell>
        </row>
        <row r="36">
          <cell r="K36">
            <v>18.189999999999998</v>
          </cell>
        </row>
        <row r="37">
          <cell r="K37">
            <v>18.189999999999998</v>
          </cell>
        </row>
        <row r="38">
          <cell r="K38">
            <v>276.43</v>
          </cell>
        </row>
        <row r="40">
          <cell r="K40">
            <v>124.3</v>
          </cell>
        </row>
        <row r="42">
          <cell r="K42">
            <v>644.41000000000008</v>
          </cell>
        </row>
      </sheetData>
      <sheetData sheetId="9">
        <row r="12">
          <cell r="H12">
            <v>8</v>
          </cell>
        </row>
        <row r="13">
          <cell r="H13">
            <v>267.25</v>
          </cell>
        </row>
        <row r="14">
          <cell r="H14">
            <v>48.6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40</v>
          </cell>
        </row>
        <row r="21">
          <cell r="H21">
            <v>35.21125</v>
          </cell>
        </row>
        <row r="22">
          <cell r="H22">
            <v>18.09</v>
          </cell>
        </row>
        <row r="23">
          <cell r="H23">
            <v>0</v>
          </cell>
        </row>
        <row r="24">
          <cell r="H24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2.07125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1569.8000000000002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124.3</v>
          </cell>
        </row>
        <row r="49">
          <cell r="H49">
            <v>678.29000000000008</v>
          </cell>
        </row>
        <row r="51">
          <cell r="H51">
            <v>0</v>
          </cell>
        </row>
        <row r="53">
          <cell r="H53">
            <v>142.35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234.35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678.77</v>
          </cell>
        </row>
        <row r="70">
          <cell r="H70">
            <v>677.81</v>
          </cell>
        </row>
        <row r="71">
          <cell r="H71">
            <v>1356.58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1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2</v>
          </cell>
        </row>
        <row r="194">
          <cell r="H194">
            <v>0</v>
          </cell>
        </row>
        <row r="195">
          <cell r="H195">
            <v>16</v>
          </cell>
        </row>
        <row r="196">
          <cell r="H196">
            <v>2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34</v>
          </cell>
        </row>
        <row r="203">
          <cell r="H203">
            <v>0</v>
          </cell>
        </row>
        <row r="204">
          <cell r="H204">
            <v>34</v>
          </cell>
        </row>
        <row r="205">
          <cell r="H205">
            <v>5</v>
          </cell>
        </row>
        <row r="207">
          <cell r="H207">
            <v>17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31">
          <cell r="H231">
            <v>190.2</v>
          </cell>
        </row>
        <row r="232">
          <cell r="H232">
            <v>75.2</v>
          </cell>
        </row>
        <row r="233">
          <cell r="H233">
            <v>75.2</v>
          </cell>
        </row>
        <row r="234">
          <cell r="H234">
            <v>75.2</v>
          </cell>
        </row>
        <row r="236">
          <cell r="H236">
            <v>69.099999999999994</v>
          </cell>
        </row>
        <row r="237">
          <cell r="H237">
            <v>380.67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</sheetData>
      <sheetData sheetId="10">
        <row r="42">
          <cell r="K42">
            <v>33.880000000000003</v>
          </cell>
        </row>
        <row r="51">
          <cell r="K51">
            <v>234.35</v>
          </cell>
        </row>
        <row r="62">
          <cell r="K62">
            <v>678.77</v>
          </cell>
        </row>
        <row r="63">
          <cell r="K63">
            <v>677.81</v>
          </cell>
        </row>
        <row r="64">
          <cell r="K64">
            <v>1356.58</v>
          </cell>
        </row>
        <row r="171">
          <cell r="K171">
            <v>1</v>
          </cell>
        </row>
        <row r="186">
          <cell r="K186">
            <v>2</v>
          </cell>
        </row>
        <row r="188">
          <cell r="K188">
            <v>16</v>
          </cell>
        </row>
        <row r="189">
          <cell r="K189">
            <v>2</v>
          </cell>
        </row>
        <row r="195">
          <cell r="K195">
            <v>34</v>
          </cell>
        </row>
        <row r="197">
          <cell r="K197">
            <v>34</v>
          </cell>
        </row>
        <row r="198">
          <cell r="K198">
            <v>5</v>
          </cell>
        </row>
        <row r="200">
          <cell r="K200">
            <v>17</v>
          </cell>
        </row>
      </sheetData>
      <sheetData sheetId="11"/>
      <sheetData sheetId="12">
        <row r="19">
          <cell r="K19">
            <v>286.94</v>
          </cell>
        </row>
        <row r="20">
          <cell r="K20">
            <v>286.94</v>
          </cell>
        </row>
        <row r="22">
          <cell r="K22">
            <v>26.83</v>
          </cell>
        </row>
        <row r="24">
          <cell r="K24">
            <v>298.10000000000002</v>
          </cell>
        </row>
        <row r="52">
          <cell r="K52">
            <v>256.24</v>
          </cell>
        </row>
        <row r="53">
          <cell r="K53">
            <v>103.31</v>
          </cell>
        </row>
        <row r="58">
          <cell r="K58">
            <v>234.35</v>
          </cell>
        </row>
        <row r="59">
          <cell r="K59">
            <v>204.25</v>
          </cell>
        </row>
        <row r="100">
          <cell r="K100">
            <v>1</v>
          </cell>
        </row>
        <row r="108">
          <cell r="K108">
            <v>68</v>
          </cell>
        </row>
        <row r="114">
          <cell r="K114">
            <v>61</v>
          </cell>
        </row>
        <row r="122">
          <cell r="K122">
            <v>11</v>
          </cell>
        </row>
        <row r="129">
          <cell r="K129">
            <v>1</v>
          </cell>
        </row>
        <row r="132">
          <cell r="K132">
            <v>1</v>
          </cell>
        </row>
        <row r="133">
          <cell r="K133">
            <v>10</v>
          </cell>
        </row>
        <row r="203">
          <cell r="K203">
            <v>1</v>
          </cell>
        </row>
        <row r="204">
          <cell r="K204">
            <v>1</v>
          </cell>
        </row>
      </sheetData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 refreshError="1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5E10E-D99E-4D64-8D0D-7AB17EBB757B}">
  <sheetPr>
    <tabColor theme="5" tint="-0.249977111117893"/>
  </sheetPr>
  <dimension ref="A2:M232"/>
  <sheetViews>
    <sheetView showGridLines="0" view="pageBreakPreview" zoomScale="80" zoomScaleNormal="80" zoomScaleSheetLayoutView="80" zoomScalePageLayoutView="80" workbookViewId="0">
      <selection activeCell="I6" sqref="I6:K6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"/>
      <c r="M2" s="2"/>
    </row>
    <row r="3" spans="2:13" s="3" customFormat="1" ht="18">
      <c r="B3" s="127" t="s">
        <v>1</v>
      </c>
      <c r="C3" s="128"/>
      <c r="D3" s="128"/>
      <c r="E3" s="128"/>
      <c r="F3" s="128"/>
      <c r="G3" s="128"/>
      <c r="H3" s="128"/>
      <c r="I3" s="128"/>
      <c r="J3" s="128"/>
      <c r="K3" s="129"/>
      <c r="L3" s="1"/>
      <c r="M3" s="2"/>
    </row>
    <row r="4" spans="2:13" s="5" customFormat="1" ht="15">
      <c r="B4" s="130" t="s">
        <v>2</v>
      </c>
      <c r="C4" s="131"/>
      <c r="D4" s="131" t="s">
        <v>3</v>
      </c>
      <c r="E4" s="131"/>
      <c r="F4" s="131"/>
      <c r="G4" s="131"/>
      <c r="H4" s="131"/>
      <c r="I4" s="131" t="s">
        <v>4</v>
      </c>
      <c r="J4" s="131"/>
      <c r="K4" s="132"/>
      <c r="L4" s="4"/>
    </row>
    <row r="5" spans="2:13" s="5" customFormat="1" ht="15">
      <c r="B5" s="120" t="s">
        <v>5</v>
      </c>
      <c r="C5" s="121"/>
      <c r="D5" s="121" t="s">
        <v>6</v>
      </c>
      <c r="E5" s="121"/>
      <c r="F5" s="121"/>
      <c r="G5" s="121"/>
      <c r="H5" s="121"/>
      <c r="I5" s="121" t="s">
        <v>7</v>
      </c>
      <c r="J5" s="121"/>
      <c r="K5" s="122"/>
      <c r="L5" s="4"/>
    </row>
    <row r="6" spans="2:13" s="5" customFormat="1" ht="15">
      <c r="B6" s="120" t="s">
        <v>8</v>
      </c>
      <c r="C6" s="121"/>
      <c r="D6" s="121" t="s">
        <v>9</v>
      </c>
      <c r="E6" s="121"/>
      <c r="F6" s="121"/>
      <c r="G6" s="121"/>
      <c r="H6" s="121"/>
      <c r="I6" s="121" t="s">
        <v>10</v>
      </c>
      <c r="J6" s="121"/>
      <c r="K6" s="122"/>
      <c r="L6" s="4"/>
    </row>
    <row r="7" spans="2:13" s="5" customFormat="1" ht="15">
      <c r="B7" s="120" t="s">
        <v>11</v>
      </c>
      <c r="C7" s="121"/>
      <c r="D7" s="121" t="s">
        <v>12</v>
      </c>
      <c r="E7" s="121"/>
      <c r="F7" s="121"/>
      <c r="G7" s="121"/>
      <c r="H7" s="121"/>
      <c r="I7" s="6" t="s">
        <v>13</v>
      </c>
      <c r="J7" s="8">
        <f>J229</f>
        <v>5297.89</v>
      </c>
      <c r="K7" s="7"/>
      <c r="L7" s="4"/>
    </row>
    <row r="8" spans="2:13" s="5" customFormat="1" ht="15">
      <c r="B8" s="120"/>
      <c r="C8" s="121"/>
      <c r="D8" s="123"/>
      <c r="E8" s="123"/>
      <c r="F8" s="123"/>
      <c r="G8" s="123"/>
      <c r="H8" s="123"/>
      <c r="I8" s="124"/>
      <c r="J8" s="124"/>
      <c r="K8" s="125"/>
      <c r="L8" s="4"/>
    </row>
    <row r="9" spans="2:13" s="5" customFormat="1" ht="15.75">
      <c r="B9" s="115" t="s">
        <v>14</v>
      </c>
      <c r="C9" s="115"/>
      <c r="D9" s="115"/>
      <c r="E9" s="115"/>
      <c r="F9" s="115"/>
      <c r="G9" s="115"/>
      <c r="H9" s="115"/>
      <c r="I9" s="115"/>
      <c r="J9" s="115"/>
      <c r="K9" s="115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[3]Planilha!$B$12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5297.89</v>
      </c>
      <c r="K11" s="20">
        <f>SUBTOTAL(9,K12:K19)</f>
        <v>5297.89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01'!K5</f>
        <v>8</v>
      </c>
      <c r="H12" s="27">
        <f>G12</f>
        <v>8</v>
      </c>
      <c r="I12" s="28">
        <f>$E12*F12</f>
        <v>2208.48</v>
      </c>
      <c r="J12" s="28">
        <f t="shared" ref="J12:K19" si="0">$E12*G12</f>
        <v>2208.48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01'!K6</f>
        <v>267.25</v>
      </c>
      <c r="H13" s="27">
        <f t="shared" ref="H13:H76" si="1">G13</f>
        <v>267.25</v>
      </c>
      <c r="I13" s="28">
        <f t="shared" ref="I13:I19" si="2">$E13*F13</f>
        <v>3089.4100000000003</v>
      </c>
      <c r="J13" s="28">
        <f t="shared" si="0"/>
        <v>3089.4100000000003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01'!K7</f>
        <v>0</v>
      </c>
      <c r="H14" s="27">
        <f t="shared" si="1"/>
        <v>0</v>
      </c>
      <c r="I14" s="28">
        <f t="shared" si="2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01'!K8</f>
        <v>0</v>
      </c>
      <c r="H15" s="27">
        <f t="shared" si="1"/>
        <v>0</v>
      </c>
      <c r="I15" s="28">
        <f t="shared" si="2"/>
        <v>240.62169999999998</v>
      </c>
      <c r="J15" s="28">
        <f t="shared" si="0"/>
        <v>0</v>
      </c>
      <c r="K15" s="28">
        <f t="shared" si="0"/>
        <v>0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01'!K9</f>
        <v>0</v>
      </c>
      <c r="H16" s="27">
        <f t="shared" si="1"/>
        <v>0</v>
      </c>
      <c r="I16" s="28">
        <f t="shared" si="2"/>
        <v>1461.36</v>
      </c>
      <c r="J16" s="28">
        <f t="shared" si="0"/>
        <v>0</v>
      </c>
      <c r="K16" s="28">
        <f t="shared" si="0"/>
        <v>0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01'!K10</f>
        <v>0</v>
      </c>
      <c r="H17" s="27">
        <f t="shared" si="1"/>
        <v>0</v>
      </c>
      <c r="I17" s="28">
        <f t="shared" si="2"/>
        <v>2207.33</v>
      </c>
      <c r="J17" s="28">
        <f t="shared" si="0"/>
        <v>0</v>
      </c>
      <c r="K17" s="28">
        <f t="shared" si="0"/>
        <v>0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01'!K11</f>
        <v>0</v>
      </c>
      <c r="H18" s="27">
        <f t="shared" si="1"/>
        <v>0</v>
      </c>
      <c r="I18" s="28">
        <f t="shared" si="2"/>
        <v>2512.1999999999998</v>
      </c>
      <c r="J18" s="28">
        <f t="shared" si="0"/>
        <v>0</v>
      </c>
      <c r="K18" s="28">
        <f t="shared" si="0"/>
        <v>0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01'!K12</f>
        <v>0</v>
      </c>
      <c r="H19" s="27">
        <f t="shared" si="1"/>
        <v>0</v>
      </c>
      <c r="I19" s="28">
        <f t="shared" si="2"/>
        <v>8473.6</v>
      </c>
      <c r="J19" s="28">
        <f t="shared" si="0"/>
        <v>0</v>
      </c>
      <c r="K19" s="28">
        <f t="shared" si="0"/>
        <v>0</v>
      </c>
      <c r="L19" s="4"/>
    </row>
    <row r="20" spans="2:12" s="5" customFormat="1" ht="15">
      <c r="B20" s="30">
        <v>2</v>
      </c>
      <c r="C20" s="31" t="str">
        <f>[3]Planilha!$B$21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0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01'!K14</f>
        <v>0</v>
      </c>
      <c r="H21" s="27">
        <f t="shared" si="1"/>
        <v>0</v>
      </c>
      <c r="I21" s="28">
        <f>$E21*F21</f>
        <v>1752.5640000000001</v>
      </c>
      <c r="J21" s="28">
        <f t="shared" ref="J21:K24" si="3">$E21*G21</f>
        <v>0</v>
      </c>
      <c r="K21" s="28">
        <f t="shared" si="3"/>
        <v>0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01'!K15</f>
        <v>0</v>
      </c>
      <c r="H22" s="27">
        <f t="shared" si="1"/>
        <v>0</v>
      </c>
      <c r="I22" s="28">
        <f t="shared" ref="I22:I24" si="4">$E22*F22</f>
        <v>278.58600000000001</v>
      </c>
      <c r="J22" s="28">
        <f t="shared" si="3"/>
        <v>0</v>
      </c>
      <c r="K22" s="28">
        <f t="shared" si="3"/>
        <v>0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01'!K16</f>
        <v>0</v>
      </c>
      <c r="H23" s="27">
        <f t="shared" si="1"/>
        <v>0</v>
      </c>
      <c r="I23" s="28">
        <f t="shared" si="4"/>
        <v>54.450899999999997</v>
      </c>
      <c r="J23" s="28">
        <f t="shared" si="3"/>
        <v>0</v>
      </c>
      <c r="K23" s="28">
        <f t="shared" si="3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01'!K17</f>
        <v>0</v>
      </c>
      <c r="H24" s="27">
        <f t="shared" si="1"/>
        <v>0</v>
      </c>
      <c r="I24" s="28">
        <f t="shared" si="4"/>
        <v>74.711699999999993</v>
      </c>
      <c r="J24" s="28">
        <f t="shared" si="3"/>
        <v>0</v>
      </c>
      <c r="K24" s="28">
        <f t="shared" si="3"/>
        <v>0</v>
      </c>
      <c r="L24" s="4"/>
    </row>
    <row r="25" spans="2:12" s="5" customFormat="1" ht="15">
      <c r="B25" s="30">
        <v>3</v>
      </c>
      <c r="C25" s="31" t="str">
        <f>[3]Planilha!$B$26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01'!K19</f>
        <v>0</v>
      </c>
      <c r="H26" s="27">
        <f t="shared" si="1"/>
        <v>0</v>
      </c>
      <c r="I26" s="28">
        <f>$E26*F26</f>
        <v>26478.823199999999</v>
      </c>
      <c r="J26" s="28">
        <f t="shared" ref="J26:K31" si="5">$E26*G26</f>
        <v>0</v>
      </c>
      <c r="K26" s="28">
        <f t="shared" si="5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01'!K20</f>
        <v>0</v>
      </c>
      <c r="H27" s="27">
        <f t="shared" si="1"/>
        <v>0</v>
      </c>
      <c r="I27" s="28">
        <f t="shared" ref="I27:I31" si="6">$E27*F27</f>
        <v>10530.698</v>
      </c>
      <c r="J27" s="28">
        <f t="shared" si="5"/>
        <v>0</v>
      </c>
      <c r="K27" s="28">
        <f t="shared" si="5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01'!K21</f>
        <v>0</v>
      </c>
      <c r="H28" s="27">
        <f t="shared" si="1"/>
        <v>0</v>
      </c>
      <c r="I28" s="28">
        <f t="shared" si="6"/>
        <v>2869.9442999999997</v>
      </c>
      <c r="J28" s="28">
        <f t="shared" si="5"/>
        <v>0</v>
      </c>
      <c r="K28" s="28">
        <f t="shared" si="5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01'!K22</f>
        <v>0</v>
      </c>
      <c r="H29" s="27">
        <f t="shared" si="1"/>
        <v>0</v>
      </c>
      <c r="I29" s="28">
        <f t="shared" si="6"/>
        <v>548.13689999999997</v>
      </c>
      <c r="J29" s="28">
        <f t="shared" si="5"/>
        <v>0</v>
      </c>
      <c r="K29" s="28">
        <f t="shared" si="5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01'!K23</f>
        <v>0</v>
      </c>
      <c r="H30" s="27">
        <f t="shared" si="1"/>
        <v>0</v>
      </c>
      <c r="I30" s="28">
        <f t="shared" si="6"/>
        <v>3374.8368</v>
      </c>
      <c r="J30" s="28">
        <f t="shared" si="5"/>
        <v>0</v>
      </c>
      <c r="K30" s="28">
        <f t="shared" si="5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01'!K24</f>
        <v>0</v>
      </c>
      <c r="H31" s="27">
        <f t="shared" si="1"/>
        <v>0</v>
      </c>
      <c r="I31" s="28">
        <f t="shared" si="6"/>
        <v>7407.7850000000008</v>
      </c>
      <c r="J31" s="28">
        <f t="shared" si="5"/>
        <v>0</v>
      </c>
      <c r="K31" s="28">
        <f t="shared" si="5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>SUM(K33+K39)</f>
        <v>0</v>
      </c>
      <c r="L32" s="4"/>
    </row>
    <row r="33" spans="2:12" s="43" customFormat="1" ht="15">
      <c r="B33" s="36" t="s">
        <v>66</v>
      </c>
      <c r="C33" s="37" t="str">
        <f>[3]Planilha!$B$34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0</v>
      </c>
      <c r="K33" s="41">
        <f>SUM(K34:K38)</f>
        <v>0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01'!K27</f>
        <v>0</v>
      </c>
      <c r="H34" s="27">
        <f t="shared" si="1"/>
        <v>0</v>
      </c>
      <c r="I34" s="28">
        <f t="shared" ref="I34:K38" si="7">$E34*F34</f>
        <v>209.00789999999998</v>
      </c>
      <c r="J34" s="28">
        <f t="shared" si="7"/>
        <v>0</v>
      </c>
      <c r="K34" s="28">
        <f t="shared" si="7"/>
        <v>0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01'!K28</f>
        <v>0</v>
      </c>
      <c r="H35" s="27">
        <f t="shared" si="1"/>
        <v>0</v>
      </c>
      <c r="I35" s="28">
        <f t="shared" si="7"/>
        <v>6110.2375000000002</v>
      </c>
      <c r="J35" s="28">
        <f t="shared" si="7"/>
        <v>0</v>
      </c>
      <c r="K35" s="28">
        <f t="shared" si="7"/>
        <v>0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01'!K29</f>
        <v>0</v>
      </c>
      <c r="H36" s="27">
        <f t="shared" si="1"/>
        <v>0</v>
      </c>
      <c r="I36" s="28">
        <f t="shared" si="7"/>
        <v>14017.894</v>
      </c>
      <c r="J36" s="28">
        <f t="shared" si="7"/>
        <v>0</v>
      </c>
      <c r="K36" s="28">
        <f t="shared" si="7"/>
        <v>0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01'!K30</f>
        <v>0</v>
      </c>
      <c r="H37" s="27">
        <f t="shared" si="1"/>
        <v>0</v>
      </c>
      <c r="I37" s="28">
        <f t="shared" si="7"/>
        <v>1762.7169999999999</v>
      </c>
      <c r="J37" s="28">
        <f t="shared" si="7"/>
        <v>0</v>
      </c>
      <c r="K37" s="28">
        <f t="shared" si="7"/>
        <v>0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01'!K31</f>
        <v>0</v>
      </c>
      <c r="H38" s="27">
        <f t="shared" si="1"/>
        <v>0</v>
      </c>
      <c r="I38" s="28">
        <f t="shared" si="7"/>
        <v>10388.199999999999</v>
      </c>
      <c r="J38" s="28">
        <f t="shared" si="7"/>
        <v>0</v>
      </c>
      <c r="K38" s="28">
        <f t="shared" si="7"/>
        <v>0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0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01'!K33</f>
        <v>0</v>
      </c>
      <c r="H40" s="27">
        <f t="shared" si="1"/>
        <v>0</v>
      </c>
      <c r="I40" s="28">
        <f t="shared" ref="I40:K47" si="8">$E40*F40</f>
        <v>11300.460999999999</v>
      </c>
      <c r="J40" s="28">
        <f t="shared" si="8"/>
        <v>0</v>
      </c>
      <c r="K40" s="28">
        <f t="shared" si="8"/>
        <v>0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01'!K34</f>
        <v>0</v>
      </c>
      <c r="H41" s="27">
        <f t="shared" si="1"/>
        <v>0</v>
      </c>
      <c r="I41" s="28">
        <f t="shared" si="8"/>
        <v>19748.083999999999</v>
      </c>
      <c r="J41" s="28">
        <f t="shared" si="8"/>
        <v>0</v>
      </c>
      <c r="K41" s="28">
        <f t="shared" si="8"/>
        <v>0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01'!K35</f>
        <v>0</v>
      </c>
      <c r="H42" s="27">
        <f t="shared" si="1"/>
        <v>0</v>
      </c>
      <c r="I42" s="28">
        <f t="shared" si="8"/>
        <v>2963.895</v>
      </c>
      <c r="J42" s="28">
        <f t="shared" si="8"/>
        <v>0</v>
      </c>
      <c r="K42" s="28">
        <f t="shared" si="8"/>
        <v>0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01'!K36</f>
        <v>0</v>
      </c>
      <c r="H43" s="27">
        <f t="shared" si="1"/>
        <v>0</v>
      </c>
      <c r="I43" s="28">
        <f t="shared" si="8"/>
        <v>6276.2776000000013</v>
      </c>
      <c r="J43" s="28">
        <f t="shared" si="8"/>
        <v>0</v>
      </c>
      <c r="K43" s="28">
        <f t="shared" si="8"/>
        <v>0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01'!K37</f>
        <v>0</v>
      </c>
      <c r="H44" s="27">
        <f t="shared" si="1"/>
        <v>0</v>
      </c>
      <c r="I44" s="28">
        <f t="shared" si="8"/>
        <v>2396.8963000000003</v>
      </c>
      <c r="J44" s="28">
        <f t="shared" si="8"/>
        <v>0</v>
      </c>
      <c r="K44" s="28">
        <f t="shared" si="8"/>
        <v>0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01'!K38</f>
        <v>0</v>
      </c>
      <c r="H45" s="27">
        <f t="shared" si="1"/>
        <v>0</v>
      </c>
      <c r="I45" s="28">
        <f t="shared" si="8"/>
        <v>23502.078600000001</v>
      </c>
      <c r="J45" s="28">
        <f t="shared" si="8"/>
        <v>0</v>
      </c>
      <c r="K45" s="28">
        <f t="shared" si="8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01'!K39</f>
        <v>0</v>
      </c>
      <c r="H46" s="27">
        <f t="shared" si="1"/>
        <v>0</v>
      </c>
      <c r="I46" s="28">
        <f t="shared" si="8"/>
        <v>2541.8910000000001</v>
      </c>
      <c r="J46" s="28">
        <f t="shared" si="8"/>
        <v>0</v>
      </c>
      <c r="K46" s="28">
        <f t="shared" si="8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01'!K40</f>
        <v>0</v>
      </c>
      <c r="H47" s="27">
        <f t="shared" si="1"/>
        <v>0</v>
      </c>
      <c r="I47" s="28">
        <f t="shared" si="8"/>
        <v>3246.4259999999995</v>
      </c>
      <c r="J47" s="28">
        <f t="shared" si="8"/>
        <v>0</v>
      </c>
      <c r="K47" s="28">
        <f t="shared" si="8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01'!K42</f>
        <v>0</v>
      </c>
      <c r="H49" s="27">
        <f t="shared" si="1"/>
        <v>0</v>
      </c>
      <c r="I49" s="28">
        <f>$E49*F49</f>
        <v>46948.417600000001</v>
      </c>
      <c r="J49" s="28">
        <f t="shared" ref="J49:K51" si="9">$E49*G49</f>
        <v>0</v>
      </c>
      <c r="K49" s="28">
        <f t="shared" si="9"/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01'!K44</f>
        <v>0</v>
      </c>
      <c r="H51" s="27">
        <f t="shared" si="1"/>
        <v>0</v>
      </c>
      <c r="I51" s="28">
        <f t="shared" ref="I51" si="10">$E51*F51</f>
        <v>2040.3263999999999</v>
      </c>
      <c r="J51" s="28">
        <f t="shared" si="9"/>
        <v>0</v>
      </c>
      <c r="K51" s="28">
        <f t="shared" si="9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0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01'!K46</f>
        <v>0</v>
      </c>
      <c r="H53" s="27">
        <f t="shared" si="1"/>
        <v>0</v>
      </c>
      <c r="I53" s="28">
        <f>$E53*F53</f>
        <v>1229.904</v>
      </c>
      <c r="J53" s="28">
        <f t="shared" ref="J53:K55" si="11">$E53*G53</f>
        <v>0</v>
      </c>
      <c r="K53" s="28">
        <f t="shared" si="11"/>
        <v>0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01'!K47</f>
        <v>0</v>
      </c>
      <c r="H54" s="27">
        <f t="shared" si="1"/>
        <v>0</v>
      </c>
      <c r="I54" s="28">
        <f t="shared" ref="I54:I55" si="12">$E54*F54</f>
        <v>103.55200000000001</v>
      </c>
      <c r="J54" s="28">
        <f t="shared" si="11"/>
        <v>0</v>
      </c>
      <c r="K54" s="28">
        <f t="shared" si="11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01'!K48</f>
        <v>0</v>
      </c>
      <c r="H55" s="27">
        <f t="shared" si="1"/>
        <v>0</v>
      </c>
      <c r="I55" s="28">
        <f t="shared" si="12"/>
        <v>40.416000000000004</v>
      </c>
      <c r="J55" s="28">
        <f t="shared" si="11"/>
        <v>0</v>
      </c>
      <c r="K55" s="28">
        <f t="shared" si="11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0</v>
      </c>
      <c r="K56" s="34">
        <f>SUBTOTAL(9,K57:K228)</f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'[2]Memória 01'!K51</f>
        <v>0</v>
      </c>
      <c r="H58" s="27">
        <f t="shared" si="1"/>
        <v>0</v>
      </c>
      <c r="I58" s="28">
        <f t="shared" ref="I58:K67" si="13">$E58*F58</f>
        <v>8975.6049999999996</v>
      </c>
      <c r="J58" s="28">
        <f t="shared" si="13"/>
        <v>0</v>
      </c>
      <c r="K58" s="28">
        <f t="shared" si="13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01'!K52</f>
        <v>0</v>
      </c>
      <c r="H59" s="27">
        <f t="shared" si="1"/>
        <v>0</v>
      </c>
      <c r="I59" s="28">
        <f t="shared" si="13"/>
        <v>4586.6959999999999</v>
      </c>
      <c r="J59" s="28">
        <f t="shared" si="13"/>
        <v>0</v>
      </c>
      <c r="K59" s="28">
        <f t="shared" si="13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01'!K53</f>
        <v>0</v>
      </c>
      <c r="H60" s="27">
        <f t="shared" si="1"/>
        <v>0</v>
      </c>
      <c r="I60" s="28">
        <f t="shared" si="13"/>
        <v>7814.9655000000002</v>
      </c>
      <c r="J60" s="28">
        <f t="shared" si="13"/>
        <v>0</v>
      </c>
      <c r="K60" s="28">
        <f t="shared" si="13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01'!K54</f>
        <v>0</v>
      </c>
      <c r="H61" s="27">
        <f t="shared" si="1"/>
        <v>0</v>
      </c>
      <c r="I61" s="28">
        <f t="shared" si="13"/>
        <v>4580.0923999999995</v>
      </c>
      <c r="J61" s="28">
        <f t="shared" si="13"/>
        <v>0</v>
      </c>
      <c r="K61" s="28">
        <f t="shared" si="13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01'!K55</f>
        <v>0</v>
      </c>
      <c r="H62" s="27">
        <f t="shared" si="1"/>
        <v>0</v>
      </c>
      <c r="I62" s="28">
        <f t="shared" si="13"/>
        <v>1510.8</v>
      </c>
      <c r="J62" s="28">
        <f t="shared" si="13"/>
        <v>0</v>
      </c>
      <c r="K62" s="28">
        <f t="shared" si="13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01'!K56</f>
        <v>0</v>
      </c>
      <c r="H63" s="27">
        <f t="shared" si="1"/>
        <v>0</v>
      </c>
      <c r="I63" s="28">
        <f t="shared" si="13"/>
        <v>2829.8804999999998</v>
      </c>
      <c r="J63" s="28">
        <f t="shared" si="13"/>
        <v>0</v>
      </c>
      <c r="K63" s="28">
        <f t="shared" si="13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01'!K57</f>
        <v>0</v>
      </c>
      <c r="H64" s="27">
        <f t="shared" si="1"/>
        <v>0</v>
      </c>
      <c r="I64" s="28">
        <f t="shared" si="13"/>
        <v>1180.2</v>
      </c>
      <c r="J64" s="28">
        <f t="shared" si="13"/>
        <v>0</v>
      </c>
      <c r="K64" s="28">
        <f t="shared" si="13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01'!K58</f>
        <v>0</v>
      </c>
      <c r="H65" s="27">
        <f t="shared" si="1"/>
        <v>0</v>
      </c>
      <c r="I65" s="28">
        <f t="shared" si="13"/>
        <v>18663.633999999998</v>
      </c>
      <c r="J65" s="28">
        <f t="shared" si="13"/>
        <v>0</v>
      </c>
      <c r="K65" s="28">
        <f t="shared" si="13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01'!K59</f>
        <v>0</v>
      </c>
      <c r="H66" s="27">
        <f t="shared" si="1"/>
        <v>0</v>
      </c>
      <c r="I66" s="28">
        <f t="shared" si="13"/>
        <v>3317.0199999999995</v>
      </c>
      <c r="J66" s="28">
        <f t="shared" si="13"/>
        <v>0</v>
      </c>
      <c r="K66" s="28">
        <f t="shared" si="13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01'!K60</f>
        <v>0</v>
      </c>
      <c r="H67" s="27">
        <f t="shared" si="1"/>
        <v>0</v>
      </c>
      <c r="I67" s="28">
        <f t="shared" si="13"/>
        <v>1596.7665</v>
      </c>
      <c r="J67" s="28">
        <f t="shared" si="13"/>
        <v>0</v>
      </c>
      <c r="K67" s="28">
        <f t="shared" si="13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01'!K62</f>
        <v>0</v>
      </c>
      <c r="H69" s="27">
        <f t="shared" si="1"/>
        <v>0</v>
      </c>
      <c r="I69" s="28">
        <f t="shared" ref="I69:K76" si="14">$E69*F69</f>
        <v>3061.2526999999995</v>
      </c>
      <c r="J69" s="28">
        <f t="shared" si="14"/>
        <v>0</v>
      </c>
      <c r="K69" s="28">
        <f t="shared" si="14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01'!K63</f>
        <v>0</v>
      </c>
      <c r="H70" s="27">
        <f t="shared" si="1"/>
        <v>0</v>
      </c>
      <c r="I70" s="28">
        <f t="shared" si="14"/>
        <v>2724.0911999999998</v>
      </c>
      <c r="J70" s="28">
        <f t="shared" si="14"/>
        <v>0</v>
      </c>
      <c r="K70" s="28">
        <f t="shared" si="14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01'!K64</f>
        <v>0</v>
      </c>
      <c r="H71" s="27">
        <f t="shared" si="1"/>
        <v>0</v>
      </c>
      <c r="I71" s="28">
        <f t="shared" si="14"/>
        <v>35879.399399999995</v>
      </c>
      <c r="J71" s="28">
        <f t="shared" si="14"/>
        <v>0</v>
      </c>
      <c r="K71" s="28">
        <f t="shared" si="14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01'!K65</f>
        <v>0</v>
      </c>
      <c r="H72" s="27">
        <f t="shared" si="1"/>
        <v>0</v>
      </c>
      <c r="I72" s="28">
        <f t="shared" si="14"/>
        <v>13681.215600000001</v>
      </c>
      <c r="J72" s="28">
        <f t="shared" si="14"/>
        <v>0</v>
      </c>
      <c r="K72" s="28">
        <f t="shared" si="14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01'!K66</f>
        <v>0</v>
      </c>
      <c r="H73" s="27">
        <f t="shared" si="1"/>
        <v>0</v>
      </c>
      <c r="I73" s="28">
        <f t="shared" si="14"/>
        <v>11523.627</v>
      </c>
      <c r="J73" s="28">
        <f t="shared" si="14"/>
        <v>0</v>
      </c>
      <c r="K73" s="28">
        <f t="shared" si="14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01'!K67</f>
        <v>0</v>
      </c>
      <c r="H74" s="27">
        <f t="shared" si="1"/>
        <v>0</v>
      </c>
      <c r="I74" s="28">
        <f t="shared" si="14"/>
        <v>7791.1956000000009</v>
      </c>
      <c r="J74" s="28">
        <f t="shared" si="14"/>
        <v>0</v>
      </c>
      <c r="K74" s="28">
        <f t="shared" si="14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01'!K68</f>
        <v>0</v>
      </c>
      <c r="H75" s="27">
        <f t="shared" si="1"/>
        <v>0</v>
      </c>
      <c r="I75" s="28">
        <f t="shared" si="14"/>
        <v>2385.7874999999999</v>
      </c>
      <c r="J75" s="28">
        <f t="shared" si="14"/>
        <v>0</v>
      </c>
      <c r="K75" s="28">
        <f t="shared" si="14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01'!K69</f>
        <v>0</v>
      </c>
      <c r="H76" s="27">
        <f t="shared" si="1"/>
        <v>0</v>
      </c>
      <c r="I76" s="28">
        <f t="shared" si="14"/>
        <v>11697.7035</v>
      </c>
      <c r="J76" s="28">
        <f t="shared" si="14"/>
        <v>0</v>
      </c>
      <c r="K76" s="28">
        <f t="shared" si="14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'[2]Memória 01'!K71</f>
        <v>0</v>
      </c>
      <c r="H78" s="27">
        <f t="shared" ref="H78:H141" si="15">G78</f>
        <v>0</v>
      </c>
      <c r="I78" s="28">
        <f t="shared" ref="I78:K83" si="16">$E78*F78</f>
        <v>2444.7015000000001</v>
      </c>
      <c r="J78" s="28">
        <f t="shared" si="16"/>
        <v>0</v>
      </c>
      <c r="K78" s="28">
        <f t="shared" si="16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'[2]Memória 01'!K72</f>
        <v>0</v>
      </c>
      <c r="H79" s="27">
        <f t="shared" si="15"/>
        <v>0</v>
      </c>
      <c r="I79" s="28">
        <f t="shared" si="16"/>
        <v>6650.7318000000005</v>
      </c>
      <c r="J79" s="28">
        <f t="shared" si="16"/>
        <v>0</v>
      </c>
      <c r="K79" s="28">
        <f t="shared" si="16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01'!K73</f>
        <v>0</v>
      </c>
      <c r="H80" s="27">
        <f t="shared" si="15"/>
        <v>0</v>
      </c>
      <c r="I80" s="28">
        <f t="shared" si="16"/>
        <v>3382.2359999999999</v>
      </c>
      <c r="J80" s="28">
        <f t="shared" si="16"/>
        <v>0</v>
      </c>
      <c r="K80" s="28">
        <f t="shared" si="16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01'!K74</f>
        <v>0</v>
      </c>
      <c r="H81" s="27">
        <f t="shared" si="15"/>
        <v>0</v>
      </c>
      <c r="I81" s="28">
        <f t="shared" si="16"/>
        <v>2949.8040000000001</v>
      </c>
      <c r="J81" s="28">
        <f t="shared" si="16"/>
        <v>0</v>
      </c>
      <c r="K81" s="28">
        <f t="shared" si="16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01'!K75</f>
        <v>0</v>
      </c>
      <c r="H82" s="27">
        <f t="shared" si="15"/>
        <v>0</v>
      </c>
      <c r="I82" s="28">
        <f t="shared" si="16"/>
        <v>596.80949999999996</v>
      </c>
      <c r="J82" s="28">
        <f t="shared" si="16"/>
        <v>0</v>
      </c>
      <c r="K82" s="28">
        <f t="shared" si="16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01'!K76</f>
        <v>0</v>
      </c>
      <c r="H83" s="27">
        <f t="shared" si="15"/>
        <v>0</v>
      </c>
      <c r="I83" s="28">
        <f t="shared" si="16"/>
        <v>433.53200000000004</v>
      </c>
      <c r="J83" s="28">
        <f t="shared" si="16"/>
        <v>0</v>
      </c>
      <c r="K83" s="28">
        <f t="shared" si="16"/>
        <v>0</v>
      </c>
      <c r="L83" s="4"/>
    </row>
    <row r="84" spans="2:12" s="5" customFormat="1" ht="15">
      <c r="B84" s="36" t="s">
        <v>160</v>
      </c>
      <c r="C84" s="116" t="s">
        <v>161</v>
      </c>
      <c r="D84" s="116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01'!K78</f>
        <v>0</v>
      </c>
      <c r="H85" s="27">
        <f t="shared" si="15"/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01'!K81</f>
        <v>0</v>
      </c>
      <c r="H88" s="27">
        <f t="shared" si="15"/>
        <v>0</v>
      </c>
      <c r="I88" s="28">
        <f t="shared" ref="I88:K95" si="17">$E88*F88</f>
        <v>3442.74</v>
      </c>
      <c r="J88" s="28">
        <f t="shared" si="17"/>
        <v>0</v>
      </c>
      <c r="K88" s="28">
        <f t="shared" si="17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01'!K82</f>
        <v>0</v>
      </c>
      <c r="H89" s="27">
        <f t="shared" si="15"/>
        <v>0</v>
      </c>
      <c r="I89" s="28">
        <f t="shared" si="17"/>
        <v>7354.2000000000007</v>
      </c>
      <c r="J89" s="28">
        <f t="shared" si="17"/>
        <v>0</v>
      </c>
      <c r="K89" s="28">
        <f t="shared" si="17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01'!K83</f>
        <v>0</v>
      </c>
      <c r="H90" s="27">
        <f t="shared" si="15"/>
        <v>0</v>
      </c>
      <c r="I90" s="28">
        <f t="shared" si="17"/>
        <v>741.28</v>
      </c>
      <c r="J90" s="28">
        <f t="shared" si="17"/>
        <v>0</v>
      </c>
      <c r="K90" s="28">
        <f t="shared" si="17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01'!K84</f>
        <v>0</v>
      </c>
      <c r="H91" s="27">
        <f t="shared" si="15"/>
        <v>0</v>
      </c>
      <c r="I91" s="28">
        <f t="shared" si="17"/>
        <v>1386.43</v>
      </c>
      <c r="J91" s="28">
        <f t="shared" si="17"/>
        <v>0</v>
      </c>
      <c r="K91" s="28">
        <f t="shared" si="17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01'!K85</f>
        <v>0</v>
      </c>
      <c r="H92" s="27">
        <f t="shared" si="15"/>
        <v>0</v>
      </c>
      <c r="I92" s="28">
        <f t="shared" si="17"/>
        <v>374.34</v>
      </c>
      <c r="J92" s="28">
        <f t="shared" si="17"/>
        <v>0</v>
      </c>
      <c r="K92" s="28">
        <f t="shared" si="17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01'!K86</f>
        <v>0</v>
      </c>
      <c r="H93" s="27">
        <f t="shared" si="15"/>
        <v>0</v>
      </c>
      <c r="I93" s="28">
        <f t="shared" si="17"/>
        <v>474.3</v>
      </c>
      <c r="J93" s="28">
        <f t="shared" si="17"/>
        <v>0</v>
      </c>
      <c r="K93" s="28">
        <f t="shared" si="17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01'!K87</f>
        <v>0</v>
      </c>
      <c r="H94" s="27">
        <f t="shared" si="15"/>
        <v>0</v>
      </c>
      <c r="I94" s="28">
        <f t="shared" si="17"/>
        <v>551.98</v>
      </c>
      <c r="J94" s="28">
        <f t="shared" si="17"/>
        <v>0</v>
      </c>
      <c r="K94" s="28">
        <f t="shared" si="17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01'!K88</f>
        <v>0</v>
      </c>
      <c r="H95" s="27">
        <f t="shared" si="15"/>
        <v>0</v>
      </c>
      <c r="I95" s="28">
        <f t="shared" si="17"/>
        <v>2253.069</v>
      </c>
      <c r="J95" s="28">
        <f t="shared" si="17"/>
        <v>0</v>
      </c>
      <c r="K95" s="28">
        <f t="shared" si="17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01'!K90</f>
        <v>0</v>
      </c>
      <c r="H97" s="27">
        <f t="shared" si="15"/>
        <v>0</v>
      </c>
      <c r="I97" s="28">
        <f t="shared" ref="I97:K100" si="18">$E97*F97</f>
        <v>18004.346000000001</v>
      </c>
      <c r="J97" s="28">
        <f t="shared" si="18"/>
        <v>0</v>
      </c>
      <c r="K97" s="28">
        <f t="shared" si="18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01'!K91</f>
        <v>0</v>
      </c>
      <c r="H98" s="27">
        <f t="shared" si="15"/>
        <v>0</v>
      </c>
      <c r="I98" s="28">
        <f t="shared" si="18"/>
        <v>473.39200000000005</v>
      </c>
      <c r="J98" s="28">
        <f t="shared" si="18"/>
        <v>0</v>
      </c>
      <c r="K98" s="28">
        <f t="shared" si="18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01'!K92</f>
        <v>0</v>
      </c>
      <c r="H99" s="27">
        <f t="shared" si="15"/>
        <v>0</v>
      </c>
      <c r="I99" s="28">
        <f t="shared" si="18"/>
        <v>10536.165199999999</v>
      </c>
      <c r="J99" s="28">
        <f t="shared" si="18"/>
        <v>0</v>
      </c>
      <c r="K99" s="28">
        <f t="shared" si="18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01'!K93</f>
        <v>0</v>
      </c>
      <c r="H100" s="27">
        <f t="shared" si="15"/>
        <v>0</v>
      </c>
      <c r="I100" s="28">
        <f t="shared" si="18"/>
        <v>149.44999999999999</v>
      </c>
      <c r="J100" s="28">
        <f t="shared" si="18"/>
        <v>0</v>
      </c>
      <c r="K100" s="28">
        <f t="shared" si="18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01'!K95</f>
        <v>0</v>
      </c>
      <c r="H102" s="27">
        <f t="shared" si="15"/>
        <v>0</v>
      </c>
      <c r="I102" s="28">
        <f t="shared" ref="I102:K104" si="19">$E102*F102</f>
        <v>6197.4107999999997</v>
      </c>
      <c r="J102" s="28">
        <f t="shared" si="19"/>
        <v>0</v>
      </c>
      <c r="K102" s="28">
        <f t="shared" si="19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01'!K96</f>
        <v>0</v>
      </c>
      <c r="H103" s="27">
        <f t="shared" si="15"/>
        <v>0</v>
      </c>
      <c r="I103" s="28">
        <f t="shared" si="19"/>
        <v>3777.5155999999997</v>
      </c>
      <c r="J103" s="28">
        <f t="shared" si="19"/>
        <v>0</v>
      </c>
      <c r="K103" s="28">
        <f t="shared" si="19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01'!K97</f>
        <v>0</v>
      </c>
      <c r="H104" s="27">
        <f t="shared" si="15"/>
        <v>0</v>
      </c>
      <c r="I104" s="28">
        <f t="shared" si="19"/>
        <v>1274.6487999999999</v>
      </c>
      <c r="J104" s="28">
        <f t="shared" si="19"/>
        <v>0</v>
      </c>
      <c r="K104" s="28">
        <f t="shared" si="19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26">
        <f>'[2]Memória 01'!K99</f>
        <v>0</v>
      </c>
      <c r="H106" s="27">
        <f t="shared" si="15"/>
        <v>0</v>
      </c>
      <c r="I106" s="41">
        <f>I107</f>
        <v>1687.24</v>
      </c>
      <c r="J106" s="41">
        <f>SUBTOTAL(9,J107:J107)</f>
        <v>0</v>
      </c>
      <c r="K106" s="41">
        <f>SUBTOTAL(9,K107:K107)</f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01'!K100</f>
        <v>0</v>
      </c>
      <c r="H107" s="27">
        <f t="shared" si="15"/>
        <v>0</v>
      </c>
      <c r="I107" s="28">
        <f t="shared" ref="I107:K107" si="20">$E107*F107</f>
        <v>1687.24</v>
      </c>
      <c r="J107" s="28">
        <f t="shared" si="20"/>
        <v>0</v>
      </c>
      <c r="K107" s="28">
        <f t="shared" si="20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01'!K102</f>
        <v>0</v>
      </c>
      <c r="H109" s="27">
        <f t="shared" si="15"/>
        <v>0</v>
      </c>
      <c r="I109" s="28">
        <f t="shared" ref="I109:K124" si="21">$E109*F109</f>
        <v>4015.61</v>
      </c>
      <c r="J109" s="28">
        <f t="shared" si="21"/>
        <v>0</v>
      </c>
      <c r="K109" s="28">
        <f t="shared" si="21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01'!K103</f>
        <v>0</v>
      </c>
      <c r="H110" s="27">
        <f t="shared" si="15"/>
        <v>0</v>
      </c>
      <c r="I110" s="28">
        <f t="shared" si="21"/>
        <v>616</v>
      </c>
      <c r="J110" s="28">
        <f t="shared" si="21"/>
        <v>0</v>
      </c>
      <c r="K110" s="28">
        <f t="shared" si="21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01'!K104</f>
        <v>0</v>
      </c>
      <c r="H111" s="27">
        <f t="shared" si="15"/>
        <v>0</v>
      </c>
      <c r="I111" s="28">
        <f t="shared" si="21"/>
        <v>1205.28</v>
      </c>
      <c r="J111" s="28">
        <f t="shared" si="21"/>
        <v>0</v>
      </c>
      <c r="K111" s="28">
        <f t="shared" si="21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01'!K105</f>
        <v>0</v>
      </c>
      <c r="H112" s="27">
        <f t="shared" si="15"/>
        <v>0</v>
      </c>
      <c r="I112" s="28">
        <f t="shared" si="21"/>
        <v>632.93999999999994</v>
      </c>
      <c r="J112" s="28">
        <f t="shared" si="21"/>
        <v>0</v>
      </c>
      <c r="K112" s="28">
        <f t="shared" si="21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01'!K106</f>
        <v>0</v>
      </c>
      <c r="H113" s="27">
        <f t="shared" si="15"/>
        <v>0</v>
      </c>
      <c r="I113" s="28">
        <f t="shared" si="21"/>
        <v>240.86</v>
      </c>
      <c r="J113" s="28">
        <f t="shared" si="21"/>
        <v>0</v>
      </c>
      <c r="K113" s="28">
        <f t="shared" si="21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01'!K107</f>
        <v>0</v>
      </c>
      <c r="H114" s="27">
        <f t="shared" si="15"/>
        <v>0</v>
      </c>
      <c r="I114" s="28">
        <f t="shared" si="21"/>
        <v>61.56</v>
      </c>
      <c r="J114" s="28">
        <f t="shared" si="21"/>
        <v>0</v>
      </c>
      <c r="K114" s="28">
        <f t="shared" si="21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01'!K108</f>
        <v>0</v>
      </c>
      <c r="H115" s="27">
        <f t="shared" si="15"/>
        <v>0</v>
      </c>
      <c r="I115" s="28">
        <f t="shared" si="21"/>
        <v>12512</v>
      </c>
      <c r="J115" s="28">
        <f t="shared" si="21"/>
        <v>0</v>
      </c>
      <c r="K115" s="28">
        <f t="shared" si="21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01'!K109</f>
        <v>0</v>
      </c>
      <c r="H116" s="27">
        <f t="shared" si="15"/>
        <v>0</v>
      </c>
      <c r="I116" s="28">
        <f t="shared" si="21"/>
        <v>2.96</v>
      </c>
      <c r="J116" s="28">
        <f t="shared" si="21"/>
        <v>0</v>
      </c>
      <c r="K116" s="28">
        <f t="shared" si="21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01'!K110</f>
        <v>0</v>
      </c>
      <c r="H117" s="27">
        <f t="shared" si="15"/>
        <v>0</v>
      </c>
      <c r="I117" s="28">
        <f t="shared" si="21"/>
        <v>738.72</v>
      </c>
      <c r="J117" s="28">
        <f t="shared" si="21"/>
        <v>0</v>
      </c>
      <c r="K117" s="28">
        <f t="shared" si="21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01'!K111</f>
        <v>0</v>
      </c>
      <c r="H118" s="27">
        <f t="shared" si="15"/>
        <v>0</v>
      </c>
      <c r="I118" s="28">
        <f t="shared" si="21"/>
        <v>71.25</v>
      </c>
      <c r="J118" s="28">
        <f t="shared" si="21"/>
        <v>0</v>
      </c>
      <c r="K118" s="28">
        <f t="shared" si="21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01'!K112</f>
        <v>0</v>
      </c>
      <c r="H119" s="27">
        <f t="shared" si="15"/>
        <v>0</v>
      </c>
      <c r="I119" s="28">
        <f t="shared" si="21"/>
        <v>25.92</v>
      </c>
      <c r="J119" s="28">
        <f t="shared" si="21"/>
        <v>0</v>
      </c>
      <c r="K119" s="28">
        <f t="shared" si="21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01'!K113</f>
        <v>0</v>
      </c>
      <c r="H120" s="27">
        <f t="shared" si="15"/>
        <v>0</v>
      </c>
      <c r="I120" s="28">
        <f t="shared" si="21"/>
        <v>15.52</v>
      </c>
      <c r="J120" s="28">
        <f t="shared" si="21"/>
        <v>0</v>
      </c>
      <c r="K120" s="28">
        <f t="shared" si="21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01'!K114</f>
        <v>0</v>
      </c>
      <c r="H121" s="27">
        <f t="shared" si="15"/>
        <v>0</v>
      </c>
      <c r="I121" s="28">
        <f t="shared" si="21"/>
        <v>11224</v>
      </c>
      <c r="J121" s="28">
        <f t="shared" si="21"/>
        <v>0</v>
      </c>
      <c r="K121" s="28">
        <f t="shared" si="21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01'!K115</f>
        <v>0</v>
      </c>
      <c r="H122" s="27">
        <f t="shared" si="15"/>
        <v>0</v>
      </c>
      <c r="I122" s="28">
        <f t="shared" si="21"/>
        <v>144.60000000000002</v>
      </c>
      <c r="J122" s="28">
        <f t="shared" si="21"/>
        <v>0</v>
      </c>
      <c r="K122" s="28">
        <f t="shared" si="21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01'!K116</f>
        <v>0</v>
      </c>
      <c r="H123" s="27">
        <f t="shared" si="15"/>
        <v>0</v>
      </c>
      <c r="I123" s="28">
        <f t="shared" si="21"/>
        <v>162.9</v>
      </c>
      <c r="J123" s="28">
        <f t="shared" si="21"/>
        <v>0</v>
      </c>
      <c r="K123" s="28">
        <f t="shared" si="21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01'!K117</f>
        <v>0</v>
      </c>
      <c r="H124" s="27">
        <f t="shared" si="15"/>
        <v>0</v>
      </c>
      <c r="I124" s="28">
        <f t="shared" si="21"/>
        <v>56.16</v>
      </c>
      <c r="J124" s="28">
        <f t="shared" si="21"/>
        <v>0</v>
      </c>
      <c r="K124" s="28">
        <f t="shared" si="21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01'!K118</f>
        <v>0</v>
      </c>
      <c r="H125" s="27">
        <f t="shared" si="15"/>
        <v>0</v>
      </c>
      <c r="I125" s="28">
        <f t="shared" ref="I125:K129" si="22">$E125*F125</f>
        <v>34.630000000000003</v>
      </c>
      <c r="J125" s="28">
        <f t="shared" si="22"/>
        <v>0</v>
      </c>
      <c r="K125" s="28">
        <f t="shared" si="22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01'!K119</f>
        <v>0</v>
      </c>
      <c r="H126" s="27">
        <f t="shared" si="15"/>
        <v>0</v>
      </c>
      <c r="I126" s="28">
        <f t="shared" si="22"/>
        <v>22.72</v>
      </c>
      <c r="J126" s="28">
        <f t="shared" si="22"/>
        <v>0</v>
      </c>
      <c r="K126" s="28">
        <f t="shared" si="22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01'!K120</f>
        <v>0</v>
      </c>
      <c r="H127" s="27">
        <f t="shared" si="15"/>
        <v>0</v>
      </c>
      <c r="I127" s="28">
        <f t="shared" si="22"/>
        <v>5.94</v>
      </c>
      <c r="J127" s="28">
        <f t="shared" si="22"/>
        <v>0</v>
      </c>
      <c r="K127" s="28">
        <f t="shared" si="22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01'!K121</f>
        <v>0</v>
      </c>
      <c r="H128" s="27">
        <f t="shared" si="15"/>
        <v>0</v>
      </c>
      <c r="I128" s="28">
        <f t="shared" si="22"/>
        <v>181.98</v>
      </c>
      <c r="J128" s="28">
        <f t="shared" si="22"/>
        <v>0</v>
      </c>
      <c r="K128" s="28">
        <f t="shared" si="22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01'!K122</f>
        <v>0</v>
      </c>
      <c r="H129" s="27">
        <f t="shared" si="15"/>
        <v>0</v>
      </c>
      <c r="I129" s="28">
        <f t="shared" si="22"/>
        <v>5336</v>
      </c>
      <c r="J129" s="28">
        <f t="shared" si="22"/>
        <v>0</v>
      </c>
      <c r="K129" s="28">
        <f t="shared" si="22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01'!K124</f>
        <v>0</v>
      </c>
      <c r="H131" s="27">
        <f t="shared" si="15"/>
        <v>0</v>
      </c>
      <c r="I131" s="28">
        <f t="shared" ref="I131:K134" si="23">$E131*F131</f>
        <v>408.32</v>
      </c>
      <c r="J131" s="28">
        <f t="shared" si="23"/>
        <v>0</v>
      </c>
      <c r="K131" s="28">
        <f t="shared" si="23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01'!K125</f>
        <v>0</v>
      </c>
      <c r="H132" s="27">
        <f t="shared" si="15"/>
        <v>0</v>
      </c>
      <c r="I132" s="28">
        <f t="shared" si="23"/>
        <v>235.01</v>
      </c>
      <c r="J132" s="28">
        <f t="shared" si="23"/>
        <v>0</v>
      </c>
      <c r="K132" s="28">
        <f t="shared" si="23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01'!K126</f>
        <v>0</v>
      </c>
      <c r="H133" s="27">
        <f t="shared" si="15"/>
        <v>0</v>
      </c>
      <c r="I133" s="28">
        <f t="shared" si="23"/>
        <v>165.94</v>
      </c>
      <c r="J133" s="28">
        <f t="shared" si="23"/>
        <v>0</v>
      </c>
      <c r="K133" s="28">
        <f t="shared" si="23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01'!K127</f>
        <v>0</v>
      </c>
      <c r="H134" s="27">
        <f t="shared" si="15"/>
        <v>0</v>
      </c>
      <c r="I134" s="28">
        <f t="shared" si="23"/>
        <v>61.63</v>
      </c>
      <c r="J134" s="28">
        <f t="shared" si="23"/>
        <v>0</v>
      </c>
      <c r="K134" s="28">
        <f t="shared" si="23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01'!K129</f>
        <v>0</v>
      </c>
      <c r="H136" s="27">
        <f t="shared" si="15"/>
        <v>0</v>
      </c>
      <c r="I136" s="28">
        <f t="shared" ref="I136:K142" si="24">$E136*F136</f>
        <v>816.64</v>
      </c>
      <c r="J136" s="28">
        <f t="shared" si="24"/>
        <v>0</v>
      </c>
      <c r="K136" s="28">
        <f t="shared" si="24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01'!K130</f>
        <v>0</v>
      </c>
      <c r="H137" s="27">
        <f t="shared" si="15"/>
        <v>0</v>
      </c>
      <c r="I137" s="28">
        <f t="shared" si="24"/>
        <v>352.6</v>
      </c>
      <c r="J137" s="28">
        <f t="shared" si="24"/>
        <v>0</v>
      </c>
      <c r="K137" s="28">
        <f t="shared" si="24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01'!K131</f>
        <v>0</v>
      </c>
      <c r="H138" s="27">
        <f t="shared" si="15"/>
        <v>0</v>
      </c>
      <c r="I138" s="28">
        <f t="shared" si="24"/>
        <v>184.89000000000001</v>
      </c>
      <c r="J138" s="28">
        <f t="shared" si="24"/>
        <v>0</v>
      </c>
      <c r="K138" s="28">
        <f t="shared" si="24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01'!K132</f>
        <v>0</v>
      </c>
      <c r="H139" s="27">
        <f t="shared" si="15"/>
        <v>0</v>
      </c>
      <c r="I139" s="28">
        <f t="shared" si="24"/>
        <v>165.94</v>
      </c>
      <c r="J139" s="28">
        <f t="shared" si="24"/>
        <v>0</v>
      </c>
      <c r="K139" s="28">
        <f t="shared" si="24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01'!K133</f>
        <v>0</v>
      </c>
      <c r="H140" s="27">
        <f t="shared" si="15"/>
        <v>0</v>
      </c>
      <c r="I140" s="28">
        <f t="shared" si="24"/>
        <v>95.9</v>
      </c>
      <c r="J140" s="28">
        <f t="shared" si="24"/>
        <v>0</v>
      </c>
      <c r="K140" s="28">
        <f t="shared" si="24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01'!K134</f>
        <v>0</v>
      </c>
      <c r="H141" s="27">
        <f t="shared" si="15"/>
        <v>0</v>
      </c>
      <c r="I141" s="28">
        <f t="shared" si="24"/>
        <v>147</v>
      </c>
      <c r="J141" s="28">
        <f t="shared" si="24"/>
        <v>0</v>
      </c>
      <c r="K141" s="28">
        <f t="shared" si="24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01'!K135</f>
        <v>0</v>
      </c>
      <c r="H142" s="27">
        <f t="shared" ref="H142:H205" si="25">G142</f>
        <v>0</v>
      </c>
      <c r="I142" s="28">
        <f t="shared" si="24"/>
        <v>215.45000000000002</v>
      </c>
      <c r="J142" s="28">
        <f t="shared" si="24"/>
        <v>0</v>
      </c>
      <c r="K142" s="28">
        <f t="shared" si="24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01'!K137</f>
        <v>0</v>
      </c>
      <c r="H144" s="27">
        <f t="shared" si="25"/>
        <v>0</v>
      </c>
      <c r="I144" s="28">
        <f t="shared" ref="I144:K154" si="26">$E144*F144</f>
        <v>1122.6600000000001</v>
      </c>
      <c r="J144" s="28">
        <f t="shared" si="26"/>
        <v>0</v>
      </c>
      <c r="K144" s="28">
        <f t="shared" si="26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01'!K138</f>
        <v>0</v>
      </c>
      <c r="H145" s="27">
        <f t="shared" si="25"/>
        <v>0</v>
      </c>
      <c r="I145" s="28">
        <f t="shared" si="26"/>
        <v>1325.3899999999999</v>
      </c>
      <c r="J145" s="28">
        <f t="shared" si="26"/>
        <v>0</v>
      </c>
      <c r="K145" s="28">
        <f t="shared" si="26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01'!K139</f>
        <v>0</v>
      </c>
      <c r="H146" s="27">
        <f t="shared" si="25"/>
        <v>0</v>
      </c>
      <c r="I146" s="28">
        <f t="shared" si="26"/>
        <v>140.57999999999998</v>
      </c>
      <c r="J146" s="28">
        <f t="shared" si="26"/>
        <v>0</v>
      </c>
      <c r="K146" s="28">
        <f t="shared" si="26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01'!K140</f>
        <v>0</v>
      </c>
      <c r="H147" s="27">
        <f t="shared" si="25"/>
        <v>0</v>
      </c>
      <c r="I147" s="28">
        <f t="shared" si="26"/>
        <v>835.66</v>
      </c>
      <c r="J147" s="28">
        <f t="shared" si="26"/>
        <v>0</v>
      </c>
      <c r="K147" s="28">
        <f t="shared" si="26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01'!K141</f>
        <v>0</v>
      </c>
      <c r="H148" s="27">
        <f t="shared" si="25"/>
        <v>0</v>
      </c>
      <c r="I148" s="28">
        <f t="shared" si="26"/>
        <v>863.64</v>
      </c>
      <c r="J148" s="28">
        <f t="shared" si="26"/>
        <v>0</v>
      </c>
      <c r="K148" s="28">
        <f t="shared" si="26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01'!K142</f>
        <v>0</v>
      </c>
      <c r="H149" s="27">
        <f t="shared" si="25"/>
        <v>0</v>
      </c>
      <c r="I149" s="28">
        <f t="shared" si="26"/>
        <v>497.35</v>
      </c>
      <c r="J149" s="28">
        <f t="shared" si="26"/>
        <v>0</v>
      </c>
      <c r="K149" s="28">
        <f t="shared" si="26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01'!K143</f>
        <v>0</v>
      </c>
      <c r="H150" s="27">
        <f t="shared" si="25"/>
        <v>0</v>
      </c>
      <c r="I150" s="28">
        <f t="shared" si="26"/>
        <v>284.01</v>
      </c>
      <c r="J150" s="28">
        <f t="shared" si="26"/>
        <v>0</v>
      </c>
      <c r="K150" s="28">
        <f t="shared" si="26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01'!K144</f>
        <v>0</v>
      </c>
      <c r="H151" s="27">
        <f t="shared" si="25"/>
        <v>0</v>
      </c>
      <c r="I151" s="28">
        <f t="shared" si="26"/>
        <v>9.86</v>
      </c>
      <c r="J151" s="28">
        <f t="shared" si="26"/>
        <v>0</v>
      </c>
      <c r="K151" s="28">
        <f t="shared" si="26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01'!K145</f>
        <v>0</v>
      </c>
      <c r="H152" s="27">
        <f t="shared" si="25"/>
        <v>0</v>
      </c>
      <c r="I152" s="28">
        <f t="shared" si="26"/>
        <v>318.08</v>
      </c>
      <c r="J152" s="28">
        <f t="shared" si="26"/>
        <v>0</v>
      </c>
      <c r="K152" s="28">
        <f t="shared" si="26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01'!K146</f>
        <v>0</v>
      </c>
      <c r="H153" s="27">
        <f t="shared" si="25"/>
        <v>0</v>
      </c>
      <c r="I153" s="28">
        <f t="shared" si="26"/>
        <v>161.66999999999999</v>
      </c>
      <c r="J153" s="28">
        <f t="shared" si="26"/>
        <v>0</v>
      </c>
      <c r="K153" s="28">
        <f t="shared" si="26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01'!K147</f>
        <v>0</v>
      </c>
      <c r="H154" s="27">
        <f t="shared" si="25"/>
        <v>0</v>
      </c>
      <c r="I154" s="28">
        <f t="shared" si="26"/>
        <v>542.01</v>
      </c>
      <c r="J154" s="28">
        <f t="shared" si="26"/>
        <v>0</v>
      </c>
      <c r="K154" s="28">
        <f t="shared" si="26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01'!K150</f>
        <v>0</v>
      </c>
      <c r="H157" s="27">
        <f t="shared" si="25"/>
        <v>0</v>
      </c>
      <c r="I157" s="28">
        <f t="shared" ref="I157:K172" si="27">$E157*F157</f>
        <v>351.46</v>
      </c>
      <c r="J157" s="28">
        <f t="shared" si="27"/>
        <v>0</v>
      </c>
      <c r="K157" s="28">
        <f t="shared" si="2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01'!K151</f>
        <v>0</v>
      </c>
      <c r="H158" s="27">
        <f t="shared" si="25"/>
        <v>0</v>
      </c>
      <c r="I158" s="28">
        <f t="shared" si="27"/>
        <v>9.44</v>
      </c>
      <c r="J158" s="28">
        <f t="shared" si="27"/>
        <v>0</v>
      </c>
      <c r="K158" s="28">
        <f t="shared" si="2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01'!K152</f>
        <v>0</v>
      </c>
      <c r="H159" s="27">
        <f t="shared" si="25"/>
        <v>0</v>
      </c>
      <c r="I159" s="28">
        <f t="shared" si="27"/>
        <v>1171.04</v>
      </c>
      <c r="J159" s="28">
        <f t="shared" si="27"/>
        <v>0</v>
      </c>
      <c r="K159" s="28">
        <f t="shared" si="2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01'!K153</f>
        <v>0</v>
      </c>
      <c r="H160" s="27">
        <f t="shared" si="25"/>
        <v>0</v>
      </c>
      <c r="I160" s="28">
        <f t="shared" si="27"/>
        <v>305.85000000000002</v>
      </c>
      <c r="J160" s="28">
        <f t="shared" si="27"/>
        <v>0</v>
      </c>
      <c r="K160" s="28">
        <f t="shared" si="2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01'!K154</f>
        <v>0</v>
      </c>
      <c r="H161" s="27">
        <f t="shared" si="25"/>
        <v>0</v>
      </c>
      <c r="I161" s="28">
        <f t="shared" si="27"/>
        <v>1438.44</v>
      </c>
      <c r="J161" s="28">
        <f t="shared" si="27"/>
        <v>0</v>
      </c>
      <c r="K161" s="28">
        <f t="shared" si="2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01'!K155</f>
        <v>0</v>
      </c>
      <c r="H162" s="27">
        <f t="shared" si="25"/>
        <v>0</v>
      </c>
      <c r="I162" s="28">
        <f t="shared" si="27"/>
        <v>2430.9</v>
      </c>
      <c r="J162" s="28">
        <f t="shared" si="27"/>
        <v>0</v>
      </c>
      <c r="K162" s="28">
        <f t="shared" si="2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01'!K156</f>
        <v>0</v>
      </c>
      <c r="H163" s="27">
        <f t="shared" si="25"/>
        <v>0</v>
      </c>
      <c r="I163" s="28">
        <f t="shared" si="27"/>
        <v>1594.6000000000001</v>
      </c>
      <c r="J163" s="28">
        <f t="shared" si="27"/>
        <v>0</v>
      </c>
      <c r="K163" s="28">
        <f t="shared" si="2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01'!K157</f>
        <v>0</v>
      </c>
      <c r="H164" s="27">
        <f t="shared" si="25"/>
        <v>0</v>
      </c>
      <c r="I164" s="28">
        <f t="shared" si="27"/>
        <v>594.57999999999993</v>
      </c>
      <c r="J164" s="28">
        <f t="shared" si="27"/>
        <v>0</v>
      </c>
      <c r="K164" s="28">
        <f t="shared" si="2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01'!K158</f>
        <v>0</v>
      </c>
      <c r="H165" s="27">
        <f t="shared" si="25"/>
        <v>0</v>
      </c>
      <c r="I165" s="28">
        <f t="shared" si="27"/>
        <v>1009.45</v>
      </c>
      <c r="J165" s="28">
        <f t="shared" si="27"/>
        <v>0</v>
      </c>
      <c r="K165" s="28">
        <f t="shared" si="2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01'!K159</f>
        <v>0</v>
      </c>
      <c r="H166" s="27">
        <f t="shared" si="25"/>
        <v>0</v>
      </c>
      <c r="I166" s="28">
        <f t="shared" si="27"/>
        <v>598.77</v>
      </c>
      <c r="J166" s="28">
        <f t="shared" si="27"/>
        <v>0</v>
      </c>
      <c r="K166" s="28">
        <f t="shared" si="2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01'!K160</f>
        <v>0</v>
      </c>
      <c r="H167" s="27">
        <f t="shared" si="25"/>
        <v>0</v>
      </c>
      <c r="I167" s="28">
        <f t="shared" si="27"/>
        <v>5320.26</v>
      </c>
      <c r="J167" s="28">
        <f t="shared" si="27"/>
        <v>0</v>
      </c>
      <c r="K167" s="28">
        <f t="shared" si="2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01'!K161</f>
        <v>0</v>
      </c>
      <c r="H168" s="27">
        <f t="shared" si="25"/>
        <v>0</v>
      </c>
      <c r="I168" s="28">
        <f t="shared" si="27"/>
        <v>1008.4230000000001</v>
      </c>
      <c r="J168" s="28">
        <f t="shared" si="27"/>
        <v>0</v>
      </c>
      <c r="K168" s="28">
        <f t="shared" si="2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01'!K162</f>
        <v>0</v>
      </c>
      <c r="H169" s="27">
        <f t="shared" si="25"/>
        <v>0</v>
      </c>
      <c r="I169" s="28">
        <f t="shared" si="27"/>
        <v>2264.808</v>
      </c>
      <c r="J169" s="28">
        <f t="shared" si="27"/>
        <v>0</v>
      </c>
      <c r="K169" s="28">
        <f t="shared" si="2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01'!K163</f>
        <v>0</v>
      </c>
      <c r="H170" s="27">
        <f t="shared" si="25"/>
        <v>0</v>
      </c>
      <c r="I170" s="28">
        <f t="shared" si="27"/>
        <v>715.99</v>
      </c>
      <c r="J170" s="28">
        <f t="shared" si="27"/>
        <v>0</v>
      </c>
      <c r="K170" s="28">
        <f t="shared" si="2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01'!K164</f>
        <v>0</v>
      </c>
      <c r="H171" s="27">
        <f t="shared" si="25"/>
        <v>0</v>
      </c>
      <c r="I171" s="28">
        <f t="shared" si="27"/>
        <v>2123.52</v>
      </c>
      <c r="J171" s="28">
        <f t="shared" si="27"/>
        <v>0</v>
      </c>
      <c r="K171" s="28">
        <f t="shared" si="2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01'!K165</f>
        <v>0</v>
      </c>
      <c r="H172" s="27">
        <f t="shared" si="25"/>
        <v>0</v>
      </c>
      <c r="I172" s="28">
        <f t="shared" si="27"/>
        <v>550.42000000000007</v>
      </c>
      <c r="J172" s="28">
        <f t="shared" si="27"/>
        <v>0</v>
      </c>
      <c r="K172" s="28">
        <f t="shared" si="2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01'!K166</f>
        <v>0</v>
      </c>
      <c r="H173" s="27">
        <f t="shared" si="25"/>
        <v>0</v>
      </c>
      <c r="I173" s="28">
        <f t="shared" ref="I173:K176" si="28">$E173*F173</f>
        <v>181.76</v>
      </c>
      <c r="J173" s="28">
        <f t="shared" si="28"/>
        <v>0</v>
      </c>
      <c r="K173" s="28">
        <f t="shared" si="2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01'!K167</f>
        <v>0</v>
      </c>
      <c r="H174" s="27">
        <f t="shared" si="25"/>
        <v>0</v>
      </c>
      <c r="I174" s="28">
        <f t="shared" si="28"/>
        <v>770.40000000000009</v>
      </c>
      <c r="J174" s="28">
        <f t="shared" si="28"/>
        <v>0</v>
      </c>
      <c r="K174" s="28">
        <f t="shared" si="2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01'!K168</f>
        <v>0</v>
      </c>
      <c r="H175" s="27">
        <f t="shared" si="25"/>
        <v>0</v>
      </c>
      <c r="I175" s="28">
        <f t="shared" si="28"/>
        <v>152.56</v>
      </c>
      <c r="J175" s="28">
        <f t="shared" si="28"/>
        <v>0</v>
      </c>
      <c r="K175" s="28">
        <f t="shared" si="2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01'!K169</f>
        <v>0</v>
      </c>
      <c r="H176" s="27">
        <f t="shared" si="25"/>
        <v>0</v>
      </c>
      <c r="I176" s="28">
        <f t="shared" si="28"/>
        <v>867.48</v>
      </c>
      <c r="J176" s="28">
        <f t="shared" si="28"/>
        <v>0</v>
      </c>
      <c r="K176" s="28">
        <f t="shared" si="2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01'!K171</f>
        <v>0</v>
      </c>
      <c r="H178" s="27">
        <f t="shared" si="25"/>
        <v>0</v>
      </c>
      <c r="I178" s="28">
        <f t="shared" ref="I178:K191" si="29">$E178*F178</f>
        <v>1380.75</v>
      </c>
      <c r="J178" s="28">
        <f t="shared" si="29"/>
        <v>0</v>
      </c>
      <c r="K178" s="28">
        <f t="shared" si="29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01'!K172</f>
        <v>0</v>
      </c>
      <c r="H179" s="27">
        <f t="shared" si="25"/>
        <v>0</v>
      </c>
      <c r="I179" s="28">
        <f t="shared" si="29"/>
        <v>74.37</v>
      </c>
      <c r="J179" s="28">
        <f t="shared" si="29"/>
        <v>0</v>
      </c>
      <c r="K179" s="28">
        <f t="shared" si="29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01'!K173</f>
        <v>0</v>
      </c>
      <c r="H180" s="27">
        <f t="shared" si="25"/>
        <v>0</v>
      </c>
      <c r="I180" s="28">
        <f t="shared" si="29"/>
        <v>45.19</v>
      </c>
      <c r="J180" s="28">
        <f t="shared" si="29"/>
        <v>0</v>
      </c>
      <c r="K180" s="28">
        <f t="shared" si="29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01'!K174</f>
        <v>0</v>
      </c>
      <c r="H181" s="27">
        <f t="shared" si="25"/>
        <v>0</v>
      </c>
      <c r="I181" s="28">
        <f t="shared" si="29"/>
        <v>11.73</v>
      </c>
      <c r="J181" s="28">
        <f t="shared" si="29"/>
        <v>0</v>
      </c>
      <c r="K181" s="28">
        <f t="shared" si="29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01'!K175</f>
        <v>0</v>
      </c>
      <c r="H182" s="27">
        <f t="shared" si="25"/>
        <v>0</v>
      </c>
      <c r="I182" s="28">
        <f t="shared" si="29"/>
        <v>1438.95</v>
      </c>
      <c r="J182" s="28">
        <f t="shared" si="29"/>
        <v>0</v>
      </c>
      <c r="K182" s="28">
        <f t="shared" si="29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01'!K176</f>
        <v>0</v>
      </c>
      <c r="H183" s="27">
        <f t="shared" si="25"/>
        <v>0</v>
      </c>
      <c r="I183" s="28">
        <f t="shared" si="29"/>
        <v>95.64</v>
      </c>
      <c r="J183" s="28">
        <f t="shared" si="29"/>
        <v>0</v>
      </c>
      <c r="K183" s="28">
        <f t="shared" si="29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01'!K177</f>
        <v>0</v>
      </c>
      <c r="H184" s="27">
        <f t="shared" si="25"/>
        <v>0</v>
      </c>
      <c r="I184" s="28">
        <f t="shared" si="29"/>
        <v>230.64</v>
      </c>
      <c r="J184" s="28">
        <f t="shared" si="29"/>
        <v>0</v>
      </c>
      <c r="K184" s="28">
        <f t="shared" si="29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01'!K178</f>
        <v>0</v>
      </c>
      <c r="H185" s="27">
        <f t="shared" si="25"/>
        <v>0</v>
      </c>
      <c r="I185" s="28">
        <f t="shared" si="29"/>
        <v>307.66000000000003</v>
      </c>
      <c r="J185" s="28">
        <f t="shared" si="29"/>
        <v>0</v>
      </c>
      <c r="K185" s="28">
        <f t="shared" si="29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01'!K179</f>
        <v>0</v>
      </c>
      <c r="H186" s="27">
        <f t="shared" si="25"/>
        <v>0</v>
      </c>
      <c r="I186" s="28">
        <f t="shared" si="29"/>
        <v>195.98</v>
      </c>
      <c r="J186" s="28">
        <f t="shared" si="29"/>
        <v>0</v>
      </c>
      <c r="K186" s="28">
        <f t="shared" si="29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01'!K180</f>
        <v>0</v>
      </c>
      <c r="H187" s="27">
        <f t="shared" si="25"/>
        <v>0</v>
      </c>
      <c r="I187" s="28">
        <f t="shared" si="29"/>
        <v>65.16</v>
      </c>
      <c r="J187" s="28">
        <f t="shared" si="29"/>
        <v>0</v>
      </c>
      <c r="K187" s="28">
        <f t="shared" si="29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01'!K181</f>
        <v>0</v>
      </c>
      <c r="H188" s="27">
        <f t="shared" si="25"/>
        <v>0</v>
      </c>
      <c r="I188" s="28">
        <f t="shared" si="29"/>
        <v>301.19</v>
      </c>
      <c r="J188" s="28">
        <f t="shared" si="29"/>
        <v>0</v>
      </c>
      <c r="K188" s="28">
        <f t="shared" si="29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01'!K182</f>
        <v>0</v>
      </c>
      <c r="H189" s="27">
        <f t="shared" si="25"/>
        <v>0</v>
      </c>
      <c r="I189" s="28">
        <f t="shared" si="29"/>
        <v>80.14</v>
      </c>
      <c r="J189" s="28">
        <f t="shared" si="29"/>
        <v>0</v>
      </c>
      <c r="K189" s="28">
        <f t="shared" si="29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01'!K183</f>
        <v>0</v>
      </c>
      <c r="H190" s="27">
        <f t="shared" si="25"/>
        <v>0</v>
      </c>
      <c r="I190" s="28">
        <f t="shared" si="29"/>
        <v>41.3</v>
      </c>
      <c r="J190" s="28">
        <f t="shared" si="29"/>
        <v>0</v>
      </c>
      <c r="K190" s="28">
        <f t="shared" si="29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01'!K184</f>
        <v>0</v>
      </c>
      <c r="H191" s="27">
        <f t="shared" si="25"/>
        <v>0</v>
      </c>
      <c r="I191" s="28">
        <f t="shared" si="29"/>
        <v>56.5</v>
      </c>
      <c r="J191" s="28">
        <f t="shared" si="29"/>
        <v>0</v>
      </c>
      <c r="K191" s="28">
        <f t="shared" si="29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01'!K186</f>
        <v>0</v>
      </c>
      <c r="H193" s="27">
        <f t="shared" si="25"/>
        <v>0</v>
      </c>
      <c r="I193" s="28">
        <f t="shared" ref="I193:K200" si="30">$E193*F193</f>
        <v>135.52000000000001</v>
      </c>
      <c r="J193" s="28">
        <f t="shared" si="30"/>
        <v>0</v>
      </c>
      <c r="K193" s="28">
        <f t="shared" si="30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01'!K187</f>
        <v>0</v>
      </c>
      <c r="H194" s="27">
        <f t="shared" si="25"/>
        <v>0</v>
      </c>
      <c r="I194" s="28">
        <f t="shared" si="30"/>
        <v>1265.05</v>
      </c>
      <c r="J194" s="28">
        <f t="shared" si="30"/>
        <v>0</v>
      </c>
      <c r="K194" s="28">
        <f t="shared" si="30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01'!K188</f>
        <v>0</v>
      </c>
      <c r="H195" s="27">
        <f t="shared" si="25"/>
        <v>0</v>
      </c>
      <c r="I195" s="28">
        <f t="shared" si="30"/>
        <v>1294.72</v>
      </c>
      <c r="J195" s="28">
        <f t="shared" si="30"/>
        <v>0</v>
      </c>
      <c r="K195" s="28">
        <f t="shared" si="30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01'!K189</f>
        <v>0</v>
      </c>
      <c r="H196" s="27">
        <f t="shared" si="25"/>
        <v>0</v>
      </c>
      <c r="I196" s="28">
        <f t="shared" si="30"/>
        <v>6864.26</v>
      </c>
      <c r="J196" s="28">
        <f t="shared" si="30"/>
        <v>0</v>
      </c>
      <c r="K196" s="28">
        <f t="shared" si="30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01'!K190</f>
        <v>0</v>
      </c>
      <c r="H197" s="27">
        <f t="shared" si="25"/>
        <v>0</v>
      </c>
      <c r="I197" s="28">
        <f t="shared" si="30"/>
        <v>45.19</v>
      </c>
      <c r="J197" s="28">
        <f t="shared" si="30"/>
        <v>0</v>
      </c>
      <c r="K197" s="28">
        <f t="shared" si="30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01'!K191</f>
        <v>0</v>
      </c>
      <c r="H198" s="27">
        <f t="shared" si="25"/>
        <v>0</v>
      </c>
      <c r="I198" s="28">
        <f t="shared" si="30"/>
        <v>11.73</v>
      </c>
      <c r="J198" s="28">
        <f t="shared" si="30"/>
        <v>0</v>
      </c>
      <c r="K198" s="28">
        <f t="shared" si="30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01'!K192</f>
        <v>0</v>
      </c>
      <c r="H199" s="27">
        <f t="shared" si="25"/>
        <v>0</v>
      </c>
      <c r="I199" s="28">
        <f t="shared" si="30"/>
        <v>82.6</v>
      </c>
      <c r="J199" s="28">
        <f t="shared" si="30"/>
        <v>0</v>
      </c>
      <c r="K199" s="28">
        <f t="shared" si="30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01'!K193</f>
        <v>0</v>
      </c>
      <c r="H200" s="27">
        <f t="shared" si="25"/>
        <v>0</v>
      </c>
      <c r="I200" s="28">
        <f t="shared" si="30"/>
        <v>344.07</v>
      </c>
      <c r="J200" s="28">
        <f t="shared" si="30"/>
        <v>0</v>
      </c>
      <c r="K200" s="28">
        <f t="shared" si="30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01'!K195</f>
        <v>0</v>
      </c>
      <c r="H202" s="27">
        <f t="shared" si="25"/>
        <v>0</v>
      </c>
      <c r="I202" s="28">
        <f t="shared" ref="I202:K205" si="31">$E202*F202</f>
        <v>4535.9399999999996</v>
      </c>
      <c r="J202" s="28">
        <f t="shared" si="31"/>
        <v>0</v>
      </c>
      <c r="K202" s="28">
        <f t="shared" si="31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01'!K196</f>
        <v>0</v>
      </c>
      <c r="H203" s="27">
        <f t="shared" si="25"/>
        <v>0</v>
      </c>
      <c r="I203" s="28">
        <f t="shared" si="31"/>
        <v>629.15</v>
      </c>
      <c r="J203" s="28">
        <f t="shared" si="31"/>
        <v>0</v>
      </c>
      <c r="K203" s="28">
        <f t="shared" si="31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01'!K197</f>
        <v>0</v>
      </c>
      <c r="H204" s="27">
        <f t="shared" si="25"/>
        <v>0</v>
      </c>
      <c r="I204" s="28">
        <f t="shared" si="31"/>
        <v>2589.1000000000004</v>
      </c>
      <c r="J204" s="28">
        <f t="shared" si="31"/>
        <v>0</v>
      </c>
      <c r="K204" s="28">
        <f t="shared" si="31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01'!K198</f>
        <v>0</v>
      </c>
      <c r="H205" s="27">
        <f t="shared" si="25"/>
        <v>0</v>
      </c>
      <c r="I205" s="28">
        <f t="shared" si="31"/>
        <v>388.8</v>
      </c>
      <c r="J205" s="28">
        <f t="shared" si="31"/>
        <v>0</v>
      </c>
      <c r="K205" s="28">
        <f t="shared" si="31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01'!K200</f>
        <v>0</v>
      </c>
      <c r="H207" s="27">
        <f t="shared" ref="H207:H228" si="32">G207</f>
        <v>0</v>
      </c>
      <c r="I207" s="28">
        <f t="shared" ref="I207:K211" si="33">$E207*F207</f>
        <v>2723.04</v>
      </c>
      <c r="J207" s="28">
        <f t="shared" si="33"/>
        <v>0</v>
      </c>
      <c r="K207" s="28">
        <f t="shared" si="33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01'!K201</f>
        <v>0</v>
      </c>
      <c r="H208" s="27">
        <f t="shared" si="32"/>
        <v>0</v>
      </c>
      <c r="I208" s="28">
        <f t="shared" si="33"/>
        <v>1292.912</v>
      </c>
      <c r="J208" s="28">
        <f t="shared" si="33"/>
        <v>0</v>
      </c>
      <c r="K208" s="28">
        <f t="shared" si="33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01'!K202</f>
        <v>0</v>
      </c>
      <c r="H209" s="27">
        <f t="shared" si="32"/>
        <v>0</v>
      </c>
      <c r="I209" s="28">
        <f t="shared" si="33"/>
        <v>1579.8999999999999</v>
      </c>
      <c r="J209" s="28">
        <f t="shared" si="33"/>
        <v>0</v>
      </c>
      <c r="K209" s="28">
        <f t="shared" si="33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01'!K203</f>
        <v>0</v>
      </c>
      <c r="H210" s="27">
        <f t="shared" si="32"/>
        <v>0</v>
      </c>
      <c r="I210" s="28">
        <f t="shared" si="33"/>
        <v>7371.21</v>
      </c>
      <c r="J210" s="28">
        <f t="shared" si="33"/>
        <v>0</v>
      </c>
      <c r="K210" s="28">
        <f t="shared" si="33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01'!K204</f>
        <v>0</v>
      </c>
      <c r="H211" s="27">
        <f t="shared" si="32"/>
        <v>0</v>
      </c>
      <c r="I211" s="28">
        <f t="shared" si="33"/>
        <v>5894.83</v>
      </c>
      <c r="J211" s="28">
        <f t="shared" si="33"/>
        <v>0</v>
      </c>
      <c r="K211" s="28">
        <f t="shared" si="33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01'!K206</f>
        <v>0</v>
      </c>
      <c r="H213" s="27">
        <f t="shared" si="32"/>
        <v>0</v>
      </c>
      <c r="I213" s="28">
        <f>$E213*F213</f>
        <v>957.6</v>
      </c>
      <c r="J213" s="28">
        <f t="shared" ref="J213:K215" si="34">$E213*G213</f>
        <v>0</v>
      </c>
      <c r="K213" s="28">
        <f t="shared" si="34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01'!K207</f>
        <v>0</v>
      </c>
      <c r="H214" s="27">
        <f t="shared" si="32"/>
        <v>0</v>
      </c>
      <c r="I214" s="28">
        <f t="shared" ref="I214:I215" si="35">$E214*F214</f>
        <v>54.36</v>
      </c>
      <c r="J214" s="28">
        <f t="shared" si="34"/>
        <v>0</v>
      </c>
      <c r="K214" s="28">
        <f t="shared" si="34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01'!K208</f>
        <v>0</v>
      </c>
      <c r="H215" s="27">
        <f t="shared" si="32"/>
        <v>0</v>
      </c>
      <c r="I215" s="28">
        <f t="shared" si="35"/>
        <v>489.79999999999995</v>
      </c>
      <c r="J215" s="28">
        <f t="shared" si="34"/>
        <v>0</v>
      </c>
      <c r="K215" s="28">
        <f t="shared" si="34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01'!K210</f>
        <v>0</v>
      </c>
      <c r="H217" s="27">
        <f t="shared" si="32"/>
        <v>0</v>
      </c>
      <c r="I217" s="28">
        <f>$E217*F217</f>
        <v>250.53</v>
      </c>
      <c r="J217" s="28">
        <f t="shared" ref="J217:K222" si="36">$E217*G217</f>
        <v>0</v>
      </c>
      <c r="K217" s="28">
        <f t="shared" si="36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01'!K211</f>
        <v>0</v>
      </c>
      <c r="H218" s="27">
        <f t="shared" si="32"/>
        <v>0</v>
      </c>
      <c r="I218" s="28">
        <f t="shared" ref="I218:I222" si="37">$E218*F218</f>
        <v>29.96</v>
      </c>
      <c r="J218" s="28">
        <f t="shared" si="36"/>
        <v>0</v>
      </c>
      <c r="K218" s="28">
        <f t="shared" si="36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01'!K212</f>
        <v>0</v>
      </c>
      <c r="H219" s="27">
        <f t="shared" si="32"/>
        <v>0</v>
      </c>
      <c r="I219" s="28">
        <f t="shared" si="37"/>
        <v>35.880000000000003</v>
      </c>
      <c r="J219" s="28">
        <f t="shared" si="36"/>
        <v>0</v>
      </c>
      <c r="K219" s="28">
        <f t="shared" si="36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01'!K213</f>
        <v>0</v>
      </c>
      <c r="H220" s="27">
        <f t="shared" si="32"/>
        <v>0</v>
      </c>
      <c r="I220" s="28">
        <f t="shared" si="37"/>
        <v>58.95</v>
      </c>
      <c r="J220" s="28">
        <f t="shared" si="36"/>
        <v>0</v>
      </c>
      <c r="K220" s="28">
        <f t="shared" si="36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01'!K214</f>
        <v>0</v>
      </c>
      <c r="H221" s="27">
        <f t="shared" si="32"/>
        <v>0</v>
      </c>
      <c r="I221" s="28">
        <f t="shared" si="37"/>
        <v>158.19999999999999</v>
      </c>
      <c r="J221" s="28">
        <f t="shared" si="36"/>
        <v>0</v>
      </c>
      <c r="K221" s="28">
        <f t="shared" si="36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01'!K215</f>
        <v>0</v>
      </c>
      <c r="H222" s="27">
        <f t="shared" si="32"/>
        <v>0</v>
      </c>
      <c r="I222" s="28">
        <f t="shared" si="37"/>
        <v>31.64</v>
      </c>
      <c r="J222" s="28">
        <f t="shared" si="36"/>
        <v>0</v>
      </c>
      <c r="K222" s="28">
        <f t="shared" si="36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01'!K217</f>
        <v>0</v>
      </c>
      <c r="H224" s="27">
        <f t="shared" si="32"/>
        <v>0</v>
      </c>
      <c r="I224" s="28">
        <f>$E224*F224</f>
        <v>324.92</v>
      </c>
      <c r="J224" s="28">
        <f t="shared" ref="J224:K228" si="38">$E224*G224</f>
        <v>0</v>
      </c>
      <c r="K224" s="28">
        <f t="shared" si="38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01'!K218</f>
        <v>0</v>
      </c>
      <c r="H225" s="27">
        <f t="shared" si="32"/>
        <v>0</v>
      </c>
      <c r="I225" s="28">
        <f t="shared" ref="I225:I228" si="39">$E225*F225</f>
        <v>167.37</v>
      </c>
      <c r="J225" s="28">
        <f t="shared" si="38"/>
        <v>0</v>
      </c>
      <c r="K225" s="28">
        <f t="shared" si="38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01'!K219</f>
        <v>0</v>
      </c>
      <c r="H226" s="27">
        <f t="shared" si="32"/>
        <v>0</v>
      </c>
      <c r="I226" s="28">
        <f t="shared" si="39"/>
        <v>624.68500000000006</v>
      </c>
      <c r="J226" s="28">
        <f t="shared" si="38"/>
        <v>0</v>
      </c>
      <c r="K226" s="28">
        <f t="shared" si="38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01'!K220</f>
        <v>0</v>
      </c>
      <c r="H227" s="27">
        <f t="shared" si="32"/>
        <v>0</v>
      </c>
      <c r="I227" s="28">
        <f t="shared" si="39"/>
        <v>200.67060000000001</v>
      </c>
      <c r="J227" s="28">
        <f t="shared" si="38"/>
        <v>0</v>
      </c>
      <c r="K227" s="28">
        <f t="shared" si="38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01'!K221</f>
        <v>0</v>
      </c>
      <c r="H228" s="27">
        <f t="shared" si="32"/>
        <v>0</v>
      </c>
      <c r="I228" s="28">
        <f t="shared" si="39"/>
        <v>40.371600000000001</v>
      </c>
      <c r="J228" s="28">
        <f t="shared" si="38"/>
        <v>0</v>
      </c>
      <c r="K228" s="28">
        <f t="shared" si="38"/>
        <v>0</v>
      </c>
      <c r="L228" s="4"/>
    </row>
    <row r="229" spans="2:12" s="5" customFormat="1" ht="15">
      <c r="B229" s="117" t="s">
        <v>439</v>
      </c>
      <c r="C229" s="118"/>
      <c r="D229" s="118"/>
      <c r="E229" s="118"/>
      <c r="F229" s="118"/>
      <c r="G229" s="118"/>
      <c r="H229" s="119"/>
      <c r="I229" s="66">
        <f>SUM(I223+I216+I212+I155+I105+I86+I56+I52+I48+I32+I25+I20+I11)</f>
        <v>565955.96719999996</v>
      </c>
      <c r="J229" s="66">
        <f>SUM(J223+J216+J212+J155+J105+J86+J56+J52+J48+J32+J20+J11)</f>
        <v>5297.89</v>
      </c>
      <c r="K229" s="66">
        <f>SUM(K223+K216+K212+K155+K105+K86+K56+K52+K48+K32+K25+K20+K11)</f>
        <v>5297.89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  <c r="J232" s="71">
        <f>K229/I229</f>
        <v>9.3609579314282744E-3</v>
      </c>
    </row>
  </sheetData>
  <mergeCells count="19">
    <mergeCell ref="B5:C5"/>
    <mergeCell ref="D5:H5"/>
    <mergeCell ref="I5:K5"/>
    <mergeCell ref="B2:K2"/>
    <mergeCell ref="B3:K3"/>
    <mergeCell ref="B4:C4"/>
    <mergeCell ref="D4:H4"/>
    <mergeCell ref="I4:K4"/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</mergeCells>
  <conditionalFormatting sqref="B11:K83 B84:C84">
    <cfRule type="expression" dxfId="39" priority="3">
      <formula>LEN($B11)=1</formula>
    </cfRule>
  </conditionalFormatting>
  <conditionalFormatting sqref="B85:K228">
    <cfRule type="expression" dxfId="38" priority="1">
      <formula>LEN($B85)=1</formula>
    </cfRule>
  </conditionalFormatting>
  <conditionalFormatting sqref="E84:K84">
    <cfRule type="expression" dxfId="37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63D63-3E08-4451-9972-C7BFFCD28383}">
  <dimension ref="A2:N234"/>
  <sheetViews>
    <sheetView view="pageBreakPreview" topLeftCell="A59" zoomScale="80" zoomScaleNormal="100" zoomScaleSheetLayoutView="90" workbookViewId="0">
      <selection activeCell="D64" sqref="D64:J64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9" width="9.140625" style="95"/>
    <col min="10" max="10" width="13.140625" style="95" customWidth="1"/>
    <col min="11" max="16384" width="9.140625" style="5"/>
  </cols>
  <sheetData>
    <row r="2" spans="1:10" ht="15">
      <c r="A2" s="136" t="s">
        <v>544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0" ht="15">
      <c r="A3" s="73" t="s">
        <v>15</v>
      </c>
      <c r="B3" s="74" t="s">
        <v>441</v>
      </c>
      <c r="C3" s="73" t="s">
        <v>17</v>
      </c>
      <c r="D3" s="138" t="s">
        <v>442</v>
      </c>
      <c r="E3" s="138"/>
      <c r="F3" s="138"/>
      <c r="G3" s="138"/>
      <c r="H3" s="138"/>
      <c r="I3" s="138"/>
      <c r="J3" s="138"/>
    </row>
    <row r="4" spans="1:10">
      <c r="A4" s="75">
        <v>1</v>
      </c>
      <c r="B4" s="76" t="s">
        <v>443</v>
      </c>
      <c r="C4" s="77"/>
      <c r="D4" s="133"/>
      <c r="E4" s="133"/>
      <c r="F4" s="133"/>
      <c r="G4" s="133"/>
      <c r="H4" s="133"/>
      <c r="I4" s="133"/>
      <c r="J4" s="133"/>
    </row>
    <row r="5" spans="1:10">
      <c r="A5" s="78" t="s">
        <v>25</v>
      </c>
      <c r="B5" s="79" t="s">
        <v>26</v>
      </c>
      <c r="C5" s="80" t="s">
        <v>27</v>
      </c>
      <c r="D5" s="133"/>
      <c r="E5" s="133"/>
      <c r="F5" s="133"/>
      <c r="G5" s="133"/>
      <c r="H5" s="133"/>
      <c r="I5" s="133"/>
      <c r="J5" s="133"/>
    </row>
    <row r="6" spans="1:10" ht="42.75">
      <c r="A6" s="78" t="s">
        <v>28</v>
      </c>
      <c r="B6" s="79" t="s">
        <v>29</v>
      </c>
      <c r="C6" s="80" t="s">
        <v>27</v>
      </c>
      <c r="D6" s="133"/>
      <c r="E6" s="133"/>
      <c r="F6" s="133"/>
      <c r="G6" s="133"/>
      <c r="H6" s="133"/>
      <c r="I6" s="133"/>
      <c r="J6" s="133"/>
    </row>
    <row r="7" spans="1:10" ht="28.5">
      <c r="A7" s="78" t="s">
        <v>30</v>
      </c>
      <c r="B7" s="81" t="s">
        <v>446</v>
      </c>
      <c r="C7" s="80" t="s">
        <v>27</v>
      </c>
      <c r="D7" s="133"/>
      <c r="E7" s="133"/>
      <c r="F7" s="133"/>
      <c r="G7" s="133"/>
      <c r="H7" s="133"/>
      <c r="I7" s="133"/>
      <c r="J7" s="133"/>
    </row>
    <row r="8" spans="1:10" ht="28.5">
      <c r="A8" s="78" t="s">
        <v>32</v>
      </c>
      <c r="B8" s="81" t="s">
        <v>447</v>
      </c>
      <c r="C8" s="80" t="s">
        <v>27</v>
      </c>
      <c r="D8" s="133"/>
      <c r="E8" s="133"/>
      <c r="F8" s="133"/>
      <c r="G8" s="133"/>
      <c r="H8" s="133"/>
      <c r="I8" s="133"/>
      <c r="J8" s="133"/>
    </row>
    <row r="9" spans="1:10" ht="28.5">
      <c r="A9" s="78" t="s">
        <v>34</v>
      </c>
      <c r="B9" s="79" t="s">
        <v>35</v>
      </c>
      <c r="C9" s="80" t="s">
        <v>36</v>
      </c>
      <c r="D9" s="133"/>
      <c r="E9" s="133"/>
      <c r="F9" s="133"/>
      <c r="G9" s="133"/>
      <c r="H9" s="133"/>
      <c r="I9" s="133"/>
      <c r="J9" s="133"/>
    </row>
    <row r="10" spans="1:10">
      <c r="A10" s="78" t="s">
        <v>37</v>
      </c>
      <c r="B10" s="79" t="s">
        <v>38</v>
      </c>
      <c r="C10" s="80" t="s">
        <v>36</v>
      </c>
      <c r="D10" s="133"/>
      <c r="E10" s="133"/>
      <c r="F10" s="133"/>
      <c r="G10" s="133"/>
      <c r="H10" s="133"/>
      <c r="I10" s="133"/>
      <c r="J10" s="133"/>
    </row>
    <row r="11" spans="1:10" ht="28.5">
      <c r="A11" s="78" t="s">
        <v>39</v>
      </c>
      <c r="B11" s="81" t="s">
        <v>40</v>
      </c>
      <c r="C11" s="80" t="s">
        <v>27</v>
      </c>
      <c r="D11" s="133"/>
      <c r="E11" s="133"/>
      <c r="F11" s="133"/>
      <c r="G11" s="133"/>
      <c r="H11" s="133"/>
      <c r="I11" s="133"/>
      <c r="J11" s="133"/>
    </row>
    <row r="12" spans="1:10" ht="42.75">
      <c r="A12" s="78" t="s">
        <v>41</v>
      </c>
      <c r="B12" s="81" t="s">
        <v>448</v>
      </c>
      <c r="C12" s="80" t="s">
        <v>27</v>
      </c>
      <c r="D12" s="133"/>
      <c r="E12" s="133"/>
      <c r="F12" s="133"/>
      <c r="G12" s="133"/>
      <c r="H12" s="133"/>
      <c r="I12" s="133"/>
      <c r="J12" s="133"/>
    </row>
    <row r="13" spans="1:10">
      <c r="A13" s="75">
        <v>2</v>
      </c>
      <c r="B13" s="76" t="str">
        <f>[4]Planilha!$B$21</f>
        <v>MOVIMENTO DE TERRA</v>
      </c>
      <c r="C13" s="77"/>
      <c r="D13" s="133"/>
      <c r="E13" s="133"/>
      <c r="F13" s="133"/>
      <c r="G13" s="133"/>
      <c r="H13" s="133"/>
      <c r="I13" s="133"/>
      <c r="J13" s="133"/>
    </row>
    <row r="14" spans="1:10" ht="42.75">
      <c r="A14" s="78" t="s">
        <v>43</v>
      </c>
      <c r="B14" s="81" t="s">
        <v>44</v>
      </c>
      <c r="C14" s="80" t="s">
        <v>45</v>
      </c>
      <c r="D14" s="135"/>
      <c r="E14" s="135"/>
      <c r="F14" s="135"/>
      <c r="G14" s="135"/>
      <c r="H14" s="135"/>
      <c r="I14" s="135"/>
      <c r="J14" s="135"/>
    </row>
    <row r="15" spans="1:10" ht="44.25" customHeight="1">
      <c r="A15" s="78" t="s">
        <v>46</v>
      </c>
      <c r="B15" s="81" t="s">
        <v>47</v>
      </c>
      <c r="C15" s="80" t="s">
        <v>45</v>
      </c>
      <c r="D15" s="135"/>
      <c r="E15" s="135"/>
      <c r="F15" s="135"/>
      <c r="G15" s="135"/>
      <c r="H15" s="135"/>
      <c r="I15" s="135"/>
      <c r="J15" s="135"/>
    </row>
    <row r="16" spans="1:10" ht="28.5">
      <c r="A16" s="78" t="s">
        <v>48</v>
      </c>
      <c r="B16" s="81" t="s">
        <v>49</v>
      </c>
      <c r="C16" s="80" t="s">
        <v>45</v>
      </c>
      <c r="D16" s="135"/>
      <c r="E16" s="135"/>
      <c r="F16" s="135"/>
      <c r="G16" s="135"/>
      <c r="H16" s="135"/>
      <c r="I16" s="135"/>
      <c r="J16" s="135"/>
    </row>
    <row r="17" spans="1:10" ht="28.5">
      <c r="A17" s="78" t="s">
        <v>50</v>
      </c>
      <c r="B17" s="81" t="s">
        <v>449</v>
      </c>
      <c r="C17" s="80" t="s">
        <v>45</v>
      </c>
      <c r="D17" s="133"/>
      <c r="E17" s="133"/>
      <c r="F17" s="133"/>
      <c r="G17" s="133"/>
      <c r="H17" s="133"/>
      <c r="I17" s="133"/>
      <c r="J17" s="133"/>
    </row>
    <row r="18" spans="1:10">
      <c r="A18" s="75">
        <v>3</v>
      </c>
      <c r="B18" s="76" t="str">
        <f>[4]Planilha!$B$26</f>
        <v>COBERTURA</v>
      </c>
      <c r="C18" s="77"/>
      <c r="D18" s="133"/>
      <c r="E18" s="133"/>
      <c r="F18" s="133"/>
      <c r="G18" s="133"/>
      <c r="H18" s="133"/>
      <c r="I18" s="133"/>
      <c r="J18" s="133"/>
    </row>
    <row r="19" spans="1:10" ht="28.5">
      <c r="A19" s="78" t="s">
        <v>52</v>
      </c>
      <c r="B19" s="81" t="s">
        <v>53</v>
      </c>
      <c r="C19" s="80" t="s">
        <v>27</v>
      </c>
      <c r="D19" s="133"/>
      <c r="E19" s="133"/>
      <c r="F19" s="133"/>
      <c r="G19" s="133"/>
      <c r="H19" s="133"/>
      <c r="I19" s="133"/>
      <c r="J19" s="133"/>
    </row>
    <row r="20" spans="1:10" ht="28.5">
      <c r="A20" s="78" t="s">
        <v>54</v>
      </c>
      <c r="B20" s="81" t="s">
        <v>55</v>
      </c>
      <c r="C20" s="80" t="s">
        <v>27</v>
      </c>
      <c r="D20" s="133"/>
      <c r="E20" s="133"/>
      <c r="F20" s="133"/>
      <c r="G20" s="133"/>
      <c r="H20" s="133"/>
      <c r="I20" s="133"/>
      <c r="J20" s="133"/>
    </row>
    <row r="21" spans="1:10">
      <c r="A21" s="78" t="s">
        <v>56</v>
      </c>
      <c r="B21" s="79" t="s">
        <v>57</v>
      </c>
      <c r="C21" s="80" t="s">
        <v>27</v>
      </c>
      <c r="D21" s="133"/>
      <c r="E21" s="133"/>
      <c r="F21" s="133"/>
      <c r="G21" s="133"/>
      <c r="H21" s="133"/>
      <c r="I21" s="133"/>
      <c r="J21" s="133"/>
    </row>
    <row r="22" spans="1:10" ht="28.5">
      <c r="A22" s="78" t="s">
        <v>58</v>
      </c>
      <c r="B22" s="81" t="s">
        <v>450</v>
      </c>
      <c r="C22" s="80" t="s">
        <v>60</v>
      </c>
      <c r="D22" s="133"/>
      <c r="E22" s="133"/>
      <c r="F22" s="133"/>
      <c r="G22" s="133"/>
      <c r="H22" s="133"/>
      <c r="I22" s="133"/>
      <c r="J22" s="133"/>
    </row>
    <row r="23" spans="1:10" ht="28.5">
      <c r="A23" s="78" t="s">
        <v>61</v>
      </c>
      <c r="B23" s="81" t="s">
        <v>62</v>
      </c>
      <c r="C23" s="80" t="s">
        <v>60</v>
      </c>
      <c r="D23" s="133"/>
      <c r="E23" s="133"/>
      <c r="F23" s="133"/>
      <c r="G23" s="133"/>
      <c r="H23" s="133"/>
      <c r="I23" s="133"/>
      <c r="J23" s="133"/>
    </row>
    <row r="24" spans="1:10" ht="28.5">
      <c r="A24" s="78" t="s">
        <v>63</v>
      </c>
      <c r="B24" s="81" t="s">
        <v>64</v>
      </c>
      <c r="C24" s="80" t="s">
        <v>60</v>
      </c>
      <c r="D24" s="133"/>
      <c r="E24" s="133"/>
      <c r="F24" s="133"/>
      <c r="G24" s="133"/>
      <c r="H24" s="133"/>
      <c r="I24" s="133"/>
      <c r="J24" s="133"/>
    </row>
    <row r="25" spans="1:10">
      <c r="A25" s="75">
        <v>4</v>
      </c>
      <c r="B25" s="76" t="s">
        <v>65</v>
      </c>
      <c r="C25" s="77"/>
      <c r="D25" s="133"/>
      <c r="E25" s="133"/>
      <c r="F25" s="133"/>
      <c r="G25" s="133"/>
      <c r="H25" s="133"/>
      <c r="I25" s="133"/>
      <c r="J25" s="133"/>
    </row>
    <row r="26" spans="1:10" ht="15">
      <c r="A26" s="73" t="s">
        <v>66</v>
      </c>
      <c r="B26" s="82" t="s">
        <v>451</v>
      </c>
      <c r="C26" s="74"/>
      <c r="D26" s="133"/>
      <c r="E26" s="133"/>
      <c r="F26" s="133"/>
      <c r="G26" s="133"/>
      <c r="H26" s="133"/>
      <c r="I26" s="133"/>
      <c r="J26" s="133"/>
    </row>
    <row r="27" spans="1:10">
      <c r="A27" s="78" t="s">
        <v>67</v>
      </c>
      <c r="B27" s="79" t="s">
        <v>68</v>
      </c>
      <c r="C27" s="80" t="s">
        <v>45</v>
      </c>
      <c r="D27" s="135"/>
      <c r="E27" s="135"/>
      <c r="F27" s="135"/>
      <c r="G27" s="135"/>
      <c r="H27" s="135"/>
      <c r="I27" s="135"/>
      <c r="J27" s="135"/>
    </row>
    <row r="28" spans="1:10" ht="28.5">
      <c r="A28" s="78" t="s">
        <v>69</v>
      </c>
      <c r="B28" s="79" t="s">
        <v>70</v>
      </c>
      <c r="C28" s="80" t="s">
        <v>27</v>
      </c>
      <c r="D28" s="135"/>
      <c r="E28" s="135"/>
      <c r="F28" s="135"/>
      <c r="G28" s="135"/>
      <c r="H28" s="135"/>
      <c r="I28" s="135"/>
      <c r="J28" s="135"/>
    </row>
    <row r="29" spans="1:10" ht="28.5">
      <c r="A29" s="78" t="s">
        <v>71</v>
      </c>
      <c r="B29" s="79" t="s">
        <v>72</v>
      </c>
      <c r="C29" s="80" t="s">
        <v>73</v>
      </c>
      <c r="D29" s="135"/>
      <c r="E29" s="135"/>
      <c r="F29" s="135"/>
      <c r="G29" s="135"/>
      <c r="H29" s="135"/>
      <c r="I29" s="135"/>
      <c r="J29" s="135"/>
    </row>
    <row r="30" spans="1:10" ht="28.5">
      <c r="A30" s="78" t="s">
        <v>74</v>
      </c>
      <c r="B30" s="81" t="s">
        <v>75</v>
      </c>
      <c r="C30" s="80" t="s">
        <v>73</v>
      </c>
      <c r="D30" s="135"/>
      <c r="E30" s="135"/>
      <c r="F30" s="135"/>
      <c r="G30" s="135"/>
      <c r="H30" s="135"/>
      <c r="I30" s="135"/>
      <c r="J30" s="135"/>
    </row>
    <row r="31" spans="1:10" ht="28.5">
      <c r="A31" s="78" t="s">
        <v>76</v>
      </c>
      <c r="B31" s="79" t="s">
        <v>77</v>
      </c>
      <c r="C31" s="80" t="s">
        <v>45</v>
      </c>
      <c r="D31" s="135"/>
      <c r="E31" s="135"/>
      <c r="F31" s="135"/>
      <c r="G31" s="135"/>
      <c r="H31" s="135"/>
      <c r="I31" s="135"/>
      <c r="J31" s="135"/>
    </row>
    <row r="32" spans="1:10" ht="15">
      <c r="A32" s="73" t="s">
        <v>78</v>
      </c>
      <c r="B32" s="82" t="s">
        <v>65</v>
      </c>
      <c r="C32" s="74"/>
      <c r="D32" s="133"/>
      <c r="E32" s="133"/>
      <c r="F32" s="133"/>
      <c r="G32" s="133"/>
      <c r="H32" s="133"/>
      <c r="I32" s="133"/>
      <c r="J32" s="133"/>
    </row>
    <row r="33" spans="1:14" ht="57">
      <c r="A33" s="78" t="s">
        <v>79</v>
      </c>
      <c r="B33" s="83" t="s">
        <v>80</v>
      </c>
      <c r="C33" s="80" t="s">
        <v>27</v>
      </c>
      <c r="D33" s="133"/>
      <c r="E33" s="133"/>
      <c r="F33" s="133"/>
      <c r="G33" s="133"/>
      <c r="H33" s="133"/>
      <c r="I33" s="133"/>
      <c r="J33" s="133"/>
    </row>
    <row r="34" spans="1:14" ht="28.5" customHeight="1">
      <c r="A34" s="78" t="s">
        <v>81</v>
      </c>
      <c r="B34" s="83" t="s">
        <v>72</v>
      </c>
      <c r="C34" s="80" t="s">
        <v>73</v>
      </c>
      <c r="D34" s="135"/>
      <c r="E34" s="135"/>
      <c r="F34" s="135"/>
      <c r="G34" s="135"/>
      <c r="H34" s="135"/>
      <c r="I34" s="135"/>
      <c r="J34" s="135"/>
    </row>
    <row r="35" spans="1:14" ht="28.5" customHeight="1">
      <c r="A35" s="78" t="s">
        <v>82</v>
      </c>
      <c r="B35" s="84" t="s">
        <v>452</v>
      </c>
      <c r="C35" s="80" t="s">
        <v>73</v>
      </c>
      <c r="D35" s="135"/>
      <c r="E35" s="135"/>
      <c r="F35" s="135"/>
      <c r="G35" s="135"/>
      <c r="H35" s="135"/>
      <c r="I35" s="135"/>
      <c r="J35" s="135"/>
    </row>
    <row r="36" spans="1:14" ht="28.5" customHeight="1">
      <c r="A36" s="78" t="s">
        <v>83</v>
      </c>
      <c r="B36" s="83" t="s">
        <v>84</v>
      </c>
      <c r="C36" s="80" t="s">
        <v>45</v>
      </c>
      <c r="D36" s="135"/>
      <c r="E36" s="135"/>
      <c r="F36" s="135"/>
      <c r="G36" s="135"/>
      <c r="H36" s="135"/>
      <c r="I36" s="135"/>
      <c r="J36" s="135"/>
    </row>
    <row r="37" spans="1:14" ht="28.5">
      <c r="A37" s="78" t="s">
        <v>85</v>
      </c>
      <c r="B37" s="84" t="s">
        <v>453</v>
      </c>
      <c r="C37" s="80" t="s">
        <v>45</v>
      </c>
      <c r="D37" s="133"/>
      <c r="E37" s="133"/>
      <c r="F37" s="133"/>
      <c r="G37" s="133"/>
      <c r="H37" s="133"/>
      <c r="I37" s="133"/>
      <c r="J37" s="133"/>
    </row>
    <row r="38" spans="1:14" ht="42.75">
      <c r="A38" s="78" t="s">
        <v>87</v>
      </c>
      <c r="B38" s="84" t="s">
        <v>88</v>
      </c>
      <c r="C38" s="80" t="s">
        <v>27</v>
      </c>
      <c r="D38" s="133"/>
      <c r="E38" s="133"/>
      <c r="F38" s="133"/>
      <c r="G38" s="133"/>
      <c r="H38" s="133"/>
      <c r="I38" s="133"/>
      <c r="J38" s="133"/>
    </row>
    <row r="39" spans="1:14" ht="42.75">
      <c r="A39" s="78" t="s">
        <v>89</v>
      </c>
      <c r="B39" s="84" t="s">
        <v>90</v>
      </c>
      <c r="C39" s="80" t="s">
        <v>27</v>
      </c>
      <c r="D39" s="133"/>
      <c r="E39" s="133"/>
      <c r="F39" s="133"/>
      <c r="G39" s="133"/>
      <c r="H39" s="133"/>
      <c r="I39" s="133"/>
      <c r="J39" s="133"/>
    </row>
    <row r="40" spans="1:14" ht="42.75">
      <c r="A40" s="78" t="s">
        <v>91</v>
      </c>
      <c r="B40" s="83" t="s">
        <v>92</v>
      </c>
      <c r="C40" s="80" t="s">
        <v>60</v>
      </c>
      <c r="D40" s="135"/>
      <c r="E40" s="135"/>
      <c r="F40" s="135"/>
      <c r="G40" s="135"/>
      <c r="H40" s="135"/>
      <c r="I40" s="135"/>
      <c r="J40" s="135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  <c r="N40" s="5">
        <f>M40</f>
        <v>46.29</v>
      </c>
    </row>
    <row r="41" spans="1:14" ht="15">
      <c r="A41" s="75">
        <v>5</v>
      </c>
      <c r="B41" s="85" t="s">
        <v>93</v>
      </c>
      <c r="C41" s="77"/>
      <c r="D41" s="133"/>
      <c r="E41" s="133"/>
      <c r="F41" s="133"/>
      <c r="G41" s="133"/>
      <c r="H41" s="133"/>
      <c r="I41" s="133"/>
      <c r="J41" s="133"/>
    </row>
    <row r="42" spans="1:14" ht="72" customHeight="1">
      <c r="A42" s="86" t="s">
        <v>94</v>
      </c>
      <c r="B42" s="79" t="s">
        <v>95</v>
      </c>
      <c r="C42" s="80" t="s">
        <v>27</v>
      </c>
      <c r="D42" s="135" t="s">
        <v>545</v>
      </c>
      <c r="E42" s="135"/>
      <c r="F42" s="135"/>
      <c r="G42" s="135"/>
      <c r="H42" s="135"/>
      <c r="I42" s="135"/>
      <c r="J42" s="135"/>
      <c r="K42" s="5">
        <v>33.880000000000003</v>
      </c>
      <c r="L42" s="5">
        <f>3.7*1.75*2 + 3.9*1.75-1.1*1.75</f>
        <v>17.850000000000001</v>
      </c>
      <c r="M42" s="5">
        <f>(5.9+5.2+10+ 5+6.2+4.4+1.8+2.2+1.8+4.5 +5.35+9+4.45+3.2+3.2 +2.25+ 4.45)*0.15 + 0.15*(2+1.6+ 2+1.6)+0.15*(5.7+ 4.7+5.7+4.7)</f>
        <v>16.035</v>
      </c>
    </row>
    <row r="43" spans="1:14" ht="15">
      <c r="A43" s="73" t="s">
        <v>96</v>
      </c>
      <c r="B43" s="82" t="s">
        <v>97</v>
      </c>
      <c r="C43" s="74"/>
      <c r="D43" s="133"/>
      <c r="E43" s="133"/>
      <c r="F43" s="133"/>
      <c r="G43" s="133"/>
      <c r="H43" s="133"/>
      <c r="I43" s="133"/>
      <c r="J43" s="133"/>
    </row>
    <row r="44" spans="1:14" ht="28.5">
      <c r="A44" s="86" t="s">
        <v>98</v>
      </c>
      <c r="B44" s="83" t="s">
        <v>99</v>
      </c>
      <c r="C44" s="80" t="s">
        <v>27</v>
      </c>
      <c r="D44" s="133"/>
      <c r="E44" s="133"/>
      <c r="F44" s="133"/>
      <c r="G44" s="133"/>
      <c r="H44" s="133"/>
      <c r="I44" s="133"/>
      <c r="J44" s="133"/>
    </row>
    <row r="45" spans="1:14">
      <c r="A45" s="75">
        <v>6</v>
      </c>
      <c r="B45" s="76" t="s">
        <v>100</v>
      </c>
      <c r="C45" s="77"/>
      <c r="D45" s="133"/>
      <c r="E45" s="133"/>
      <c r="F45" s="133"/>
      <c r="G45" s="133"/>
      <c r="H45" s="133"/>
      <c r="I45" s="133"/>
      <c r="J45" s="133"/>
    </row>
    <row r="46" spans="1:14" ht="28.5">
      <c r="A46" s="86" t="s">
        <v>101</v>
      </c>
      <c r="B46" s="81" t="s">
        <v>102</v>
      </c>
      <c r="C46" s="87" t="s">
        <v>27</v>
      </c>
      <c r="D46" s="135"/>
      <c r="E46" s="135"/>
      <c r="F46" s="135"/>
      <c r="G46" s="135"/>
      <c r="H46" s="135"/>
      <c r="I46" s="135"/>
      <c r="J46" s="135"/>
    </row>
    <row r="47" spans="1:14" ht="28.5">
      <c r="A47" s="86" t="s">
        <v>103</v>
      </c>
      <c r="B47" s="81" t="s">
        <v>104</v>
      </c>
      <c r="C47" s="87" t="s">
        <v>27</v>
      </c>
      <c r="D47" s="133"/>
      <c r="E47" s="133"/>
      <c r="F47" s="133"/>
      <c r="G47" s="133"/>
      <c r="H47" s="133"/>
      <c r="I47" s="133"/>
      <c r="J47" s="133"/>
    </row>
    <row r="48" spans="1:14" ht="28.5">
      <c r="A48" s="78" t="s">
        <v>105</v>
      </c>
      <c r="B48" s="81" t="s">
        <v>106</v>
      </c>
      <c r="C48" s="87" t="s">
        <v>27</v>
      </c>
      <c r="D48" s="133"/>
      <c r="E48" s="133"/>
      <c r="F48" s="133"/>
      <c r="G48" s="133"/>
      <c r="H48" s="133"/>
      <c r="I48" s="133"/>
      <c r="J48" s="133"/>
    </row>
    <row r="49" spans="1:13">
      <c r="A49" s="75">
        <v>7</v>
      </c>
      <c r="B49" s="76" t="s">
        <v>107</v>
      </c>
      <c r="C49" s="77"/>
      <c r="D49" s="133"/>
      <c r="E49" s="133"/>
      <c r="F49" s="133"/>
      <c r="G49" s="133"/>
      <c r="H49" s="133"/>
      <c r="I49" s="133"/>
      <c r="J49" s="133"/>
    </row>
    <row r="50" spans="1:13" ht="15">
      <c r="A50" s="73" t="s">
        <v>108</v>
      </c>
      <c r="B50" s="82" t="s">
        <v>109</v>
      </c>
      <c r="C50" s="74"/>
      <c r="D50" s="133"/>
      <c r="E50" s="133"/>
      <c r="F50" s="133"/>
      <c r="G50" s="133"/>
      <c r="H50" s="133"/>
      <c r="I50" s="133"/>
      <c r="J50" s="133"/>
    </row>
    <row r="51" spans="1:13" ht="105" customHeight="1">
      <c r="A51" s="86" t="s">
        <v>110</v>
      </c>
      <c r="B51" s="81" t="s">
        <v>454</v>
      </c>
      <c r="C51" s="80" t="s">
        <v>27</v>
      </c>
      <c r="D51" s="135" t="s">
        <v>546</v>
      </c>
      <c r="E51" s="135"/>
      <c r="F51" s="135"/>
      <c r="G51" s="135"/>
      <c r="H51" s="135"/>
      <c r="I51" s="135"/>
      <c r="J51" s="135"/>
      <c r="K51" s="5">
        <v>234.35</v>
      </c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28.5">
      <c r="A52" s="86" t="s">
        <v>112</v>
      </c>
      <c r="B52" s="79" t="s">
        <v>113</v>
      </c>
      <c r="C52" s="80" t="s">
        <v>27</v>
      </c>
      <c r="D52" s="135"/>
      <c r="E52" s="135"/>
      <c r="F52" s="135"/>
      <c r="G52" s="135"/>
      <c r="H52" s="135"/>
      <c r="I52" s="135"/>
      <c r="J52" s="135"/>
    </row>
    <row r="53" spans="1:13" ht="57">
      <c r="A53" s="86" t="s">
        <v>114</v>
      </c>
      <c r="B53" s="79" t="s">
        <v>115</v>
      </c>
      <c r="C53" s="80" t="s">
        <v>27</v>
      </c>
      <c r="D53" s="135"/>
      <c r="E53" s="135"/>
      <c r="F53" s="135"/>
      <c r="G53" s="135"/>
      <c r="H53" s="135"/>
      <c r="I53" s="135"/>
      <c r="J53" s="135"/>
      <c r="L53" s="5">
        <f>4.6*3.16 + (8.9+3+2.95+4.5+3.75+7.05+5.8+ 4.5+5.45+0.8+0.8+6.1+3.5)*0.5 + 1.26*13.3 + 1.42*3.2 + 7.3*2.05 + 7.6*2.1 + 8*1</f>
        <v>103.313</v>
      </c>
    </row>
    <row r="54" spans="1:13" ht="42.75">
      <c r="A54" s="86" t="s">
        <v>116</v>
      </c>
      <c r="B54" s="79" t="s">
        <v>117</v>
      </c>
      <c r="C54" s="80" t="s">
        <v>27</v>
      </c>
      <c r="D54" s="133"/>
      <c r="E54" s="133"/>
      <c r="F54" s="133"/>
      <c r="G54" s="133"/>
      <c r="H54" s="133"/>
      <c r="I54" s="133"/>
      <c r="J54" s="133"/>
    </row>
    <row r="55" spans="1:13" ht="57">
      <c r="A55" s="86" t="s">
        <v>118</v>
      </c>
      <c r="B55" s="81" t="s">
        <v>119</v>
      </c>
      <c r="C55" s="80" t="s">
        <v>60</v>
      </c>
      <c r="D55" s="133"/>
      <c r="E55" s="133"/>
      <c r="F55" s="133"/>
      <c r="G55" s="133"/>
      <c r="H55" s="133"/>
      <c r="I55" s="133"/>
      <c r="J55" s="133"/>
    </row>
    <row r="56" spans="1:13">
      <c r="A56" s="86" t="s">
        <v>120</v>
      </c>
      <c r="B56" s="79" t="s">
        <v>121</v>
      </c>
      <c r="C56" s="80" t="s">
        <v>27</v>
      </c>
      <c r="D56" s="133"/>
      <c r="E56" s="133"/>
      <c r="F56" s="133"/>
      <c r="G56" s="133"/>
      <c r="H56" s="133"/>
      <c r="I56" s="133"/>
      <c r="J56" s="133"/>
    </row>
    <row r="57" spans="1:13" ht="28.5">
      <c r="A57" s="86" t="s">
        <v>122</v>
      </c>
      <c r="B57" s="81" t="s">
        <v>455</v>
      </c>
      <c r="C57" s="80" t="s">
        <v>60</v>
      </c>
      <c r="D57" s="133"/>
      <c r="E57" s="133"/>
      <c r="F57" s="133"/>
      <c r="G57" s="133"/>
      <c r="H57" s="133"/>
      <c r="I57" s="133"/>
      <c r="J57" s="133"/>
    </row>
    <row r="58" spans="1:13" ht="57">
      <c r="A58" s="86" t="s">
        <v>124</v>
      </c>
      <c r="B58" s="79" t="s">
        <v>125</v>
      </c>
      <c r="C58" s="80" t="s">
        <v>27</v>
      </c>
      <c r="D58" s="135"/>
      <c r="E58" s="135"/>
      <c r="F58" s="135"/>
      <c r="G58" s="135"/>
      <c r="H58" s="135"/>
      <c r="I58" s="135"/>
      <c r="J58" s="135"/>
    </row>
    <row r="59" spans="1:13" ht="42.75">
      <c r="A59" s="86" t="s">
        <v>126</v>
      </c>
      <c r="B59" s="81" t="s">
        <v>127</v>
      </c>
      <c r="C59" s="80" t="s">
        <v>60</v>
      </c>
      <c r="D59" s="133"/>
      <c r="E59" s="133"/>
      <c r="F59" s="133"/>
      <c r="G59" s="133"/>
      <c r="H59" s="133"/>
      <c r="I59" s="133"/>
      <c r="J59" s="133"/>
    </row>
    <row r="60" spans="1:13" ht="28.5">
      <c r="A60" s="86" t="s">
        <v>128</v>
      </c>
      <c r="B60" s="79" t="s">
        <v>129</v>
      </c>
      <c r="C60" s="80" t="s">
        <v>60</v>
      </c>
      <c r="D60" s="135"/>
      <c r="E60" s="135"/>
      <c r="F60" s="135"/>
      <c r="G60" s="135"/>
      <c r="H60" s="135"/>
      <c r="I60" s="135"/>
      <c r="J60" s="135"/>
      <c r="L60" s="5">
        <f>14*0.9+6*0.8+1+1.2+2+1.07+4.35</f>
        <v>27.019999999999996</v>
      </c>
    </row>
    <row r="61" spans="1:13" ht="15">
      <c r="A61" s="73" t="s">
        <v>130</v>
      </c>
      <c r="B61" s="82" t="s">
        <v>131</v>
      </c>
      <c r="C61" s="74"/>
      <c r="D61" s="133"/>
      <c r="E61" s="133"/>
      <c r="F61" s="133"/>
      <c r="G61" s="133"/>
      <c r="H61" s="133"/>
      <c r="I61" s="133"/>
      <c r="J61" s="133"/>
    </row>
    <row r="62" spans="1:13" ht="28.5">
      <c r="A62" s="86" t="s">
        <v>132</v>
      </c>
      <c r="B62" s="81" t="s">
        <v>133</v>
      </c>
      <c r="C62" s="80" t="s">
        <v>27</v>
      </c>
      <c r="D62" s="133" t="s">
        <v>547</v>
      </c>
      <c r="E62" s="133"/>
      <c r="F62" s="133"/>
      <c r="G62" s="133"/>
      <c r="H62" s="133"/>
      <c r="I62" s="133"/>
      <c r="J62" s="133"/>
      <c r="K62" s="5">
        <v>678.77</v>
      </c>
    </row>
    <row r="63" spans="1:13" ht="42.75">
      <c r="A63" s="86" t="s">
        <v>134</v>
      </c>
      <c r="B63" s="81" t="s">
        <v>456</v>
      </c>
      <c r="C63" s="80" t="s">
        <v>27</v>
      </c>
      <c r="D63" s="133" t="s">
        <v>547</v>
      </c>
      <c r="E63" s="133"/>
      <c r="F63" s="133"/>
      <c r="G63" s="133"/>
      <c r="H63" s="133"/>
      <c r="I63" s="133"/>
      <c r="J63" s="133"/>
      <c r="K63" s="5">
        <f>K64-K62</f>
        <v>677.81</v>
      </c>
    </row>
    <row r="64" spans="1:13" ht="28.5">
      <c r="A64" s="86" t="s">
        <v>136</v>
      </c>
      <c r="B64" s="79" t="s">
        <v>137</v>
      </c>
      <c r="C64" s="80" t="s">
        <v>27</v>
      </c>
      <c r="D64" s="135" t="s">
        <v>548</v>
      </c>
      <c r="E64" s="135"/>
      <c r="F64" s="135"/>
      <c r="G64" s="135"/>
      <c r="H64" s="135"/>
      <c r="I64" s="135"/>
      <c r="J64" s="135"/>
      <c r="K64" s="5">
        <f>678.29 * 2</f>
        <v>1356.58</v>
      </c>
    </row>
    <row r="65" spans="1:14" ht="87" customHeight="1">
      <c r="A65" s="86" t="s">
        <v>138</v>
      </c>
      <c r="B65" s="79" t="s">
        <v>139</v>
      </c>
      <c r="C65" s="80" t="s">
        <v>27</v>
      </c>
      <c r="D65" s="135"/>
      <c r="E65" s="135"/>
      <c r="F65" s="135"/>
      <c r="G65" s="135"/>
      <c r="H65" s="135"/>
      <c r="I65" s="135"/>
      <c r="J65" s="135"/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6" t="s">
        <v>140</v>
      </c>
      <c r="B66" s="81" t="s">
        <v>141</v>
      </c>
      <c r="C66" s="80" t="s">
        <v>27</v>
      </c>
      <c r="D66" s="133"/>
      <c r="E66" s="133"/>
      <c r="F66" s="133"/>
      <c r="G66" s="133"/>
      <c r="H66" s="133"/>
      <c r="I66" s="133"/>
      <c r="J66" s="133"/>
      <c r="M66" s="5">
        <f>1317.64-K65</f>
        <v>1317.64</v>
      </c>
      <c r="N66" s="5" t="s">
        <v>519</v>
      </c>
    </row>
    <row r="67" spans="1:14" ht="28.5">
      <c r="A67" s="86" t="s">
        <v>142</v>
      </c>
      <c r="B67" s="81" t="s">
        <v>143</v>
      </c>
      <c r="C67" s="80" t="s">
        <v>27</v>
      </c>
      <c r="D67" s="133"/>
      <c r="E67" s="133"/>
      <c r="F67" s="133"/>
      <c r="G67" s="133"/>
      <c r="H67" s="133"/>
      <c r="I67" s="133"/>
      <c r="J67" s="133"/>
      <c r="M67" s="5">
        <f>M66-K69</f>
        <v>1317.64</v>
      </c>
      <c r="N67" s="5" t="s">
        <v>520</v>
      </c>
    </row>
    <row r="68" spans="1:14">
      <c r="A68" s="86" t="s">
        <v>144</v>
      </c>
      <c r="B68" s="79" t="s">
        <v>145</v>
      </c>
      <c r="C68" s="80" t="s">
        <v>60</v>
      </c>
      <c r="D68" s="133"/>
      <c r="E68" s="133"/>
      <c r="F68" s="133"/>
      <c r="G68" s="133"/>
      <c r="H68" s="133"/>
      <c r="I68" s="133"/>
      <c r="J68" s="133"/>
    </row>
    <row r="69" spans="1:14" ht="28.5">
      <c r="A69" s="86" t="s">
        <v>146</v>
      </c>
      <c r="B69" s="79" t="s">
        <v>147</v>
      </c>
      <c r="C69" s="80" t="s">
        <v>27</v>
      </c>
      <c r="D69" s="133"/>
      <c r="E69" s="133"/>
      <c r="F69" s="133"/>
      <c r="G69" s="133"/>
      <c r="H69" s="133"/>
      <c r="I69" s="133"/>
      <c r="J69" s="133"/>
      <c r="M69" s="5" t="s">
        <v>521</v>
      </c>
    </row>
    <row r="70" spans="1:14" ht="15">
      <c r="A70" s="73" t="s">
        <v>148</v>
      </c>
      <c r="B70" s="82" t="s">
        <v>149</v>
      </c>
      <c r="C70" s="74"/>
      <c r="D70" s="133"/>
      <c r="E70" s="133"/>
      <c r="F70" s="133"/>
      <c r="G70" s="133"/>
      <c r="H70" s="133"/>
      <c r="I70" s="133"/>
      <c r="J70" s="133"/>
    </row>
    <row r="71" spans="1:14" ht="28.5">
      <c r="A71" s="86" t="s">
        <v>150</v>
      </c>
      <c r="B71" s="81" t="s">
        <v>457</v>
      </c>
      <c r="C71" s="80" t="s">
        <v>27</v>
      </c>
      <c r="D71" s="133"/>
      <c r="E71" s="133"/>
      <c r="F71" s="133"/>
      <c r="G71" s="133"/>
      <c r="H71" s="133"/>
      <c r="I71" s="133"/>
      <c r="J71" s="133"/>
    </row>
    <row r="72" spans="1:14" ht="28.5">
      <c r="A72" s="86" t="s">
        <v>152</v>
      </c>
      <c r="B72" s="81" t="s">
        <v>153</v>
      </c>
      <c r="C72" s="80" t="s">
        <v>27</v>
      </c>
      <c r="D72" s="133"/>
      <c r="E72" s="133"/>
      <c r="F72" s="133"/>
      <c r="G72" s="133"/>
      <c r="H72" s="133"/>
      <c r="I72" s="133"/>
      <c r="J72" s="133"/>
    </row>
    <row r="73" spans="1:14" ht="41.25" customHeight="1">
      <c r="A73" s="86" t="s">
        <v>154</v>
      </c>
      <c r="B73" s="81" t="s">
        <v>155</v>
      </c>
      <c r="C73" s="80" t="s">
        <v>27</v>
      </c>
      <c r="D73" s="135"/>
      <c r="E73" s="135"/>
      <c r="F73" s="135"/>
      <c r="G73" s="135"/>
      <c r="H73" s="135"/>
      <c r="I73" s="135"/>
      <c r="J73" s="135"/>
    </row>
    <row r="74" spans="1:14" ht="28.5">
      <c r="A74" s="86" t="s">
        <v>156</v>
      </c>
      <c r="B74" s="81" t="s">
        <v>143</v>
      </c>
      <c r="C74" s="80" t="s">
        <v>27</v>
      </c>
      <c r="D74" s="133"/>
      <c r="E74" s="133"/>
      <c r="F74" s="133"/>
      <c r="G74" s="133"/>
      <c r="H74" s="133"/>
      <c r="I74" s="133"/>
      <c r="J74" s="133"/>
    </row>
    <row r="75" spans="1:14" ht="28.5">
      <c r="A75" s="86" t="s">
        <v>157</v>
      </c>
      <c r="B75" s="79" t="s">
        <v>147</v>
      </c>
      <c r="C75" s="80" t="s">
        <v>27</v>
      </c>
      <c r="D75" s="133"/>
      <c r="E75" s="133"/>
      <c r="F75" s="133"/>
      <c r="G75" s="133"/>
      <c r="H75" s="133"/>
      <c r="I75" s="133"/>
      <c r="J75" s="133"/>
    </row>
    <row r="76" spans="1:14" ht="42.75">
      <c r="A76" s="86" t="s">
        <v>158</v>
      </c>
      <c r="B76" s="88" t="s">
        <v>159</v>
      </c>
      <c r="C76" s="89" t="s">
        <v>27</v>
      </c>
      <c r="D76" s="133"/>
      <c r="E76" s="133"/>
      <c r="F76" s="133"/>
      <c r="G76" s="133"/>
      <c r="H76" s="133"/>
      <c r="I76" s="133"/>
      <c r="J76" s="133"/>
    </row>
    <row r="77" spans="1:14" ht="15">
      <c r="A77" s="73" t="s">
        <v>160</v>
      </c>
      <c r="B77" s="134" t="s">
        <v>161</v>
      </c>
      <c r="C77" s="134"/>
      <c r="D77" s="133"/>
      <c r="E77" s="133"/>
      <c r="F77" s="133"/>
      <c r="G77" s="133"/>
      <c r="H77" s="133"/>
      <c r="I77" s="133"/>
      <c r="J77" s="133"/>
    </row>
    <row r="78" spans="1:14" ht="28.5">
      <c r="A78" s="86" t="s">
        <v>162</v>
      </c>
      <c r="B78" s="79" t="s">
        <v>147</v>
      </c>
      <c r="C78" s="80" t="s">
        <v>27</v>
      </c>
      <c r="D78" s="133"/>
      <c r="E78" s="133"/>
      <c r="F78" s="133"/>
      <c r="G78" s="133"/>
      <c r="H78" s="133"/>
      <c r="I78" s="133"/>
      <c r="J78" s="133"/>
    </row>
    <row r="79" spans="1:14">
      <c r="A79" s="75">
        <v>8</v>
      </c>
      <c r="B79" s="76" t="s">
        <v>163</v>
      </c>
      <c r="C79" s="77"/>
      <c r="D79" s="133"/>
      <c r="E79" s="133"/>
      <c r="F79" s="133"/>
      <c r="G79" s="133"/>
      <c r="H79" s="133"/>
      <c r="I79" s="133"/>
      <c r="J79" s="133"/>
    </row>
    <row r="80" spans="1:14" ht="15">
      <c r="A80" s="73" t="s">
        <v>164</v>
      </c>
      <c r="B80" s="90" t="s">
        <v>165</v>
      </c>
      <c r="C80" s="74"/>
      <c r="D80" s="133"/>
      <c r="E80" s="133"/>
      <c r="F80" s="133"/>
      <c r="G80" s="133"/>
      <c r="H80" s="133"/>
      <c r="I80" s="133"/>
      <c r="J80" s="133"/>
    </row>
    <row r="81" spans="1:10" ht="28.5">
      <c r="A81" s="86" t="s">
        <v>166</v>
      </c>
      <c r="B81" s="81" t="s">
        <v>167</v>
      </c>
      <c r="C81" s="80" t="s">
        <v>36</v>
      </c>
      <c r="D81" s="133"/>
      <c r="E81" s="133"/>
      <c r="F81" s="133"/>
      <c r="G81" s="133"/>
      <c r="H81" s="133"/>
      <c r="I81" s="133"/>
      <c r="J81" s="133"/>
    </row>
    <row r="82" spans="1:10" ht="28.5">
      <c r="A82" s="86" t="s">
        <v>168</v>
      </c>
      <c r="B82" s="81" t="s">
        <v>169</v>
      </c>
      <c r="C82" s="80" t="s">
        <v>36</v>
      </c>
      <c r="D82" s="133"/>
      <c r="E82" s="133"/>
      <c r="F82" s="133"/>
      <c r="G82" s="133"/>
      <c r="H82" s="133"/>
      <c r="I82" s="133"/>
      <c r="J82" s="133"/>
    </row>
    <row r="83" spans="1:10" ht="28.5">
      <c r="A83" s="86" t="s">
        <v>170</v>
      </c>
      <c r="B83" s="81" t="s">
        <v>171</v>
      </c>
      <c r="C83" s="80" t="s">
        <v>36</v>
      </c>
      <c r="D83" s="133"/>
      <c r="E83" s="133"/>
      <c r="F83" s="133"/>
      <c r="G83" s="133"/>
      <c r="H83" s="133"/>
      <c r="I83" s="133"/>
      <c r="J83" s="133"/>
    </row>
    <row r="84" spans="1:10" ht="28.5">
      <c r="A84" s="86" t="s">
        <v>172</v>
      </c>
      <c r="B84" s="81" t="s">
        <v>173</v>
      </c>
      <c r="C84" s="80" t="s">
        <v>36</v>
      </c>
      <c r="D84" s="133"/>
      <c r="E84" s="133"/>
      <c r="F84" s="133"/>
      <c r="G84" s="133"/>
      <c r="H84" s="133"/>
      <c r="I84" s="133"/>
      <c r="J84" s="133"/>
    </row>
    <row r="85" spans="1:10" ht="42.75">
      <c r="A85" s="86" t="s">
        <v>174</v>
      </c>
      <c r="B85" s="81" t="s">
        <v>175</v>
      </c>
      <c r="C85" s="80" t="s">
        <v>36</v>
      </c>
      <c r="D85" s="133"/>
      <c r="E85" s="133"/>
      <c r="F85" s="133"/>
      <c r="G85" s="133"/>
      <c r="H85" s="133"/>
      <c r="I85" s="133"/>
      <c r="J85" s="133"/>
    </row>
    <row r="86" spans="1:10" ht="42.75">
      <c r="A86" s="86" t="s">
        <v>176</v>
      </c>
      <c r="B86" s="81" t="s">
        <v>177</v>
      </c>
      <c r="C86" s="80" t="s">
        <v>36</v>
      </c>
      <c r="D86" s="133"/>
      <c r="E86" s="133"/>
      <c r="F86" s="133"/>
      <c r="G86" s="133"/>
      <c r="H86" s="133"/>
      <c r="I86" s="133"/>
      <c r="J86" s="133"/>
    </row>
    <row r="87" spans="1:10" ht="42.75">
      <c r="A87" s="86" t="s">
        <v>178</v>
      </c>
      <c r="B87" s="81" t="s">
        <v>179</v>
      </c>
      <c r="C87" s="80" t="s">
        <v>36</v>
      </c>
      <c r="D87" s="133"/>
      <c r="E87" s="133"/>
      <c r="F87" s="133"/>
      <c r="G87" s="133"/>
      <c r="H87" s="133"/>
      <c r="I87" s="133"/>
      <c r="J87" s="133"/>
    </row>
    <row r="88" spans="1:10" ht="28.5">
      <c r="A88" s="86" t="s">
        <v>180</v>
      </c>
      <c r="B88" s="81" t="s">
        <v>458</v>
      </c>
      <c r="C88" s="80" t="s">
        <v>27</v>
      </c>
      <c r="D88" s="133"/>
      <c r="E88" s="133"/>
      <c r="F88" s="133"/>
      <c r="G88" s="133"/>
      <c r="H88" s="133"/>
      <c r="I88" s="133"/>
      <c r="J88" s="133"/>
    </row>
    <row r="89" spans="1:10" ht="15">
      <c r="A89" s="73" t="s">
        <v>182</v>
      </c>
      <c r="B89" s="82" t="s">
        <v>183</v>
      </c>
      <c r="C89" s="74"/>
      <c r="D89" s="133"/>
      <c r="E89" s="133"/>
      <c r="F89" s="133"/>
      <c r="G89" s="133"/>
      <c r="H89" s="133"/>
      <c r="I89" s="133"/>
      <c r="J89" s="133"/>
    </row>
    <row r="90" spans="1:10" ht="28.5">
      <c r="A90" s="86" t="s">
        <v>184</v>
      </c>
      <c r="B90" s="81" t="s">
        <v>185</v>
      </c>
      <c r="C90" s="80" t="s">
        <v>27</v>
      </c>
      <c r="D90" s="133"/>
      <c r="E90" s="133"/>
      <c r="F90" s="133"/>
      <c r="G90" s="133"/>
      <c r="H90" s="133"/>
      <c r="I90" s="133"/>
      <c r="J90" s="133"/>
    </row>
    <row r="91" spans="1:10" ht="28.5">
      <c r="A91" s="86" t="s">
        <v>186</v>
      </c>
      <c r="B91" s="79" t="s">
        <v>187</v>
      </c>
      <c r="C91" s="80" t="s">
        <v>27</v>
      </c>
      <c r="D91" s="133"/>
      <c r="E91" s="133"/>
      <c r="F91" s="133"/>
      <c r="G91" s="133"/>
      <c r="H91" s="133"/>
      <c r="I91" s="133"/>
      <c r="J91" s="133"/>
    </row>
    <row r="92" spans="1:10">
      <c r="A92" s="86" t="s">
        <v>188</v>
      </c>
      <c r="B92" s="79" t="s">
        <v>189</v>
      </c>
      <c r="C92" s="80" t="s">
        <v>27</v>
      </c>
      <c r="D92" s="133"/>
      <c r="E92" s="133"/>
      <c r="F92" s="133"/>
      <c r="G92" s="133"/>
      <c r="H92" s="133"/>
      <c r="I92" s="133"/>
      <c r="J92" s="133"/>
    </row>
    <row r="93" spans="1:10" ht="28.5">
      <c r="A93" s="86" t="s">
        <v>190</v>
      </c>
      <c r="B93" s="81" t="s">
        <v>459</v>
      </c>
      <c r="C93" s="80" t="s">
        <v>60</v>
      </c>
      <c r="D93" s="133"/>
      <c r="E93" s="133"/>
      <c r="F93" s="133"/>
      <c r="G93" s="133"/>
      <c r="H93" s="133"/>
      <c r="I93" s="133"/>
      <c r="J93" s="133"/>
    </row>
    <row r="94" spans="1:10" ht="15">
      <c r="A94" s="73" t="s">
        <v>192</v>
      </c>
      <c r="B94" s="82" t="s">
        <v>193</v>
      </c>
      <c r="C94" s="74"/>
      <c r="D94" s="133"/>
      <c r="E94" s="133"/>
      <c r="F94" s="133"/>
      <c r="G94" s="133"/>
      <c r="H94" s="133"/>
      <c r="I94" s="133"/>
      <c r="J94" s="133"/>
    </row>
    <row r="95" spans="1:10">
      <c r="A95" s="86" t="s">
        <v>194</v>
      </c>
      <c r="B95" s="83" t="s">
        <v>195</v>
      </c>
      <c r="C95" s="80" t="s">
        <v>27</v>
      </c>
      <c r="D95" s="133"/>
      <c r="E95" s="133"/>
      <c r="F95" s="133"/>
      <c r="G95" s="133"/>
      <c r="H95" s="133"/>
      <c r="I95" s="133"/>
      <c r="J95" s="133"/>
    </row>
    <row r="96" spans="1:10">
      <c r="A96" s="86" t="s">
        <v>196</v>
      </c>
      <c r="B96" s="83" t="s">
        <v>197</v>
      </c>
      <c r="C96" s="80" t="s">
        <v>27</v>
      </c>
      <c r="D96" s="133"/>
      <c r="E96" s="133"/>
      <c r="F96" s="133"/>
      <c r="G96" s="133"/>
      <c r="H96" s="133"/>
      <c r="I96" s="133"/>
      <c r="J96" s="133"/>
    </row>
    <row r="97" spans="1:12" ht="28.5">
      <c r="A97" s="86" t="s">
        <v>198</v>
      </c>
      <c r="B97" s="84" t="s">
        <v>460</v>
      </c>
      <c r="C97" s="80" t="s">
        <v>27</v>
      </c>
      <c r="D97" s="133"/>
      <c r="E97" s="133"/>
      <c r="F97" s="133"/>
      <c r="G97" s="133"/>
      <c r="H97" s="133"/>
      <c r="I97" s="133"/>
      <c r="J97" s="133"/>
    </row>
    <row r="98" spans="1:12">
      <c r="A98" s="75">
        <v>9</v>
      </c>
      <c r="B98" s="76" t="s">
        <v>200</v>
      </c>
      <c r="C98" s="77"/>
      <c r="D98" s="133"/>
      <c r="E98" s="133"/>
      <c r="F98" s="133"/>
      <c r="G98" s="133"/>
      <c r="H98" s="133"/>
      <c r="I98" s="133"/>
      <c r="J98" s="133"/>
    </row>
    <row r="99" spans="1:12" ht="15">
      <c r="A99" s="73" t="s">
        <v>201</v>
      </c>
      <c r="B99" s="82" t="s">
        <v>202</v>
      </c>
      <c r="C99" s="74"/>
      <c r="D99" s="133"/>
      <c r="E99" s="133"/>
      <c r="F99" s="133"/>
      <c r="G99" s="133"/>
      <c r="H99" s="133"/>
      <c r="I99" s="133"/>
      <c r="J99" s="133"/>
    </row>
    <row r="100" spans="1:12" ht="28.5">
      <c r="A100" s="86" t="s">
        <v>203</v>
      </c>
      <c r="B100" s="81" t="s">
        <v>204</v>
      </c>
      <c r="C100" s="80" t="s">
        <v>36</v>
      </c>
      <c r="D100" s="133"/>
      <c r="E100" s="133"/>
      <c r="F100" s="133"/>
      <c r="G100" s="133"/>
      <c r="H100" s="133"/>
      <c r="I100" s="133"/>
      <c r="J100" s="133"/>
    </row>
    <row r="101" spans="1:12" ht="15">
      <c r="A101" s="73" t="s">
        <v>205</v>
      </c>
      <c r="B101" s="82" t="s">
        <v>206</v>
      </c>
      <c r="C101" s="74"/>
      <c r="D101" s="133"/>
      <c r="E101" s="133"/>
      <c r="F101" s="133"/>
      <c r="G101" s="133"/>
      <c r="H101" s="133"/>
      <c r="I101" s="133"/>
      <c r="J101" s="133"/>
    </row>
    <row r="102" spans="1:12" ht="42.75">
      <c r="A102" s="86" t="s">
        <v>207</v>
      </c>
      <c r="B102" s="81" t="s">
        <v>461</v>
      </c>
      <c r="C102" s="80" t="s">
        <v>36</v>
      </c>
      <c r="D102" s="133"/>
      <c r="E102" s="133"/>
      <c r="F102" s="133"/>
      <c r="G102" s="133"/>
      <c r="H102" s="133"/>
      <c r="I102" s="133"/>
      <c r="J102" s="133"/>
    </row>
    <row r="103" spans="1:12" ht="28.5">
      <c r="A103" s="86" t="s">
        <v>209</v>
      </c>
      <c r="B103" s="81" t="s">
        <v>462</v>
      </c>
      <c r="C103" s="80" t="s">
        <v>36</v>
      </c>
      <c r="D103" s="133"/>
      <c r="E103" s="133"/>
      <c r="F103" s="133"/>
      <c r="G103" s="133"/>
      <c r="H103" s="133"/>
      <c r="I103" s="133"/>
      <c r="J103" s="133"/>
    </row>
    <row r="104" spans="1:12" ht="28.5">
      <c r="A104" s="86" t="s">
        <v>211</v>
      </c>
      <c r="B104" s="79" t="s">
        <v>212</v>
      </c>
      <c r="C104" s="80" t="s">
        <v>36</v>
      </c>
      <c r="D104" s="133"/>
      <c r="E104" s="133"/>
      <c r="F104" s="133"/>
      <c r="G104" s="133"/>
      <c r="H104" s="133"/>
      <c r="I104" s="133"/>
      <c r="J104" s="133"/>
    </row>
    <row r="105" spans="1:12" ht="28.5">
      <c r="A105" s="86" t="s">
        <v>213</v>
      </c>
      <c r="B105" s="79" t="s">
        <v>214</v>
      </c>
      <c r="C105" s="80" t="s">
        <v>36</v>
      </c>
      <c r="D105" s="133"/>
      <c r="E105" s="133"/>
      <c r="F105" s="133"/>
      <c r="G105" s="133"/>
      <c r="H105" s="133"/>
      <c r="I105" s="133"/>
      <c r="J105" s="133"/>
    </row>
    <row r="106" spans="1:12" ht="42.75">
      <c r="A106" s="86" t="s">
        <v>215</v>
      </c>
      <c r="B106" s="79" t="s">
        <v>216</v>
      </c>
      <c r="C106" s="80" t="s">
        <v>36</v>
      </c>
      <c r="D106" s="133"/>
      <c r="E106" s="133"/>
      <c r="F106" s="133"/>
      <c r="G106" s="133"/>
      <c r="H106" s="133"/>
      <c r="I106" s="133"/>
      <c r="J106" s="133"/>
    </row>
    <row r="107" spans="1:12" ht="28.5">
      <c r="A107" s="86" t="s">
        <v>217</v>
      </c>
      <c r="B107" s="81" t="s">
        <v>463</v>
      </c>
      <c r="C107" s="80" t="s">
        <v>36</v>
      </c>
      <c r="D107" s="133"/>
      <c r="E107" s="133"/>
      <c r="F107" s="133"/>
      <c r="G107" s="133"/>
      <c r="H107" s="133"/>
      <c r="I107" s="133"/>
      <c r="J107" s="133"/>
    </row>
    <row r="108" spans="1:12" ht="28.5">
      <c r="A108" s="86" t="s">
        <v>219</v>
      </c>
      <c r="B108" s="81" t="s">
        <v>220</v>
      </c>
      <c r="C108" s="80" t="s">
        <v>36</v>
      </c>
      <c r="D108" s="135"/>
      <c r="E108" s="135"/>
      <c r="F108" s="135"/>
      <c r="G108" s="135"/>
      <c r="H108" s="135"/>
      <c r="I108" s="135"/>
      <c r="J108" s="135"/>
      <c r="L108" s="5">
        <f>2+5+9+3+4+1+2+2+3+4+9+6+4+1+9+8+8+3+18+3+7+6+7+16</f>
        <v>140</v>
      </c>
    </row>
    <row r="109" spans="1:12">
      <c r="A109" s="86" t="s">
        <v>221</v>
      </c>
      <c r="B109" s="79" t="s">
        <v>222</v>
      </c>
      <c r="C109" s="80" t="s">
        <v>36</v>
      </c>
      <c r="D109" s="133"/>
      <c r="E109" s="133"/>
      <c r="F109" s="133"/>
      <c r="G109" s="133"/>
      <c r="H109" s="133"/>
      <c r="I109" s="133"/>
      <c r="J109" s="133"/>
    </row>
    <row r="110" spans="1:12">
      <c r="A110" s="86" t="s">
        <v>223</v>
      </c>
      <c r="B110" s="79" t="s">
        <v>224</v>
      </c>
      <c r="C110" s="80" t="s">
        <v>36</v>
      </c>
      <c r="D110" s="133"/>
      <c r="E110" s="133"/>
      <c r="F110" s="133"/>
      <c r="G110" s="133"/>
      <c r="H110" s="133"/>
      <c r="I110" s="133"/>
      <c r="J110" s="133"/>
    </row>
    <row r="111" spans="1:12" ht="28.5">
      <c r="A111" s="86" t="s">
        <v>225</v>
      </c>
      <c r="B111" s="81" t="s">
        <v>226</v>
      </c>
      <c r="C111" s="80" t="s">
        <v>36</v>
      </c>
      <c r="D111" s="133"/>
      <c r="E111" s="133"/>
      <c r="F111" s="133"/>
      <c r="G111" s="133"/>
      <c r="H111" s="133"/>
      <c r="I111" s="133"/>
      <c r="J111" s="133"/>
    </row>
    <row r="112" spans="1:12">
      <c r="A112" s="86" t="s">
        <v>227</v>
      </c>
      <c r="B112" s="79" t="s">
        <v>224</v>
      </c>
      <c r="C112" s="80" t="s">
        <v>36</v>
      </c>
      <c r="D112" s="133"/>
      <c r="E112" s="133"/>
      <c r="F112" s="133"/>
      <c r="G112" s="133"/>
      <c r="H112" s="133"/>
      <c r="I112" s="133"/>
      <c r="J112" s="133"/>
    </row>
    <row r="113" spans="1:10">
      <c r="A113" s="86" t="s">
        <v>228</v>
      </c>
      <c r="B113" s="79" t="s">
        <v>229</v>
      </c>
      <c r="C113" s="80" t="s">
        <v>36</v>
      </c>
      <c r="D113" s="133"/>
      <c r="E113" s="133"/>
      <c r="F113" s="133"/>
      <c r="G113" s="133"/>
      <c r="H113" s="133"/>
      <c r="I113" s="133"/>
      <c r="J113" s="133"/>
    </row>
    <row r="114" spans="1:10" ht="28.5">
      <c r="A114" s="86" t="s">
        <v>230</v>
      </c>
      <c r="B114" s="81" t="s">
        <v>220</v>
      </c>
      <c r="C114" s="80" t="s">
        <v>36</v>
      </c>
      <c r="D114" s="135"/>
      <c r="E114" s="135"/>
      <c r="F114" s="135"/>
      <c r="G114" s="135"/>
      <c r="H114" s="135"/>
      <c r="I114" s="135"/>
      <c r="J114" s="135"/>
    </row>
    <row r="115" spans="1:10" ht="28.5">
      <c r="A115" s="86" t="s">
        <v>231</v>
      </c>
      <c r="B115" s="81" t="s">
        <v>232</v>
      </c>
      <c r="C115" s="80" t="s">
        <v>36</v>
      </c>
      <c r="D115" s="133"/>
      <c r="E115" s="133"/>
      <c r="F115" s="133"/>
      <c r="G115" s="133"/>
      <c r="H115" s="133"/>
      <c r="I115" s="133"/>
      <c r="J115" s="133"/>
    </row>
    <row r="116" spans="1:10" ht="28.5">
      <c r="A116" s="86" t="s">
        <v>233</v>
      </c>
      <c r="B116" s="81" t="s">
        <v>234</v>
      </c>
      <c r="C116" s="80" t="s">
        <v>36</v>
      </c>
      <c r="D116" s="133"/>
      <c r="E116" s="133"/>
      <c r="F116" s="133"/>
      <c r="G116" s="133"/>
      <c r="H116" s="133"/>
      <c r="I116" s="133"/>
      <c r="J116" s="133"/>
    </row>
    <row r="117" spans="1:10" ht="28.5">
      <c r="A117" s="86" t="s">
        <v>235</v>
      </c>
      <c r="B117" s="81" t="s">
        <v>236</v>
      </c>
      <c r="C117" s="80" t="s">
        <v>36</v>
      </c>
      <c r="D117" s="133"/>
      <c r="E117" s="133"/>
      <c r="F117" s="133"/>
      <c r="G117" s="133"/>
      <c r="H117" s="133"/>
      <c r="I117" s="133"/>
      <c r="J117" s="133"/>
    </row>
    <row r="118" spans="1:10" ht="28.5">
      <c r="A118" s="86" t="s">
        <v>237</v>
      </c>
      <c r="B118" s="81" t="s">
        <v>238</v>
      </c>
      <c r="C118" s="80" t="s">
        <v>36</v>
      </c>
      <c r="D118" s="133"/>
      <c r="E118" s="133"/>
      <c r="F118" s="133"/>
      <c r="G118" s="133"/>
      <c r="H118" s="133"/>
      <c r="I118" s="133"/>
      <c r="J118" s="133"/>
    </row>
    <row r="119" spans="1:10" ht="28.5">
      <c r="A119" s="86" t="s">
        <v>239</v>
      </c>
      <c r="B119" s="81" t="s">
        <v>240</v>
      </c>
      <c r="C119" s="80" t="s">
        <v>36</v>
      </c>
      <c r="D119" s="133"/>
      <c r="E119" s="133"/>
      <c r="F119" s="133"/>
      <c r="G119" s="133"/>
      <c r="H119" s="133"/>
      <c r="I119" s="133"/>
      <c r="J119" s="133"/>
    </row>
    <row r="120" spans="1:10">
      <c r="A120" s="86" t="s">
        <v>241</v>
      </c>
      <c r="B120" s="79" t="s">
        <v>242</v>
      </c>
      <c r="C120" s="80" t="s">
        <v>36</v>
      </c>
      <c r="D120" s="133"/>
      <c r="E120" s="133"/>
      <c r="F120" s="133"/>
      <c r="G120" s="133"/>
      <c r="H120" s="133"/>
      <c r="I120" s="133"/>
      <c r="J120" s="133"/>
    </row>
    <row r="121" spans="1:10">
      <c r="A121" s="86" t="s">
        <v>243</v>
      </c>
      <c r="B121" s="79" t="s">
        <v>244</v>
      </c>
      <c r="C121" s="80" t="s">
        <v>36</v>
      </c>
      <c r="D121" s="133"/>
      <c r="E121" s="133"/>
      <c r="F121" s="133"/>
      <c r="G121" s="133"/>
      <c r="H121" s="133"/>
      <c r="I121" s="133"/>
      <c r="J121" s="133"/>
    </row>
    <row r="122" spans="1:10" ht="28.5">
      <c r="A122" s="86" t="s">
        <v>245</v>
      </c>
      <c r="B122" s="81" t="s">
        <v>220</v>
      </c>
      <c r="C122" s="80" t="s">
        <v>36</v>
      </c>
      <c r="D122" s="135"/>
      <c r="E122" s="135"/>
      <c r="F122" s="135"/>
      <c r="G122" s="135"/>
      <c r="H122" s="135"/>
      <c r="I122" s="135"/>
      <c r="J122" s="135"/>
    </row>
    <row r="123" spans="1:10" ht="15">
      <c r="A123" s="73" t="s">
        <v>246</v>
      </c>
      <c r="B123" s="82" t="s">
        <v>247</v>
      </c>
      <c r="C123" s="74"/>
      <c r="D123" s="133"/>
      <c r="E123" s="133"/>
      <c r="F123" s="133"/>
      <c r="G123" s="133"/>
      <c r="H123" s="133"/>
      <c r="I123" s="133"/>
      <c r="J123" s="133"/>
    </row>
    <row r="124" spans="1:10" ht="57">
      <c r="A124" s="86" t="s">
        <v>248</v>
      </c>
      <c r="B124" s="79" t="s">
        <v>249</v>
      </c>
      <c r="C124" s="80" t="s">
        <v>36</v>
      </c>
      <c r="D124" s="133"/>
      <c r="E124" s="133"/>
      <c r="F124" s="133"/>
      <c r="G124" s="133"/>
      <c r="H124" s="133"/>
      <c r="I124" s="133"/>
      <c r="J124" s="133"/>
    </row>
    <row r="125" spans="1:10" ht="28.5">
      <c r="A125" s="86" t="s">
        <v>250</v>
      </c>
      <c r="B125" s="79" t="s">
        <v>251</v>
      </c>
      <c r="C125" s="80" t="s">
        <v>36</v>
      </c>
      <c r="D125" s="133"/>
      <c r="E125" s="133"/>
      <c r="F125" s="133"/>
      <c r="G125" s="133"/>
      <c r="H125" s="133"/>
      <c r="I125" s="133"/>
      <c r="J125" s="133"/>
    </row>
    <row r="126" spans="1:10" ht="28.5">
      <c r="A126" s="86" t="s">
        <v>252</v>
      </c>
      <c r="B126" s="81" t="s">
        <v>253</v>
      </c>
      <c r="C126" s="80" t="s">
        <v>36</v>
      </c>
      <c r="D126" s="133"/>
      <c r="E126" s="133"/>
      <c r="F126" s="133"/>
      <c r="G126" s="133"/>
      <c r="H126" s="133"/>
      <c r="I126" s="133"/>
      <c r="J126" s="133"/>
    </row>
    <row r="127" spans="1:10">
      <c r="A127" s="86" t="s">
        <v>254</v>
      </c>
      <c r="B127" s="79" t="s">
        <v>255</v>
      </c>
      <c r="C127" s="80" t="s">
        <v>36</v>
      </c>
      <c r="D127" s="133"/>
      <c r="E127" s="133"/>
      <c r="F127" s="133"/>
      <c r="G127" s="133"/>
      <c r="H127" s="133"/>
      <c r="I127" s="133"/>
      <c r="J127" s="133"/>
    </row>
    <row r="128" spans="1:10" ht="15">
      <c r="A128" s="73" t="s">
        <v>256</v>
      </c>
      <c r="B128" s="82" t="s">
        <v>257</v>
      </c>
      <c r="C128" s="74"/>
      <c r="D128" s="133"/>
      <c r="E128" s="133"/>
      <c r="F128" s="133"/>
      <c r="G128" s="133"/>
      <c r="H128" s="133"/>
      <c r="I128" s="133"/>
      <c r="J128" s="133"/>
    </row>
    <row r="129" spans="1:12" ht="57">
      <c r="A129" s="86" t="s">
        <v>258</v>
      </c>
      <c r="B129" s="79" t="s">
        <v>249</v>
      </c>
      <c r="C129" s="80" t="s">
        <v>36</v>
      </c>
      <c r="D129" s="133"/>
      <c r="E129" s="133"/>
      <c r="F129" s="133"/>
      <c r="G129" s="133"/>
      <c r="H129" s="133"/>
      <c r="I129" s="133"/>
      <c r="J129" s="133"/>
    </row>
    <row r="130" spans="1:12" ht="28.5">
      <c r="A130" s="86" t="s">
        <v>259</v>
      </c>
      <c r="B130" s="79" t="s">
        <v>260</v>
      </c>
      <c r="C130" s="80" t="s">
        <v>36</v>
      </c>
      <c r="D130" s="133"/>
      <c r="E130" s="133"/>
      <c r="F130" s="133"/>
      <c r="G130" s="133"/>
      <c r="H130" s="133"/>
      <c r="I130" s="133"/>
      <c r="J130" s="133"/>
    </row>
    <row r="131" spans="1:12">
      <c r="A131" s="86" t="s">
        <v>261</v>
      </c>
      <c r="B131" s="79" t="s">
        <v>255</v>
      </c>
      <c r="C131" s="80" t="s">
        <v>36</v>
      </c>
      <c r="D131" s="133"/>
      <c r="E131" s="133"/>
      <c r="F131" s="133"/>
      <c r="G131" s="133"/>
      <c r="H131" s="133"/>
      <c r="I131" s="133"/>
      <c r="J131" s="133"/>
    </row>
    <row r="132" spans="1:12" ht="28.5">
      <c r="A132" s="86" t="s">
        <v>262</v>
      </c>
      <c r="B132" s="81" t="s">
        <v>253</v>
      </c>
      <c r="C132" s="80" t="s">
        <v>36</v>
      </c>
      <c r="D132" s="133"/>
      <c r="E132" s="133"/>
      <c r="F132" s="133"/>
      <c r="G132" s="133"/>
      <c r="H132" s="133"/>
      <c r="I132" s="133"/>
      <c r="J132" s="133"/>
    </row>
    <row r="133" spans="1:12" ht="28.5">
      <c r="A133" s="86" t="s">
        <v>263</v>
      </c>
      <c r="B133" s="81" t="s">
        <v>264</v>
      </c>
      <c r="C133" s="80" t="s">
        <v>36</v>
      </c>
      <c r="D133" s="135"/>
      <c r="E133" s="135"/>
      <c r="F133" s="135"/>
      <c r="G133" s="135"/>
      <c r="H133" s="135"/>
      <c r="I133" s="135"/>
      <c r="J133" s="135"/>
      <c r="L133" s="5">
        <f>11+7+3+3</f>
        <v>24</v>
      </c>
    </row>
    <row r="134" spans="1:12" ht="28.5">
      <c r="A134" s="86" t="s">
        <v>265</v>
      </c>
      <c r="B134" s="81" t="s">
        <v>266</v>
      </c>
      <c r="C134" s="80" t="s">
        <v>36</v>
      </c>
      <c r="D134" s="133"/>
      <c r="E134" s="133"/>
      <c r="F134" s="133"/>
      <c r="G134" s="133"/>
      <c r="H134" s="133"/>
      <c r="I134" s="133"/>
      <c r="J134" s="133"/>
    </row>
    <row r="135" spans="1:12" ht="28.5">
      <c r="A135" s="86" t="s">
        <v>267</v>
      </c>
      <c r="B135" s="81" t="s">
        <v>268</v>
      </c>
      <c r="C135" s="80" t="s">
        <v>36</v>
      </c>
      <c r="D135" s="133"/>
      <c r="E135" s="133"/>
      <c r="F135" s="133"/>
      <c r="G135" s="133"/>
      <c r="H135" s="133"/>
      <c r="I135" s="133"/>
      <c r="J135" s="133"/>
    </row>
    <row r="136" spans="1:12" ht="15">
      <c r="A136" s="73" t="s">
        <v>269</v>
      </c>
      <c r="B136" s="82" t="s">
        <v>270</v>
      </c>
      <c r="C136" s="74"/>
      <c r="D136" s="133"/>
      <c r="E136" s="133"/>
      <c r="F136" s="133"/>
      <c r="G136" s="133"/>
      <c r="H136" s="133"/>
      <c r="I136" s="133"/>
      <c r="J136" s="133"/>
    </row>
    <row r="137" spans="1:12">
      <c r="A137" s="86" t="s">
        <v>271</v>
      </c>
      <c r="B137" s="79" t="s">
        <v>272</v>
      </c>
      <c r="C137" s="80" t="s">
        <v>36</v>
      </c>
      <c r="D137" s="133"/>
      <c r="E137" s="133"/>
      <c r="F137" s="133"/>
      <c r="G137" s="133"/>
      <c r="H137" s="133"/>
      <c r="I137" s="133"/>
      <c r="J137" s="133"/>
    </row>
    <row r="138" spans="1:12" ht="28.5">
      <c r="A138" s="86" t="s">
        <v>273</v>
      </c>
      <c r="B138" s="79" t="s">
        <v>274</v>
      </c>
      <c r="C138" s="80" t="s">
        <v>36</v>
      </c>
      <c r="D138" s="133"/>
      <c r="E138" s="133"/>
      <c r="F138" s="133"/>
      <c r="G138" s="133"/>
      <c r="H138" s="133"/>
      <c r="I138" s="133"/>
      <c r="J138" s="133"/>
    </row>
    <row r="139" spans="1:12" ht="28.5">
      <c r="A139" s="86" t="s">
        <v>275</v>
      </c>
      <c r="B139" s="81" t="s">
        <v>276</v>
      </c>
      <c r="C139" s="80" t="s">
        <v>36</v>
      </c>
      <c r="D139" s="133"/>
      <c r="E139" s="133"/>
      <c r="F139" s="133"/>
      <c r="G139" s="133"/>
      <c r="H139" s="133"/>
      <c r="I139" s="133"/>
      <c r="J139" s="133"/>
    </row>
    <row r="140" spans="1:12" ht="28.5">
      <c r="A140" s="86" t="s">
        <v>277</v>
      </c>
      <c r="B140" s="81" t="s">
        <v>278</v>
      </c>
      <c r="C140" s="80" t="s">
        <v>279</v>
      </c>
      <c r="D140" s="133"/>
      <c r="E140" s="133"/>
      <c r="F140" s="133"/>
      <c r="G140" s="133"/>
      <c r="H140" s="133"/>
      <c r="I140" s="133"/>
      <c r="J140" s="133"/>
    </row>
    <row r="141" spans="1:12">
      <c r="A141" s="86" t="s">
        <v>280</v>
      </c>
      <c r="B141" s="79" t="s">
        <v>281</v>
      </c>
      <c r="C141" s="80" t="s">
        <v>36</v>
      </c>
      <c r="D141" s="133"/>
      <c r="E141" s="133"/>
      <c r="F141" s="133"/>
      <c r="G141" s="133"/>
      <c r="H141" s="133"/>
      <c r="I141" s="133"/>
      <c r="J141" s="133"/>
    </row>
    <row r="142" spans="1:12">
      <c r="A142" s="86" t="s">
        <v>282</v>
      </c>
      <c r="B142" s="79" t="s">
        <v>283</v>
      </c>
      <c r="C142" s="80" t="s">
        <v>36</v>
      </c>
      <c r="D142" s="133"/>
      <c r="E142" s="133"/>
      <c r="F142" s="133"/>
      <c r="G142" s="133"/>
      <c r="H142" s="133"/>
      <c r="I142" s="133"/>
      <c r="J142" s="133"/>
    </row>
    <row r="143" spans="1:12">
      <c r="A143" s="86" t="s">
        <v>284</v>
      </c>
      <c r="B143" s="79" t="s">
        <v>285</v>
      </c>
      <c r="C143" s="80" t="s">
        <v>36</v>
      </c>
      <c r="D143" s="133"/>
      <c r="E143" s="133"/>
      <c r="F143" s="133"/>
      <c r="G143" s="133"/>
      <c r="H143" s="133"/>
      <c r="I143" s="133"/>
      <c r="J143" s="133"/>
    </row>
    <row r="144" spans="1:12">
      <c r="A144" s="86" t="s">
        <v>286</v>
      </c>
      <c r="B144" s="79" t="s">
        <v>287</v>
      </c>
      <c r="C144" s="80" t="s">
        <v>36</v>
      </c>
      <c r="D144" s="133"/>
      <c r="E144" s="133"/>
      <c r="F144" s="133"/>
      <c r="G144" s="133"/>
      <c r="H144" s="133"/>
      <c r="I144" s="133"/>
      <c r="J144" s="133"/>
    </row>
    <row r="145" spans="1:10" ht="28.5">
      <c r="A145" s="86" t="s">
        <v>288</v>
      </c>
      <c r="B145" s="79" t="s">
        <v>289</v>
      </c>
      <c r="C145" s="80" t="s">
        <v>279</v>
      </c>
      <c r="D145" s="133"/>
      <c r="E145" s="133"/>
      <c r="F145" s="133"/>
      <c r="G145" s="133"/>
      <c r="H145" s="133"/>
      <c r="I145" s="133"/>
      <c r="J145" s="133"/>
    </row>
    <row r="146" spans="1:10" ht="42.75">
      <c r="A146" s="86" t="s">
        <v>290</v>
      </c>
      <c r="B146" s="81" t="s">
        <v>291</v>
      </c>
      <c r="C146" s="80" t="s">
        <v>36</v>
      </c>
      <c r="D146" s="133"/>
      <c r="E146" s="133"/>
      <c r="F146" s="133"/>
      <c r="G146" s="133"/>
      <c r="H146" s="133"/>
      <c r="I146" s="133"/>
      <c r="J146" s="133"/>
    </row>
    <row r="147" spans="1:10" ht="28.5">
      <c r="A147" s="86" t="s">
        <v>292</v>
      </c>
      <c r="B147" s="79" t="s">
        <v>293</v>
      </c>
      <c r="C147" s="80" t="s">
        <v>36</v>
      </c>
      <c r="D147" s="133"/>
      <c r="E147" s="133"/>
      <c r="F147" s="133"/>
      <c r="G147" s="133"/>
      <c r="H147" s="133"/>
      <c r="I147" s="133"/>
      <c r="J147" s="133"/>
    </row>
    <row r="148" spans="1:10" ht="15">
      <c r="A148" s="91">
        <v>10</v>
      </c>
      <c r="B148" s="92" t="s">
        <v>294</v>
      </c>
      <c r="C148" s="93"/>
      <c r="D148" s="133"/>
      <c r="E148" s="133"/>
      <c r="F148" s="133"/>
      <c r="G148" s="133"/>
      <c r="H148" s="133"/>
      <c r="I148" s="133"/>
      <c r="J148" s="133"/>
    </row>
    <row r="149" spans="1:10" ht="15">
      <c r="A149" s="73" t="s">
        <v>295</v>
      </c>
      <c r="B149" s="82" t="s">
        <v>296</v>
      </c>
      <c r="C149" s="74"/>
      <c r="D149" s="133"/>
      <c r="E149" s="133"/>
      <c r="F149" s="133"/>
      <c r="G149" s="133"/>
      <c r="H149" s="133"/>
      <c r="I149" s="133"/>
      <c r="J149" s="133"/>
    </row>
    <row r="150" spans="1:10" ht="28.5">
      <c r="A150" s="86" t="s">
        <v>297</v>
      </c>
      <c r="B150" s="84" t="s">
        <v>298</v>
      </c>
      <c r="C150" s="80" t="s">
        <v>36</v>
      </c>
      <c r="D150" s="133"/>
      <c r="E150" s="133"/>
      <c r="F150" s="133"/>
      <c r="G150" s="133"/>
      <c r="H150" s="133"/>
      <c r="I150" s="133"/>
      <c r="J150" s="133"/>
    </row>
    <row r="151" spans="1:10" ht="28.5">
      <c r="A151" s="86" t="s">
        <v>299</v>
      </c>
      <c r="B151" s="83" t="s">
        <v>300</v>
      </c>
      <c r="C151" s="80" t="s">
        <v>36</v>
      </c>
      <c r="D151" s="133"/>
      <c r="E151" s="133"/>
      <c r="F151" s="133"/>
      <c r="G151" s="133"/>
      <c r="H151" s="133"/>
      <c r="I151" s="133"/>
      <c r="J151" s="133"/>
    </row>
    <row r="152" spans="1:10" ht="71.25">
      <c r="A152" s="86" t="s">
        <v>301</v>
      </c>
      <c r="B152" s="83" t="s">
        <v>302</v>
      </c>
      <c r="C152" s="80" t="s">
        <v>36</v>
      </c>
      <c r="D152" s="133"/>
      <c r="E152" s="133"/>
      <c r="F152" s="133"/>
      <c r="G152" s="133"/>
      <c r="H152" s="133"/>
      <c r="I152" s="133"/>
      <c r="J152" s="133"/>
    </row>
    <row r="153" spans="1:10" ht="28.5">
      <c r="A153" s="86" t="s">
        <v>303</v>
      </c>
      <c r="B153" s="83" t="s">
        <v>304</v>
      </c>
      <c r="C153" s="80" t="s">
        <v>36</v>
      </c>
      <c r="D153" s="133"/>
      <c r="E153" s="133"/>
      <c r="F153" s="133"/>
      <c r="G153" s="133"/>
      <c r="H153" s="133"/>
      <c r="I153" s="133"/>
      <c r="J153" s="133"/>
    </row>
    <row r="154" spans="1:10" ht="42.75">
      <c r="A154" s="86" t="s">
        <v>305</v>
      </c>
      <c r="B154" s="83" t="s">
        <v>306</v>
      </c>
      <c r="C154" s="80" t="s">
        <v>36</v>
      </c>
      <c r="D154" s="133"/>
      <c r="E154" s="133"/>
      <c r="F154" s="133"/>
      <c r="G154" s="133"/>
      <c r="H154" s="133"/>
      <c r="I154" s="133"/>
      <c r="J154" s="133"/>
    </row>
    <row r="155" spans="1:10">
      <c r="A155" s="86" t="s">
        <v>307</v>
      </c>
      <c r="B155" s="83" t="s">
        <v>308</v>
      </c>
      <c r="C155" s="80" t="s">
        <v>36</v>
      </c>
      <c r="D155" s="133"/>
      <c r="E155" s="133"/>
      <c r="F155" s="133"/>
      <c r="G155" s="133"/>
      <c r="H155" s="133"/>
      <c r="I155" s="133"/>
      <c r="J155" s="133"/>
    </row>
    <row r="156" spans="1:10">
      <c r="A156" s="86" t="s">
        <v>309</v>
      </c>
      <c r="B156" s="83" t="s">
        <v>310</v>
      </c>
      <c r="C156" s="80" t="s">
        <v>36</v>
      </c>
      <c r="D156" s="133"/>
      <c r="E156" s="133"/>
      <c r="F156" s="133"/>
      <c r="G156" s="133"/>
      <c r="H156" s="133"/>
      <c r="I156" s="133"/>
      <c r="J156" s="133"/>
    </row>
    <row r="157" spans="1:10">
      <c r="A157" s="86" t="s">
        <v>311</v>
      </c>
      <c r="B157" s="83" t="s">
        <v>312</v>
      </c>
      <c r="C157" s="80" t="s">
        <v>36</v>
      </c>
      <c r="D157" s="133"/>
      <c r="E157" s="133"/>
      <c r="F157" s="133"/>
      <c r="G157" s="133"/>
      <c r="H157" s="133"/>
      <c r="I157" s="133"/>
      <c r="J157" s="133"/>
    </row>
    <row r="158" spans="1:10" ht="42.75">
      <c r="A158" s="86" t="s">
        <v>313</v>
      </c>
      <c r="B158" s="83" t="s">
        <v>314</v>
      </c>
      <c r="C158" s="80" t="s">
        <v>36</v>
      </c>
      <c r="D158" s="133"/>
      <c r="E158" s="133"/>
      <c r="F158" s="133"/>
      <c r="G158" s="133"/>
      <c r="H158" s="133"/>
      <c r="I158" s="133"/>
      <c r="J158" s="133"/>
    </row>
    <row r="159" spans="1:10" ht="28.5">
      <c r="A159" s="86" t="s">
        <v>315</v>
      </c>
      <c r="B159" s="83" t="s">
        <v>316</v>
      </c>
      <c r="C159" s="80" t="s">
        <v>36</v>
      </c>
      <c r="D159" s="133"/>
      <c r="E159" s="133"/>
      <c r="F159" s="133"/>
      <c r="G159" s="133"/>
      <c r="H159" s="133"/>
      <c r="I159" s="133"/>
      <c r="J159" s="133"/>
    </row>
    <row r="160" spans="1:10" ht="28.5">
      <c r="A160" s="86" t="s">
        <v>317</v>
      </c>
      <c r="B160" s="84" t="s">
        <v>318</v>
      </c>
      <c r="C160" s="80" t="s">
        <v>60</v>
      </c>
      <c r="D160" s="133"/>
      <c r="E160" s="133"/>
      <c r="F160" s="133"/>
      <c r="G160" s="133"/>
      <c r="H160" s="133"/>
      <c r="I160" s="133"/>
      <c r="J160" s="133"/>
    </row>
    <row r="161" spans="1:11">
      <c r="A161" s="86" t="s">
        <v>319</v>
      </c>
      <c r="B161" s="83" t="s">
        <v>320</v>
      </c>
      <c r="C161" s="80" t="s">
        <v>60</v>
      </c>
      <c r="D161" s="133"/>
      <c r="E161" s="133"/>
      <c r="F161" s="133"/>
      <c r="G161" s="133"/>
      <c r="H161" s="133"/>
      <c r="I161" s="133"/>
      <c r="J161" s="133"/>
    </row>
    <row r="162" spans="1:11">
      <c r="A162" s="86" t="s">
        <v>321</v>
      </c>
      <c r="B162" s="83" t="s">
        <v>322</v>
      </c>
      <c r="C162" s="80" t="s">
        <v>60</v>
      </c>
      <c r="D162" s="133"/>
      <c r="E162" s="133"/>
      <c r="F162" s="133"/>
      <c r="G162" s="133"/>
      <c r="H162" s="133"/>
      <c r="I162" s="133"/>
      <c r="J162" s="133"/>
    </row>
    <row r="163" spans="1:11" ht="28.5">
      <c r="A163" s="86" t="s">
        <v>323</v>
      </c>
      <c r="B163" s="83" t="s">
        <v>324</v>
      </c>
      <c r="C163" s="80" t="s">
        <v>36</v>
      </c>
      <c r="D163" s="133"/>
      <c r="E163" s="133"/>
      <c r="F163" s="133"/>
      <c r="G163" s="133"/>
      <c r="H163" s="133"/>
      <c r="I163" s="133"/>
      <c r="J163" s="133"/>
    </row>
    <row r="164" spans="1:11" ht="28.5">
      <c r="A164" s="86" t="s">
        <v>325</v>
      </c>
      <c r="B164" s="84" t="s">
        <v>464</v>
      </c>
      <c r="C164" s="80" t="s">
        <v>36</v>
      </c>
      <c r="D164" s="133"/>
      <c r="E164" s="133"/>
      <c r="F164" s="133"/>
      <c r="G164" s="133"/>
      <c r="H164" s="133"/>
      <c r="I164" s="133"/>
      <c r="J164" s="133"/>
    </row>
    <row r="165" spans="1:11">
      <c r="A165" s="86" t="s">
        <v>327</v>
      </c>
      <c r="B165" s="83" t="s">
        <v>328</v>
      </c>
      <c r="C165" s="80" t="s">
        <v>36</v>
      </c>
      <c r="D165" s="133"/>
      <c r="E165" s="133"/>
      <c r="F165" s="133"/>
      <c r="G165" s="133"/>
      <c r="H165" s="133"/>
      <c r="I165" s="133"/>
      <c r="J165" s="133"/>
    </row>
    <row r="166" spans="1:11" ht="28.5">
      <c r="A166" s="86" t="s">
        <v>329</v>
      </c>
      <c r="B166" s="83" t="s">
        <v>330</v>
      </c>
      <c r="C166" s="80" t="s">
        <v>36</v>
      </c>
      <c r="D166" s="133"/>
      <c r="E166" s="133"/>
      <c r="F166" s="133"/>
      <c r="G166" s="133"/>
      <c r="H166" s="133"/>
      <c r="I166" s="133"/>
      <c r="J166" s="133"/>
    </row>
    <row r="167" spans="1:11" ht="28.5">
      <c r="A167" s="86" t="s">
        <v>331</v>
      </c>
      <c r="B167" s="83" t="s">
        <v>332</v>
      </c>
      <c r="C167" s="80" t="s">
        <v>36</v>
      </c>
      <c r="D167" s="133"/>
      <c r="E167" s="133"/>
      <c r="F167" s="133"/>
      <c r="G167" s="133"/>
      <c r="H167" s="133"/>
      <c r="I167" s="133"/>
      <c r="J167" s="133"/>
    </row>
    <row r="168" spans="1:11" ht="28.5">
      <c r="A168" s="86" t="s">
        <v>333</v>
      </c>
      <c r="B168" s="84" t="s">
        <v>334</v>
      </c>
      <c r="C168" s="80" t="s">
        <v>36</v>
      </c>
      <c r="D168" s="133"/>
      <c r="E168" s="133"/>
      <c r="F168" s="133"/>
      <c r="G168" s="133"/>
      <c r="H168" s="133"/>
      <c r="I168" s="133"/>
      <c r="J168" s="133"/>
    </row>
    <row r="169" spans="1:11" ht="42.75">
      <c r="A169" s="86" t="s">
        <v>335</v>
      </c>
      <c r="B169" s="83" t="s">
        <v>336</v>
      </c>
      <c r="C169" s="80" t="s">
        <v>36</v>
      </c>
      <c r="D169" s="133"/>
      <c r="E169" s="133"/>
      <c r="F169" s="133"/>
      <c r="G169" s="133"/>
      <c r="H169" s="133"/>
      <c r="I169" s="133"/>
      <c r="J169" s="133"/>
    </row>
    <row r="170" spans="1:11" ht="15">
      <c r="A170" s="73" t="s">
        <v>337</v>
      </c>
      <c r="B170" s="82" t="s">
        <v>338</v>
      </c>
      <c r="C170" s="74"/>
      <c r="D170" s="133"/>
      <c r="E170" s="133"/>
      <c r="F170" s="133"/>
      <c r="G170" s="133"/>
      <c r="H170" s="133"/>
      <c r="I170" s="133"/>
      <c r="J170" s="133"/>
    </row>
    <row r="171" spans="1:11" ht="28.5">
      <c r="A171" s="86" t="s">
        <v>339</v>
      </c>
      <c r="B171" s="84" t="s">
        <v>340</v>
      </c>
      <c r="C171" s="80" t="s">
        <v>36</v>
      </c>
      <c r="D171" s="133" t="s">
        <v>549</v>
      </c>
      <c r="E171" s="133"/>
      <c r="F171" s="133"/>
      <c r="G171" s="133"/>
      <c r="H171" s="133"/>
      <c r="I171" s="133"/>
      <c r="J171" s="133"/>
      <c r="K171" s="5">
        <v>1</v>
      </c>
    </row>
    <row r="172" spans="1:11" ht="28.5">
      <c r="A172" s="86" t="s">
        <v>341</v>
      </c>
      <c r="B172" s="84" t="s">
        <v>342</v>
      </c>
      <c r="C172" s="80" t="s">
        <v>36</v>
      </c>
      <c r="D172" s="133"/>
      <c r="E172" s="133"/>
      <c r="F172" s="133"/>
      <c r="G172" s="133"/>
      <c r="H172" s="133"/>
      <c r="I172" s="133"/>
      <c r="J172" s="133"/>
    </row>
    <row r="173" spans="1:11" ht="28.5">
      <c r="A173" s="86" t="s">
        <v>343</v>
      </c>
      <c r="B173" s="84" t="s">
        <v>344</v>
      </c>
      <c r="C173" s="80" t="s">
        <v>36</v>
      </c>
      <c r="D173" s="133"/>
      <c r="E173" s="133"/>
      <c r="F173" s="133"/>
      <c r="G173" s="133"/>
      <c r="H173" s="133"/>
      <c r="I173" s="133"/>
      <c r="J173" s="133"/>
    </row>
    <row r="174" spans="1:11">
      <c r="A174" s="86" t="s">
        <v>345</v>
      </c>
      <c r="B174" s="83" t="s">
        <v>346</v>
      </c>
      <c r="C174" s="80" t="s">
        <v>36</v>
      </c>
      <c r="D174" s="133"/>
      <c r="E174" s="133"/>
      <c r="F174" s="133"/>
      <c r="G174" s="133"/>
      <c r="H174" s="133"/>
      <c r="I174" s="133"/>
      <c r="J174" s="133"/>
    </row>
    <row r="175" spans="1:11">
      <c r="A175" s="86" t="s">
        <v>347</v>
      </c>
      <c r="B175" s="83" t="s">
        <v>348</v>
      </c>
      <c r="C175" s="80" t="s">
        <v>36</v>
      </c>
      <c r="D175" s="133"/>
      <c r="E175" s="133"/>
      <c r="F175" s="133"/>
      <c r="G175" s="133"/>
      <c r="H175" s="133"/>
      <c r="I175" s="133"/>
      <c r="J175" s="133"/>
    </row>
    <row r="176" spans="1:11">
      <c r="A176" s="86" t="s">
        <v>349</v>
      </c>
      <c r="B176" s="83" t="s">
        <v>350</v>
      </c>
      <c r="C176" s="80" t="s">
        <v>351</v>
      </c>
      <c r="D176" s="133"/>
      <c r="E176" s="133"/>
      <c r="F176" s="133"/>
      <c r="G176" s="133"/>
      <c r="H176" s="133"/>
      <c r="I176" s="133"/>
      <c r="J176" s="133"/>
    </row>
    <row r="177" spans="1:11" ht="28.5">
      <c r="A177" s="86" t="s">
        <v>352</v>
      </c>
      <c r="B177" s="83" t="s">
        <v>353</v>
      </c>
      <c r="C177" s="80" t="s">
        <v>36</v>
      </c>
      <c r="D177" s="133"/>
      <c r="E177" s="133"/>
      <c r="F177" s="133"/>
      <c r="G177" s="133"/>
      <c r="H177" s="133"/>
      <c r="I177" s="133"/>
      <c r="J177" s="133"/>
    </row>
    <row r="178" spans="1:11" ht="28.5">
      <c r="A178" s="86" t="s">
        <v>354</v>
      </c>
      <c r="B178" s="84" t="s">
        <v>465</v>
      </c>
      <c r="C178" s="80" t="s">
        <v>351</v>
      </c>
      <c r="D178" s="133"/>
      <c r="E178" s="133"/>
      <c r="F178" s="133"/>
      <c r="G178" s="133"/>
      <c r="H178" s="133"/>
      <c r="I178" s="133"/>
      <c r="J178" s="133"/>
    </row>
    <row r="179" spans="1:11">
      <c r="A179" s="86" t="s">
        <v>356</v>
      </c>
      <c r="B179" s="83" t="s">
        <v>357</v>
      </c>
      <c r="C179" s="80" t="s">
        <v>36</v>
      </c>
      <c r="D179" s="133"/>
      <c r="E179" s="133"/>
      <c r="F179" s="133"/>
      <c r="G179" s="133"/>
      <c r="H179" s="133"/>
      <c r="I179" s="133"/>
      <c r="J179" s="133"/>
    </row>
    <row r="180" spans="1:11" ht="28.5">
      <c r="A180" s="86" t="s">
        <v>358</v>
      </c>
      <c r="B180" s="84" t="s">
        <v>466</v>
      </c>
      <c r="C180" s="80" t="s">
        <v>36</v>
      </c>
      <c r="D180" s="133"/>
      <c r="E180" s="133"/>
      <c r="F180" s="133"/>
      <c r="G180" s="133"/>
      <c r="H180" s="133"/>
      <c r="I180" s="133"/>
      <c r="J180" s="133"/>
    </row>
    <row r="181" spans="1:11" ht="28.5">
      <c r="A181" s="86" t="s">
        <v>360</v>
      </c>
      <c r="B181" s="84" t="s">
        <v>467</v>
      </c>
      <c r="C181" s="80" t="s">
        <v>36</v>
      </c>
      <c r="D181" s="133"/>
      <c r="E181" s="133"/>
      <c r="F181" s="133"/>
      <c r="G181" s="133"/>
      <c r="H181" s="133"/>
      <c r="I181" s="133"/>
      <c r="J181" s="133"/>
    </row>
    <row r="182" spans="1:11" ht="28.5">
      <c r="A182" s="86" t="s">
        <v>362</v>
      </c>
      <c r="B182" s="83" t="s">
        <v>363</v>
      </c>
      <c r="C182" s="80" t="s">
        <v>36</v>
      </c>
      <c r="D182" s="133"/>
      <c r="E182" s="133"/>
      <c r="F182" s="133"/>
      <c r="G182" s="133"/>
      <c r="H182" s="133"/>
      <c r="I182" s="133"/>
      <c r="J182" s="133"/>
    </row>
    <row r="183" spans="1:11" ht="28.5">
      <c r="A183" s="86" t="s">
        <v>364</v>
      </c>
      <c r="B183" s="83" t="s">
        <v>365</v>
      </c>
      <c r="C183" s="80" t="s">
        <v>36</v>
      </c>
      <c r="D183" s="133"/>
      <c r="E183" s="133"/>
      <c r="F183" s="133"/>
      <c r="G183" s="133"/>
      <c r="H183" s="133"/>
      <c r="I183" s="133"/>
      <c r="J183" s="133"/>
    </row>
    <row r="184" spans="1:11">
      <c r="A184" s="86" t="s">
        <v>366</v>
      </c>
      <c r="B184" s="83" t="s">
        <v>367</v>
      </c>
      <c r="C184" s="80" t="s">
        <v>36</v>
      </c>
      <c r="D184" s="133"/>
      <c r="E184" s="133"/>
      <c r="F184" s="133"/>
      <c r="G184" s="133"/>
      <c r="H184" s="133"/>
      <c r="I184" s="133"/>
      <c r="J184" s="133"/>
    </row>
    <row r="185" spans="1:11" ht="15">
      <c r="A185" s="73" t="s">
        <v>368</v>
      </c>
      <c r="B185" s="82" t="s">
        <v>369</v>
      </c>
      <c r="C185" s="74"/>
      <c r="D185" s="133"/>
      <c r="E185" s="133"/>
      <c r="F185" s="133"/>
      <c r="G185" s="133"/>
      <c r="H185" s="133"/>
      <c r="I185" s="133"/>
      <c r="J185" s="133"/>
    </row>
    <row r="186" spans="1:11" ht="42.75">
      <c r="A186" s="86" t="s">
        <v>370</v>
      </c>
      <c r="B186" s="84" t="s">
        <v>468</v>
      </c>
      <c r="C186" s="80" t="s">
        <v>36</v>
      </c>
      <c r="D186" s="133" t="s">
        <v>550</v>
      </c>
      <c r="E186" s="133"/>
      <c r="F186" s="133"/>
      <c r="G186" s="133"/>
      <c r="H186" s="133"/>
      <c r="I186" s="133"/>
      <c r="J186" s="133"/>
      <c r="K186" s="5">
        <v>2</v>
      </c>
    </row>
    <row r="187" spans="1:11" ht="28.5">
      <c r="A187" s="86" t="s">
        <v>372</v>
      </c>
      <c r="B187" s="84" t="s">
        <v>469</v>
      </c>
      <c r="C187" s="80" t="s">
        <v>36</v>
      </c>
      <c r="D187" s="133"/>
      <c r="E187" s="133"/>
      <c r="F187" s="133"/>
      <c r="G187" s="133"/>
      <c r="H187" s="133"/>
      <c r="I187" s="133"/>
      <c r="J187" s="133"/>
    </row>
    <row r="188" spans="1:11" ht="28.5">
      <c r="A188" s="86" t="s">
        <v>374</v>
      </c>
      <c r="B188" s="84" t="s">
        <v>470</v>
      </c>
      <c r="C188" s="80" t="s">
        <v>36</v>
      </c>
      <c r="D188" s="133" t="s">
        <v>551</v>
      </c>
      <c r="E188" s="133"/>
      <c r="F188" s="133"/>
      <c r="G188" s="133"/>
      <c r="H188" s="133"/>
      <c r="I188" s="133"/>
      <c r="J188" s="133"/>
      <c r="K188" s="5">
        <v>16</v>
      </c>
    </row>
    <row r="189" spans="1:11">
      <c r="A189" s="86" t="s">
        <v>376</v>
      </c>
      <c r="B189" s="83" t="s">
        <v>377</v>
      </c>
      <c r="C189" s="80" t="s">
        <v>36</v>
      </c>
      <c r="D189" s="133" t="s">
        <v>550</v>
      </c>
      <c r="E189" s="133"/>
      <c r="F189" s="133"/>
      <c r="G189" s="133"/>
      <c r="H189" s="133"/>
      <c r="I189" s="133"/>
      <c r="J189" s="133"/>
      <c r="K189" s="5">
        <v>2</v>
      </c>
    </row>
    <row r="190" spans="1:11" ht="28.5">
      <c r="A190" s="86" t="s">
        <v>378</v>
      </c>
      <c r="B190" s="84" t="s">
        <v>379</v>
      </c>
      <c r="C190" s="80" t="s">
        <v>36</v>
      </c>
      <c r="D190" s="133"/>
      <c r="E190" s="133"/>
      <c r="F190" s="133"/>
      <c r="G190" s="133"/>
      <c r="H190" s="133"/>
      <c r="I190" s="133"/>
      <c r="J190" s="133"/>
    </row>
    <row r="191" spans="1:11">
      <c r="A191" s="86" t="s">
        <v>380</v>
      </c>
      <c r="B191" s="83" t="s">
        <v>346</v>
      </c>
      <c r="C191" s="80" t="s">
        <v>36</v>
      </c>
      <c r="D191" s="133"/>
      <c r="E191" s="133"/>
      <c r="F191" s="133"/>
      <c r="G191" s="133"/>
      <c r="H191" s="133"/>
      <c r="I191" s="133"/>
      <c r="J191" s="133"/>
    </row>
    <row r="192" spans="1:11" ht="28.5">
      <c r="A192" s="86" t="s">
        <v>381</v>
      </c>
      <c r="B192" s="83" t="s">
        <v>365</v>
      </c>
      <c r="C192" s="80" t="s">
        <v>36</v>
      </c>
      <c r="D192" s="133"/>
      <c r="E192" s="133"/>
      <c r="F192" s="133"/>
      <c r="G192" s="133"/>
      <c r="H192" s="133"/>
      <c r="I192" s="133"/>
      <c r="J192" s="133"/>
    </row>
    <row r="193" spans="1:11" ht="28.5">
      <c r="A193" s="86" t="s">
        <v>382</v>
      </c>
      <c r="B193" s="84" t="s">
        <v>471</v>
      </c>
      <c r="C193" s="80" t="s">
        <v>36</v>
      </c>
      <c r="D193" s="133"/>
      <c r="E193" s="133"/>
      <c r="F193" s="133"/>
      <c r="G193" s="133"/>
      <c r="H193" s="133"/>
      <c r="I193" s="133"/>
      <c r="J193" s="133"/>
    </row>
    <row r="194" spans="1:11" ht="15">
      <c r="A194" s="73" t="s">
        <v>384</v>
      </c>
      <c r="B194" s="82" t="s">
        <v>385</v>
      </c>
      <c r="C194" s="74"/>
      <c r="D194" s="133"/>
      <c r="E194" s="133"/>
      <c r="F194" s="133"/>
      <c r="G194" s="133"/>
      <c r="H194" s="133"/>
      <c r="I194" s="133"/>
      <c r="J194" s="133"/>
    </row>
    <row r="195" spans="1:11" ht="28.5">
      <c r="A195" s="86" t="s">
        <v>386</v>
      </c>
      <c r="B195" s="83" t="s">
        <v>387</v>
      </c>
      <c r="C195" s="80" t="s">
        <v>36</v>
      </c>
      <c r="D195" s="133" t="s">
        <v>552</v>
      </c>
      <c r="E195" s="133"/>
      <c r="F195" s="133"/>
      <c r="G195" s="133"/>
      <c r="H195" s="133"/>
      <c r="I195" s="133"/>
      <c r="J195" s="133"/>
      <c r="K195" s="5">
        <v>34</v>
      </c>
    </row>
    <row r="196" spans="1:11" ht="28.5">
      <c r="A196" s="86" t="s">
        <v>388</v>
      </c>
      <c r="B196" s="83" t="s">
        <v>389</v>
      </c>
      <c r="C196" s="80" t="s">
        <v>36</v>
      </c>
      <c r="D196" s="133"/>
      <c r="E196" s="133"/>
      <c r="F196" s="133"/>
      <c r="G196" s="133"/>
      <c r="H196" s="133"/>
      <c r="I196" s="133"/>
      <c r="J196" s="133"/>
    </row>
    <row r="197" spans="1:11" ht="28.5">
      <c r="A197" s="86" t="s">
        <v>390</v>
      </c>
      <c r="B197" s="83" t="s">
        <v>391</v>
      </c>
      <c r="C197" s="80" t="s">
        <v>36</v>
      </c>
      <c r="D197" s="133" t="s">
        <v>553</v>
      </c>
      <c r="E197" s="133"/>
      <c r="F197" s="133"/>
      <c r="G197" s="133"/>
      <c r="H197" s="133"/>
      <c r="I197" s="133"/>
      <c r="J197" s="133"/>
      <c r="K197" s="5">
        <v>34</v>
      </c>
    </row>
    <row r="198" spans="1:11" ht="28.5">
      <c r="A198" s="86" t="s">
        <v>392</v>
      </c>
      <c r="B198" s="83" t="s">
        <v>393</v>
      </c>
      <c r="C198" s="80" t="s">
        <v>279</v>
      </c>
      <c r="D198" s="133" t="s">
        <v>554</v>
      </c>
      <c r="E198" s="133"/>
      <c r="F198" s="133"/>
      <c r="G198" s="133"/>
      <c r="H198" s="133"/>
      <c r="I198" s="133"/>
      <c r="J198" s="133"/>
      <c r="K198" s="5">
        <v>5</v>
      </c>
    </row>
    <row r="199" spans="1:11" ht="15">
      <c r="A199" s="73" t="s">
        <v>394</v>
      </c>
      <c r="B199" s="82" t="s">
        <v>395</v>
      </c>
      <c r="C199" s="74"/>
      <c r="D199" s="133"/>
      <c r="E199" s="133"/>
      <c r="F199" s="133"/>
      <c r="G199" s="133"/>
      <c r="H199" s="133"/>
      <c r="I199" s="133"/>
      <c r="J199" s="133"/>
    </row>
    <row r="200" spans="1:11" ht="57">
      <c r="A200" s="86" t="s">
        <v>396</v>
      </c>
      <c r="B200" s="83" t="s">
        <v>397</v>
      </c>
      <c r="C200" s="80" t="s">
        <v>36</v>
      </c>
      <c r="D200" s="133" t="s">
        <v>555</v>
      </c>
      <c r="E200" s="133"/>
      <c r="F200" s="133"/>
      <c r="G200" s="133"/>
      <c r="H200" s="133"/>
      <c r="I200" s="133"/>
      <c r="J200" s="133"/>
      <c r="K200" s="5">
        <v>17</v>
      </c>
    </row>
    <row r="201" spans="1:11" ht="28.5">
      <c r="A201" s="86" t="s">
        <v>398</v>
      </c>
      <c r="B201" s="84" t="s">
        <v>399</v>
      </c>
      <c r="C201" s="80" t="s">
        <v>60</v>
      </c>
      <c r="D201" s="133"/>
      <c r="E201" s="133"/>
      <c r="F201" s="133"/>
      <c r="G201" s="133"/>
      <c r="H201" s="133"/>
      <c r="I201" s="133"/>
      <c r="J201" s="133"/>
    </row>
    <row r="202" spans="1:11" ht="28.5">
      <c r="A202" s="86" t="s">
        <v>400</v>
      </c>
      <c r="B202" s="84" t="s">
        <v>472</v>
      </c>
      <c r="C202" s="80" t="s">
        <v>60</v>
      </c>
      <c r="D202" s="133"/>
      <c r="E202" s="133"/>
      <c r="F202" s="133"/>
      <c r="G202" s="133"/>
      <c r="H202" s="133"/>
      <c r="I202" s="133"/>
      <c r="J202" s="133"/>
    </row>
    <row r="203" spans="1:11" ht="42.75">
      <c r="A203" s="86" t="s">
        <v>402</v>
      </c>
      <c r="B203" s="83" t="s">
        <v>403</v>
      </c>
      <c r="C203" s="80" t="s">
        <v>36</v>
      </c>
      <c r="D203" s="133"/>
      <c r="E203" s="133"/>
      <c r="F203" s="133"/>
      <c r="G203" s="133"/>
      <c r="H203" s="133"/>
      <c r="I203" s="133"/>
      <c r="J203" s="133"/>
    </row>
    <row r="204" spans="1:11" ht="42.75">
      <c r="A204" s="86" t="s">
        <v>404</v>
      </c>
      <c r="B204" s="83" t="s">
        <v>405</v>
      </c>
      <c r="C204" s="80" t="s">
        <v>36</v>
      </c>
      <c r="D204" s="133"/>
      <c r="E204" s="133"/>
      <c r="F204" s="133"/>
      <c r="G204" s="133"/>
      <c r="H204" s="133"/>
      <c r="I204" s="133"/>
      <c r="J204" s="133"/>
    </row>
    <row r="205" spans="1:11" ht="15">
      <c r="A205" s="91">
        <v>11</v>
      </c>
      <c r="B205" s="92" t="s">
        <v>406</v>
      </c>
      <c r="C205" s="93"/>
      <c r="D205" s="133"/>
      <c r="E205" s="133"/>
      <c r="F205" s="133"/>
      <c r="G205" s="133"/>
      <c r="H205" s="133"/>
      <c r="I205" s="133"/>
      <c r="J205" s="133"/>
    </row>
    <row r="206" spans="1:11">
      <c r="A206" s="78" t="s">
        <v>407</v>
      </c>
      <c r="B206" s="83" t="s">
        <v>408</v>
      </c>
      <c r="C206" s="80" t="s">
        <v>60</v>
      </c>
      <c r="D206" s="133"/>
      <c r="E206" s="133"/>
      <c r="F206" s="133"/>
      <c r="G206" s="133"/>
      <c r="H206" s="133"/>
      <c r="I206" s="133"/>
      <c r="J206" s="133"/>
    </row>
    <row r="207" spans="1:11" ht="28.5">
      <c r="A207" s="78" t="s">
        <v>409</v>
      </c>
      <c r="B207" s="83" t="s">
        <v>410</v>
      </c>
      <c r="C207" s="80" t="s">
        <v>36</v>
      </c>
      <c r="D207" s="133"/>
      <c r="E207" s="133"/>
      <c r="F207" s="133"/>
      <c r="G207" s="133"/>
      <c r="H207" s="133"/>
      <c r="I207" s="133"/>
      <c r="J207" s="133"/>
    </row>
    <row r="208" spans="1:11">
      <c r="A208" s="78" t="s">
        <v>411</v>
      </c>
      <c r="B208" s="83" t="s">
        <v>412</v>
      </c>
      <c r="C208" s="80" t="s">
        <v>36</v>
      </c>
      <c r="D208" s="133"/>
      <c r="E208" s="133"/>
      <c r="F208" s="133"/>
      <c r="G208" s="133"/>
      <c r="H208" s="133"/>
      <c r="I208" s="133"/>
      <c r="J208" s="133"/>
    </row>
    <row r="209" spans="1:10" ht="15">
      <c r="A209" s="91">
        <v>12</v>
      </c>
      <c r="B209" s="92" t="s">
        <v>413</v>
      </c>
      <c r="C209" s="93"/>
      <c r="D209" s="133"/>
      <c r="E209" s="133"/>
      <c r="F209" s="133"/>
      <c r="G209" s="133"/>
      <c r="H209" s="133"/>
      <c r="I209" s="133"/>
      <c r="J209" s="133"/>
    </row>
    <row r="210" spans="1:10" ht="57">
      <c r="A210" s="78" t="s">
        <v>414</v>
      </c>
      <c r="B210" s="84" t="s">
        <v>415</v>
      </c>
      <c r="C210" s="80" t="s">
        <v>36</v>
      </c>
      <c r="D210" s="133"/>
      <c r="E210" s="133"/>
      <c r="F210" s="133"/>
      <c r="G210" s="133"/>
      <c r="H210" s="133"/>
      <c r="I210" s="133"/>
      <c r="J210" s="133"/>
    </row>
    <row r="211" spans="1:10" ht="42.75">
      <c r="A211" s="78" t="s">
        <v>416</v>
      </c>
      <c r="B211" s="84" t="s">
        <v>417</v>
      </c>
      <c r="C211" s="80" t="s">
        <v>36</v>
      </c>
      <c r="D211" s="133"/>
      <c r="E211" s="133"/>
      <c r="F211" s="133"/>
      <c r="G211" s="133"/>
      <c r="H211" s="133"/>
      <c r="I211" s="133"/>
      <c r="J211" s="133"/>
    </row>
    <row r="212" spans="1:10" ht="42.75">
      <c r="A212" s="78" t="s">
        <v>418</v>
      </c>
      <c r="B212" s="84" t="s">
        <v>419</v>
      </c>
      <c r="C212" s="80" t="s">
        <v>36</v>
      </c>
      <c r="D212" s="133"/>
      <c r="E212" s="133"/>
      <c r="F212" s="133"/>
      <c r="G212" s="133"/>
      <c r="H212" s="133"/>
      <c r="I212" s="133"/>
      <c r="J212" s="133"/>
    </row>
    <row r="213" spans="1:10" ht="57">
      <c r="A213" s="78" t="s">
        <v>420</v>
      </c>
      <c r="B213" s="83" t="s">
        <v>421</v>
      </c>
      <c r="C213" s="80" t="s">
        <v>36</v>
      </c>
      <c r="D213" s="133"/>
      <c r="E213" s="133"/>
      <c r="F213" s="133"/>
      <c r="G213" s="133"/>
      <c r="H213" s="133"/>
      <c r="I213" s="133"/>
      <c r="J213" s="133"/>
    </row>
    <row r="214" spans="1:10" ht="42.75">
      <c r="A214" s="78" t="s">
        <v>422</v>
      </c>
      <c r="B214" s="84" t="s">
        <v>473</v>
      </c>
      <c r="C214" s="80" t="s">
        <v>36</v>
      </c>
      <c r="D214" s="133"/>
      <c r="E214" s="133"/>
      <c r="F214" s="133"/>
      <c r="G214" s="133"/>
      <c r="H214" s="133"/>
      <c r="I214" s="133"/>
      <c r="J214" s="133"/>
    </row>
    <row r="215" spans="1:10" ht="42.75">
      <c r="A215" s="78" t="s">
        <v>424</v>
      </c>
      <c r="B215" s="84" t="s">
        <v>425</v>
      </c>
      <c r="C215" s="80" t="s">
        <v>36</v>
      </c>
      <c r="D215" s="133"/>
      <c r="E215" s="133"/>
      <c r="F215" s="133"/>
      <c r="G215" s="133"/>
      <c r="H215" s="133"/>
      <c r="I215" s="133"/>
      <c r="J215" s="133"/>
    </row>
    <row r="216" spans="1:10" ht="15">
      <c r="A216" s="91">
        <v>13</v>
      </c>
      <c r="B216" s="92" t="s">
        <v>426</v>
      </c>
      <c r="C216" s="93"/>
      <c r="D216" s="133"/>
      <c r="E216" s="133"/>
      <c r="F216" s="133"/>
      <c r="G216" s="133"/>
      <c r="H216" s="133"/>
      <c r="I216" s="133"/>
      <c r="J216" s="133"/>
    </row>
    <row r="217" spans="1:10">
      <c r="A217" s="78" t="s">
        <v>427</v>
      </c>
      <c r="B217" s="83" t="s">
        <v>428</v>
      </c>
      <c r="C217" s="80" t="s">
        <v>351</v>
      </c>
      <c r="D217" s="133"/>
      <c r="E217" s="133"/>
      <c r="F217" s="133"/>
      <c r="G217" s="133"/>
      <c r="H217" s="133"/>
      <c r="I217" s="133"/>
      <c r="J217" s="133"/>
    </row>
    <row r="218" spans="1:10">
      <c r="A218" s="78" t="s">
        <v>429</v>
      </c>
      <c r="B218" s="83" t="s">
        <v>430</v>
      </c>
      <c r="C218" s="80" t="s">
        <v>36</v>
      </c>
      <c r="D218" s="133"/>
      <c r="E218" s="133"/>
      <c r="F218" s="133"/>
      <c r="G218" s="133"/>
      <c r="H218" s="133"/>
      <c r="I218" s="133"/>
      <c r="J218" s="133"/>
    </row>
    <row r="219" spans="1:10">
      <c r="A219" s="78" t="s">
        <v>431</v>
      </c>
      <c r="B219" s="83" t="s">
        <v>432</v>
      </c>
      <c r="C219" s="80" t="s">
        <v>27</v>
      </c>
      <c r="D219" s="133"/>
      <c r="E219" s="133"/>
      <c r="F219" s="133"/>
      <c r="G219" s="133"/>
      <c r="H219" s="133"/>
      <c r="I219" s="133"/>
      <c r="J219" s="133"/>
    </row>
    <row r="220" spans="1:10" ht="28.5">
      <c r="A220" s="78" t="s">
        <v>433</v>
      </c>
      <c r="B220" s="83" t="s">
        <v>434</v>
      </c>
      <c r="C220" s="80" t="s">
        <v>435</v>
      </c>
      <c r="D220" s="133"/>
      <c r="E220" s="133"/>
      <c r="F220" s="133"/>
      <c r="G220" s="133"/>
      <c r="H220" s="133"/>
      <c r="I220" s="133"/>
      <c r="J220" s="133"/>
    </row>
    <row r="221" spans="1:10" ht="28.5">
      <c r="A221" s="78" t="s">
        <v>436</v>
      </c>
      <c r="B221" s="83" t="s">
        <v>437</v>
      </c>
      <c r="C221" s="80" t="s">
        <v>438</v>
      </c>
      <c r="D221" s="133"/>
      <c r="E221" s="133"/>
      <c r="F221" s="133"/>
      <c r="G221" s="133"/>
      <c r="H221" s="133"/>
      <c r="I221" s="133"/>
      <c r="J221" s="133"/>
    </row>
    <row r="222" spans="1:10" ht="15">
      <c r="A222" s="91">
        <f>'[1]BM 05'!B229</f>
        <v>14</v>
      </c>
      <c r="B222" s="92" t="str">
        <f>'[1]BM 05'!C229</f>
        <v>ITENS ADITADOS</v>
      </c>
      <c r="C222" s="93"/>
      <c r="D222" s="133"/>
      <c r="E222" s="133"/>
      <c r="F222" s="133"/>
      <c r="G222" s="133"/>
      <c r="H222" s="133"/>
      <c r="I222" s="133"/>
      <c r="J222" s="133"/>
    </row>
    <row r="223" spans="1:10" ht="15">
      <c r="A223" s="111" t="str">
        <f>'[1]BM 05'!B230</f>
        <v>14.1</v>
      </c>
      <c r="B223" s="82" t="str">
        <f>'[1]BM 05'!C230</f>
        <v>MURO DE ENTORNO</v>
      </c>
      <c r="C223" s="112"/>
      <c r="D223" s="150"/>
      <c r="E223" s="150"/>
      <c r="F223" s="150"/>
      <c r="G223" s="150"/>
      <c r="H223" s="150"/>
      <c r="I223" s="150"/>
      <c r="J223" s="150"/>
    </row>
    <row r="224" spans="1:10" ht="57">
      <c r="A224" s="113" t="str">
        <f>'[1]BM 05'!B231</f>
        <v>14.1.1</v>
      </c>
      <c r="B224" s="83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80" t="str">
        <f>'[1]BM 05'!D231</f>
        <v>m²</v>
      </c>
      <c r="D224" s="133"/>
      <c r="E224" s="133"/>
      <c r="F224" s="133"/>
      <c r="G224" s="133"/>
      <c r="H224" s="133"/>
      <c r="I224" s="133"/>
      <c r="J224" s="133"/>
    </row>
    <row r="225" spans="1:12" ht="71.25">
      <c r="A225" s="113" t="str">
        <f>'[1]BM 05'!B232</f>
        <v>14.1.2</v>
      </c>
      <c r="B225" s="83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80" t="str">
        <f>'[1]BM 05'!D232</f>
        <v>m²</v>
      </c>
      <c r="D225" s="135"/>
      <c r="E225" s="135"/>
      <c r="F225" s="135"/>
      <c r="G225" s="135"/>
      <c r="H225" s="135"/>
      <c r="I225" s="135"/>
      <c r="J225" s="135"/>
      <c r="L225" s="5">
        <f>((0.14+0.6)*28.95/2)+((0.6+1.35)*28.95/2)+((0.6+1.35)*34.65/2)+((0.38+0.45)*5.98/2)</f>
        <v>75.20320000000001</v>
      </c>
    </row>
    <row r="226" spans="1:12" ht="28.5">
      <c r="A226" s="113" t="str">
        <f>'[1]BM 05'!B233</f>
        <v>14.1.3</v>
      </c>
      <c r="B226" s="83" t="str">
        <f>'[1]BM 05'!C233</f>
        <v>CHAPISCO EM PAREDE COM ARGAMASSA TRAÇO T1 - 1:3 (CIMENTO / AREIA) - REVISADO 08/2015</v>
      </c>
      <c r="C226" s="80" t="str">
        <f>'[1]BM 05'!D233</f>
        <v>m²</v>
      </c>
      <c r="D226" s="133"/>
      <c r="E226" s="133"/>
      <c r="F226" s="133"/>
      <c r="G226" s="133"/>
      <c r="H226" s="133"/>
      <c r="I226" s="133"/>
      <c r="J226" s="133"/>
    </row>
    <row r="227" spans="1:12" ht="28.5">
      <c r="A227" s="113" t="str">
        <f>'[1]BM 05'!B234</f>
        <v>14.1.4</v>
      </c>
      <c r="B227" s="83" t="str">
        <f>'[1]BM 05'!C234</f>
        <v>REBOCO OU EMBOÇO EXTERNO, DE PAREDE, COM ARGAMASSA TRAÇO T5 - 1:2:8 (CIMENTO / CAL / AREIA), ESPESSURA 2,0 CM</v>
      </c>
      <c r="C227" s="80" t="str">
        <f>'[1]BM 05'!D234</f>
        <v>m²</v>
      </c>
      <c r="D227" s="133"/>
      <c r="E227" s="133"/>
      <c r="F227" s="133"/>
      <c r="G227" s="133"/>
      <c r="H227" s="133"/>
      <c r="I227" s="133"/>
      <c r="J227" s="133"/>
    </row>
    <row r="228" spans="1:12" ht="15">
      <c r="A228" s="111" t="str">
        <f>'[1]BM 05'!B235</f>
        <v>14.2</v>
      </c>
      <c r="B228" s="82" t="str">
        <f>'[1]BM 05'!C235</f>
        <v>INFRAESTRUTURA</v>
      </c>
      <c r="C228" s="114"/>
      <c r="D228" s="150"/>
      <c r="E228" s="150"/>
      <c r="F228" s="150"/>
      <c r="G228" s="150"/>
      <c r="H228" s="150"/>
      <c r="I228" s="150"/>
      <c r="J228" s="150"/>
    </row>
    <row r="229" spans="1:12" ht="71.25">
      <c r="A229" s="113" t="str">
        <f>'[1]BM 05'!B236</f>
        <v>14.2.1</v>
      </c>
      <c r="B229" s="83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80" t="str">
        <f>'[1]BM 05'!D236</f>
        <v>m²</v>
      </c>
      <c r="D229" s="133"/>
      <c r="E229" s="133"/>
      <c r="F229" s="133"/>
      <c r="G229" s="133"/>
      <c r="H229" s="133"/>
      <c r="I229" s="133"/>
      <c r="J229" s="133"/>
    </row>
    <row r="230" spans="1:12" ht="57">
      <c r="A230" s="113" t="str">
        <f>'[1]BM 05'!B237</f>
        <v>14.2.2</v>
      </c>
      <c r="B230" s="83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80" t="str">
        <f>'[1]BM 05'!D237</f>
        <v>m³</v>
      </c>
      <c r="D230" s="135"/>
      <c r="E230" s="135"/>
      <c r="F230" s="135"/>
      <c r="G230" s="135"/>
      <c r="H230" s="135"/>
      <c r="I230" s="135"/>
      <c r="J230" s="135"/>
    </row>
    <row r="231" spans="1:12" ht="15">
      <c r="A231" s="111" t="str">
        <f>'[1]BM 05'!B238</f>
        <v>14.3</v>
      </c>
      <c r="B231" s="82" t="str">
        <f>'[1]BM 05'!C238</f>
        <v>DIVERSOS</v>
      </c>
      <c r="C231" s="114"/>
      <c r="D231" s="150"/>
      <c r="E231" s="150"/>
      <c r="F231" s="150"/>
      <c r="G231" s="150"/>
      <c r="H231" s="150"/>
      <c r="I231" s="150"/>
      <c r="J231" s="150"/>
    </row>
    <row r="232" spans="1:12" ht="28.5">
      <c r="A232" s="113" t="str">
        <f>'[1]BM 05'!B239</f>
        <v>14.3.1</v>
      </c>
      <c r="B232" s="83" t="str">
        <f>'[1]BM 05'!C239</f>
        <v>GRADIL EM ALUMÍNIO FIXADO EM VÃOS DE JANELAS, FORMADO POR TUBOS DE 3/4". AF_04/2019 (JANELAS DA FACHADA LESTE TERREO)</v>
      </c>
      <c r="C232" s="80" t="str">
        <f>'[1]BM 05'!D239</f>
        <v>m²</v>
      </c>
      <c r="D232" s="133"/>
      <c r="E232" s="133"/>
      <c r="F232" s="133"/>
      <c r="G232" s="133"/>
      <c r="H232" s="133"/>
      <c r="I232" s="133"/>
      <c r="J232" s="133"/>
    </row>
    <row r="233" spans="1:12" ht="109.5" customHeight="1">
      <c r="A233" s="113" t="str">
        <f>'[1]BM 05'!B240</f>
        <v>14.3.2</v>
      </c>
      <c r="B233" s="83" t="str">
        <f>'[1]BM 05'!C240</f>
        <v>FORRO EM PLACAS DE GESSO, PARA AMBIENTES RESIDENCIAIS. AF_05/2017_P</v>
      </c>
      <c r="C233" s="80" t="str">
        <f>'[1]BM 05'!D240</f>
        <v>m²</v>
      </c>
      <c r="D233" s="135"/>
      <c r="E233" s="135"/>
      <c r="F233" s="135"/>
      <c r="G233" s="135"/>
      <c r="H233" s="135"/>
      <c r="I233" s="135"/>
      <c r="J233" s="135"/>
    </row>
    <row r="234" spans="1:12" ht="42.75">
      <c r="A234" s="113" t="str">
        <f>'[1]BM 05'!B241</f>
        <v>14.3.3</v>
      </c>
      <c r="B234" s="83" t="str">
        <f>'[1]BM 05'!C241</f>
        <v>Portão de abrir, 2 folhas, com quadro em tubo galvanizado 2", com barra quadrada de 3/4" na vertical e esticador redondo de 3/4", inclusive fechadura e dobradiças</v>
      </c>
      <c r="C234" s="80" t="str">
        <f>'[1]BM 05'!D241</f>
        <v>m²</v>
      </c>
      <c r="D234" s="133"/>
      <c r="E234" s="133"/>
      <c r="F234" s="133"/>
      <c r="G234" s="133"/>
      <c r="H234" s="133"/>
      <c r="I234" s="133"/>
      <c r="J234" s="133"/>
    </row>
  </sheetData>
  <mergeCells count="234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</mergeCells>
  <conditionalFormatting sqref="A222">
    <cfRule type="expression" dxfId="12" priority="4">
      <formula>LEN($B222)=1</formula>
    </cfRule>
  </conditionalFormatting>
  <conditionalFormatting sqref="A4:C76 A77:B77 A78:C221">
    <cfRule type="expression" dxfId="11" priority="5">
      <formula>LEN($B4)=1</formula>
    </cfRule>
  </conditionalFormatting>
  <conditionalFormatting sqref="B222:B234">
    <cfRule type="expression" dxfId="10" priority="1">
      <formula>LEN($B222)=1</formula>
    </cfRule>
  </conditionalFormatting>
  <conditionalFormatting sqref="C222">
    <cfRule type="expression" dxfId="9" priority="3">
      <formula>LEN($B222)=1</formula>
    </cfRule>
  </conditionalFormatting>
  <conditionalFormatting sqref="C224:C234">
    <cfRule type="expression" dxfId="8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7F297-E8A2-4C1D-9D4E-8039FBCA268D}">
  <sheetPr>
    <tabColor theme="5" tint="-0.249977111117893"/>
  </sheetPr>
  <dimension ref="A2:M255"/>
  <sheetViews>
    <sheetView showGridLines="0" tabSelected="1" view="pageBreakPreview" zoomScale="90" zoomScaleNormal="80" zoomScaleSheetLayoutView="80" zoomScalePageLayoutView="80" workbookViewId="0">
      <selection activeCell="E11" sqref="E11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"/>
      <c r="M2" s="2"/>
    </row>
    <row r="3" spans="2:13" s="3" customFormat="1" ht="18">
      <c r="B3" s="127" t="s">
        <v>1</v>
      </c>
      <c r="C3" s="128"/>
      <c r="D3" s="128"/>
      <c r="E3" s="128"/>
      <c r="F3" s="128"/>
      <c r="G3" s="128"/>
      <c r="H3" s="128"/>
      <c r="I3" s="128"/>
      <c r="J3" s="128"/>
      <c r="K3" s="129"/>
      <c r="L3" s="1"/>
      <c r="M3" s="2"/>
    </row>
    <row r="4" spans="2:13" s="5" customFormat="1" ht="15">
      <c r="B4" s="130" t="s">
        <v>2</v>
      </c>
      <c r="C4" s="131"/>
      <c r="D4" s="131" t="s">
        <v>3</v>
      </c>
      <c r="E4" s="131"/>
      <c r="F4" s="131"/>
      <c r="G4" s="131"/>
      <c r="H4" s="131"/>
      <c r="I4" s="131" t="s">
        <v>556</v>
      </c>
      <c r="J4" s="131"/>
      <c r="K4" s="132"/>
      <c r="L4" s="4"/>
    </row>
    <row r="5" spans="2:13" s="5" customFormat="1" ht="15">
      <c r="B5" s="120" t="s">
        <v>5</v>
      </c>
      <c r="C5" s="121"/>
      <c r="D5" s="121" t="s">
        <v>6</v>
      </c>
      <c r="E5" s="121"/>
      <c r="F5" s="121"/>
      <c r="G5" s="121"/>
      <c r="H5" s="121"/>
      <c r="I5" s="121" t="s">
        <v>557</v>
      </c>
      <c r="J5" s="121"/>
      <c r="K5" s="122"/>
      <c r="L5" s="4"/>
    </row>
    <row r="6" spans="2:13" s="5" customFormat="1" ht="15">
      <c r="B6" s="120" t="s">
        <v>8</v>
      </c>
      <c r="C6" s="121"/>
      <c r="D6" s="121" t="s">
        <v>9</v>
      </c>
      <c r="E6" s="121"/>
      <c r="F6" s="121"/>
      <c r="G6" s="121"/>
      <c r="H6" s="121"/>
      <c r="I6" s="121" t="s">
        <v>558</v>
      </c>
      <c r="J6" s="121"/>
      <c r="K6" s="122"/>
      <c r="L6" s="4"/>
    </row>
    <row r="7" spans="2:13" s="5" customFormat="1" ht="15">
      <c r="B7" s="120" t="s">
        <v>11</v>
      </c>
      <c r="C7" s="121"/>
      <c r="D7" s="121" t="s">
        <v>12</v>
      </c>
      <c r="E7" s="121"/>
      <c r="F7" s="121"/>
      <c r="G7" s="121"/>
      <c r="H7" s="121"/>
      <c r="I7" s="6" t="s">
        <v>13</v>
      </c>
      <c r="J7" s="8">
        <f>J242</f>
        <v>116605.1112</v>
      </c>
      <c r="K7" s="7"/>
      <c r="L7" s="4"/>
    </row>
    <row r="8" spans="2:13" s="5" customFormat="1" ht="15">
      <c r="B8" s="120"/>
      <c r="C8" s="121"/>
      <c r="D8" s="123"/>
      <c r="E8" s="123"/>
      <c r="F8" s="123"/>
      <c r="G8" s="123"/>
      <c r="H8" s="123"/>
      <c r="I8" s="124"/>
      <c r="J8" s="124"/>
      <c r="K8" s="125"/>
      <c r="L8" s="4"/>
    </row>
    <row r="9" spans="2:13" s="5" customFormat="1" ht="15.75">
      <c r="B9" s="115" t="s">
        <v>14</v>
      </c>
      <c r="C9" s="115"/>
      <c r="D9" s="115"/>
      <c r="E9" s="115"/>
      <c r="F9" s="115"/>
      <c r="G9" s="115"/>
      <c r="H9" s="115"/>
      <c r="I9" s="115"/>
      <c r="J9" s="115"/>
      <c r="K9" s="115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[4]Planilha!$B$12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22738.183700000001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06'!K5</f>
        <v>0</v>
      </c>
      <c r="H12" s="27">
        <f>G12+'[2]BM 05'!H12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06'!K6</f>
        <v>0</v>
      </c>
      <c r="H13" s="27">
        <f>G13+'[2]BM 05'!H13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06'!K7</f>
        <v>0</v>
      </c>
      <c r="H14" s="27">
        <f>G14+'[2]BM 05'!H14</f>
        <v>48.6</v>
      </c>
      <c r="I14" s="28">
        <f t="shared" si="1"/>
        <v>3456.4199999999996</v>
      </c>
      <c r="J14" s="28">
        <f t="shared" si="0"/>
        <v>0</v>
      </c>
      <c r="K14" s="28">
        <f t="shared" si="0"/>
        <v>2545.1819999999998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06'!K8</f>
        <v>0</v>
      </c>
      <c r="H15" s="27">
        <f>G15+'[2]BM 05'!H15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06'!K9</f>
        <v>0</v>
      </c>
      <c r="H16" s="27">
        <f>G16+'[2]BM 05'!H16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06'!K10</f>
        <v>0</v>
      </c>
      <c r="H17" s="27">
        <f>G17+'[2]BM 05'!H17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06'!K11</f>
        <v>0</v>
      </c>
      <c r="H18" s="27">
        <f>G18+'[2]BM 05'!H18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06'!K12</f>
        <v>0</v>
      </c>
      <c r="H19" s="27">
        <f>G19+'[2]BM 05'!H19</f>
        <v>40</v>
      </c>
      <c r="I19" s="28">
        <f t="shared" si="1"/>
        <v>8473.6</v>
      </c>
      <c r="J19" s="28">
        <f t="shared" si="0"/>
        <v>0</v>
      </c>
      <c r="K19" s="28">
        <f t="shared" si="0"/>
        <v>8473.6</v>
      </c>
      <c r="L19" s="4"/>
    </row>
    <row r="20" spans="2:12" s="5" customFormat="1" ht="15">
      <c r="B20" s="30">
        <v>2</v>
      </c>
      <c r="C20" s="31" t="str">
        <f>[4]Planilha!$B$21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1858.8669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06'!K14</f>
        <v>0</v>
      </c>
      <c r="H21" s="27">
        <f>G21+'[2]BM 05'!H21</f>
        <v>35.21125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1580.2809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06'!K15</f>
        <v>0</v>
      </c>
      <c r="H22" s="27">
        <f>G22+'[2]BM 05'!H22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06'!K16</f>
        <v>0</v>
      </c>
      <c r="H23" s="27">
        <f>G23+'[2]BM 05'!H23</f>
        <v>0</v>
      </c>
      <c r="I23" s="28">
        <f t="shared" si="3"/>
        <v>54.450899999999997</v>
      </c>
      <c r="J23" s="28">
        <f t="shared" si="2"/>
        <v>0</v>
      </c>
      <c r="K23" s="28">
        <f t="shared" si="2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06'!K17</f>
        <v>0</v>
      </c>
      <c r="H24" s="27">
        <f>G24+'[2]BM 05'!H24</f>
        <v>0</v>
      </c>
      <c r="I24" s="28">
        <f t="shared" si="3"/>
        <v>74.711699999999993</v>
      </c>
      <c r="J24" s="28">
        <f t="shared" si="2"/>
        <v>0</v>
      </c>
      <c r="K24" s="28">
        <f t="shared" si="2"/>
        <v>0</v>
      </c>
      <c r="L24" s="4"/>
    </row>
    <row r="25" spans="2:12" s="5" customFormat="1" ht="15">
      <c r="B25" s="30">
        <v>3</v>
      </c>
      <c r="C25" s="31" t="str">
        <f>[4]Planilha!$B$26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SUBTOTAL(9,J26:J31)</f>
        <v>44965.443100000004</v>
      </c>
      <c r="K25" s="34">
        <f>SUBTOTAL(9,K26:K31)</f>
        <v>44965.443100000004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06'!K19</f>
        <v>286.94</v>
      </c>
      <c r="H26" s="27">
        <f>G26+'[2]BM 05'!H26</f>
        <v>286.94</v>
      </c>
      <c r="I26" s="28">
        <f>$E26*F26</f>
        <v>26478.823199999999</v>
      </c>
      <c r="J26" s="28">
        <f t="shared" ref="J26:K31" si="4">$E26*G26</f>
        <v>26478.823199999999</v>
      </c>
      <c r="K26" s="28">
        <f t="shared" si="4"/>
        <v>26478.823199999999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06'!K20</f>
        <v>286.94</v>
      </c>
      <c r="H27" s="27">
        <f>G27+'[2]BM 05'!H27</f>
        <v>286.94</v>
      </c>
      <c r="I27" s="28">
        <f t="shared" ref="I27:I31" si="5">$E27*F27</f>
        <v>10530.698</v>
      </c>
      <c r="J27" s="28">
        <f t="shared" si="4"/>
        <v>10530.698</v>
      </c>
      <c r="K27" s="28">
        <f t="shared" si="4"/>
        <v>10530.698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06'!K21</f>
        <v>0</v>
      </c>
      <c r="H28" s="27">
        <f>G28+'[2]BM 05'!H28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06'!K22</f>
        <v>26.83</v>
      </c>
      <c r="H29" s="27">
        <f>G29+'[2]BM 05'!H29</f>
        <v>26.83</v>
      </c>
      <c r="I29" s="28">
        <f t="shared" si="5"/>
        <v>548.13689999999997</v>
      </c>
      <c r="J29" s="28">
        <f t="shared" si="4"/>
        <v>548.13689999999997</v>
      </c>
      <c r="K29" s="28">
        <f t="shared" si="4"/>
        <v>548.13689999999997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06'!K23</f>
        <v>0</v>
      </c>
      <c r="H30" s="27">
        <f>G30+'[2]BM 05'!H30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06'!K24</f>
        <v>298.10000000000002</v>
      </c>
      <c r="H31" s="27">
        <f>G31+'[2]BM 05'!H31</f>
        <v>298.10000000000002</v>
      </c>
      <c r="I31" s="28">
        <f t="shared" si="5"/>
        <v>7407.7850000000008</v>
      </c>
      <c r="J31" s="28">
        <f t="shared" si="4"/>
        <v>7407.7850000000008</v>
      </c>
      <c r="K31" s="28">
        <f t="shared" si="4"/>
        <v>7407.7850000000008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 t="shared" ref="K32" si="6">SUM(K33+K39)</f>
        <v>101327.1941125</v>
      </c>
      <c r="L32" s="4"/>
    </row>
    <row r="33" spans="2:12" s="43" customFormat="1" ht="15">
      <c r="B33" s="36" t="s">
        <v>66</v>
      </c>
      <c r="C33" s="37" t="str">
        <f>[4]Planilha!$B$34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7">SUM(J34:J38)</f>
        <v>0</v>
      </c>
      <c r="K33" s="41">
        <f t="shared" si="7"/>
        <v>32488.182612500001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06'!K27</f>
        <v>0</v>
      </c>
      <c r="H34" s="27">
        <f>G34+'[2]BM 05'!H34</f>
        <v>2.07125</v>
      </c>
      <c r="I34" s="28">
        <f t="shared" ref="I34:K38" si="8">$E34*F34</f>
        <v>209.00789999999998</v>
      </c>
      <c r="J34" s="28">
        <f t="shared" si="8"/>
        <v>0</v>
      </c>
      <c r="K34" s="28">
        <f t="shared" si="8"/>
        <v>209.13411250000001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06'!K28</f>
        <v>0</v>
      </c>
      <c r="H35" s="27">
        <f>G35+'[2]BM 05'!H35</f>
        <v>212.53</v>
      </c>
      <c r="I35" s="28">
        <f t="shared" si="8"/>
        <v>6110.2375000000002</v>
      </c>
      <c r="J35" s="28">
        <f t="shared" si="8"/>
        <v>0</v>
      </c>
      <c r="K35" s="28">
        <f t="shared" si="8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06'!K29</f>
        <v>0</v>
      </c>
      <c r="H36" s="27">
        <f>G36+'[2]BM 05'!H36</f>
        <v>1114.3</v>
      </c>
      <c r="I36" s="28">
        <f t="shared" si="8"/>
        <v>14017.894</v>
      </c>
      <c r="J36" s="28">
        <f t="shared" si="8"/>
        <v>0</v>
      </c>
      <c r="K36" s="28">
        <f t="shared" si="8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06'!K30</f>
        <v>0</v>
      </c>
      <c r="H37" s="27">
        <f>G37+'[2]BM 05'!H37</f>
        <v>225.7</v>
      </c>
      <c r="I37" s="28">
        <f t="shared" si="8"/>
        <v>1762.7169999999999</v>
      </c>
      <c r="J37" s="28">
        <f t="shared" si="8"/>
        <v>0</v>
      </c>
      <c r="K37" s="28">
        <f t="shared" si="8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06'!K31</f>
        <v>0</v>
      </c>
      <c r="H38" s="27">
        <f>G38+'[2]BM 05'!H38</f>
        <v>20</v>
      </c>
      <c r="I38" s="28">
        <f t="shared" si="8"/>
        <v>10388.199999999999</v>
      </c>
      <c r="J38" s="28">
        <f t="shared" si="8"/>
        <v>0</v>
      </c>
      <c r="K38" s="28">
        <f t="shared" si="8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9">SUM(J40:J47)</f>
        <v>0</v>
      </c>
      <c r="K39" s="41">
        <f t="shared" si="9"/>
        <v>68839.011500000008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06'!K33</f>
        <v>0</v>
      </c>
      <c r="H40" s="27">
        <f>G40+'[2]BM 05'!H40</f>
        <v>324.26</v>
      </c>
      <c r="I40" s="28">
        <f t="shared" ref="I40:K47" si="10">$E40*F40</f>
        <v>11300.460999999999</v>
      </c>
      <c r="J40" s="28">
        <f t="shared" si="10"/>
        <v>0</v>
      </c>
      <c r="K40" s="28">
        <f t="shared" si="10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06'!K34</f>
        <v>0</v>
      </c>
      <c r="H41" s="27">
        <f>G41+'[2]BM 05'!H41</f>
        <v>1569.8000000000002</v>
      </c>
      <c r="I41" s="28">
        <f t="shared" si="10"/>
        <v>19748.083999999999</v>
      </c>
      <c r="J41" s="28">
        <f t="shared" si="10"/>
        <v>0</v>
      </c>
      <c r="K41" s="28">
        <f t="shared" si="10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06'!K35</f>
        <v>0</v>
      </c>
      <c r="H42" s="27">
        <f>G42+'[2]BM 05'!H42</f>
        <v>379.5</v>
      </c>
      <c r="I42" s="28">
        <f t="shared" si="10"/>
        <v>2963.895</v>
      </c>
      <c r="J42" s="28">
        <f t="shared" si="10"/>
        <v>0</v>
      </c>
      <c r="K42" s="28">
        <f t="shared" si="10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06'!K36</f>
        <v>0</v>
      </c>
      <c r="H43" s="27">
        <f>G43+'[2]BM 05'!H43</f>
        <v>18.189999999999998</v>
      </c>
      <c r="I43" s="28">
        <f t="shared" si="10"/>
        <v>6276.2776000000013</v>
      </c>
      <c r="J43" s="28">
        <f t="shared" si="10"/>
        <v>0</v>
      </c>
      <c r="K43" s="28">
        <f t="shared" si="10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06'!K37</f>
        <v>0</v>
      </c>
      <c r="H44" s="27">
        <f>G44+'[2]BM 05'!H44</f>
        <v>18.189999999999998</v>
      </c>
      <c r="I44" s="28">
        <f t="shared" si="10"/>
        <v>2396.8963000000003</v>
      </c>
      <c r="J44" s="28">
        <f t="shared" si="10"/>
        <v>0</v>
      </c>
      <c r="K44" s="28">
        <f t="shared" si="10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06'!K38</f>
        <v>0</v>
      </c>
      <c r="H45" s="27">
        <f>G45+'[2]BM 05'!H45</f>
        <v>276.43</v>
      </c>
      <c r="I45" s="28">
        <f t="shared" si="10"/>
        <v>23502.078600000001</v>
      </c>
      <c r="J45" s="28">
        <f t="shared" si="10"/>
        <v>0</v>
      </c>
      <c r="K45" s="28">
        <f t="shared" si="10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06'!K39</f>
        <v>0</v>
      </c>
      <c r="H46" s="27">
        <f>G46+'[2]BM 05'!H46</f>
        <v>0</v>
      </c>
      <c r="I46" s="28">
        <f t="shared" si="10"/>
        <v>2541.8910000000001</v>
      </c>
      <c r="J46" s="28">
        <f t="shared" si="10"/>
        <v>0</v>
      </c>
      <c r="K46" s="28">
        <f t="shared" si="10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06'!K40</f>
        <v>0</v>
      </c>
      <c r="H47" s="27">
        <f>G47+'[2]BM 05'!H47</f>
        <v>124.3</v>
      </c>
      <c r="I47" s="28">
        <f t="shared" si="10"/>
        <v>3246.4259999999995</v>
      </c>
      <c r="J47" s="28">
        <f t="shared" si="10"/>
        <v>0</v>
      </c>
      <c r="K47" s="28">
        <f t="shared" si="10"/>
        <v>2651.3189999999995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 t="shared" ref="J48:K48" si="11">J49+J51</f>
        <v>0</v>
      </c>
      <c r="K48" s="34">
        <f t="shared" si="11"/>
        <v>40263.294400000006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06'!K42</f>
        <v>0</v>
      </c>
      <c r="H49" s="27">
        <f>G49+'[2]BM 05'!H49</f>
        <v>678.29000000000008</v>
      </c>
      <c r="I49" s="28">
        <f>$E49*F49</f>
        <v>46948.417600000001</v>
      </c>
      <c r="J49" s="28">
        <f t="shared" ref="J49:K51" si="12">$E49*G49</f>
        <v>0</v>
      </c>
      <c r="K49" s="28">
        <f>$E49*H49</f>
        <v>40263.294400000006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06'!K44</f>
        <v>0</v>
      </c>
      <c r="H51" s="27">
        <f>G51+'[2]BM 05'!H51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0</v>
      </c>
      <c r="K52" s="34">
        <f t="shared" si="15"/>
        <v>1229.904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06'!K46</f>
        <v>0</v>
      </c>
      <c r="H53" s="27">
        <f>G53+'[2]BM 05'!H53</f>
        <v>142.35</v>
      </c>
      <c r="I53" s="28">
        <f>$E53*F53</f>
        <v>1229.904</v>
      </c>
      <c r="J53" s="28">
        <f t="shared" ref="J53:K55" si="16">$E53*G53</f>
        <v>0</v>
      </c>
      <c r="K53" s="28">
        <f t="shared" si="16"/>
        <v>1229.904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06'!K47</f>
        <v>0</v>
      </c>
      <c r="H54" s="27">
        <f>G54+'[2]BM 05'!H54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06'!K48</f>
        <v>0</v>
      </c>
      <c r="H55" s="27">
        <f>G55+'[2]BM 05'!H55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 t="shared" ref="J56:K56" si="18">J57+J68+J77+J84</f>
        <v>30339.198099999998</v>
      </c>
      <c r="K56" s="34">
        <f t="shared" si="18"/>
        <v>75278.449299999993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 t="shared" ref="J57:K57" si="19">SUM(J58:J67)</f>
        <v>30339.198099999998</v>
      </c>
      <c r="K57" s="41">
        <f t="shared" si="19"/>
        <v>39314.803099999997</v>
      </c>
      <c r="L57" s="4"/>
    </row>
    <row r="58" spans="2:12" s="5" customFormat="1" ht="24">
      <c r="B58" s="50" t="s">
        <v>110</v>
      </c>
      <c r="C58" s="29" t="s">
        <v>454</v>
      </c>
      <c r="D58" s="23" t="s">
        <v>27</v>
      </c>
      <c r="E58" s="35">
        <v>38.299999999999997</v>
      </c>
      <c r="F58" s="25">
        <v>234.35</v>
      </c>
      <c r="G58" s="26">
        <f>'[2]Memória 06'!K51</f>
        <v>0</v>
      </c>
      <c r="H58" s="27">
        <f>G58+'[2]BM 05'!H58</f>
        <v>234.35</v>
      </c>
      <c r="I58" s="28">
        <f t="shared" ref="I58:K67" si="20">$E58*F58</f>
        <v>8975.6049999999996</v>
      </c>
      <c r="J58" s="28">
        <f t="shared" si="20"/>
        <v>0</v>
      </c>
      <c r="K58" s="28">
        <f t="shared" si="20"/>
        <v>8975.6049999999996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06'!K52</f>
        <v>256.24</v>
      </c>
      <c r="H59" s="27">
        <f>G59+'[2]BM 05'!H59</f>
        <v>256.24</v>
      </c>
      <c r="I59" s="28">
        <f t="shared" si="20"/>
        <v>4586.6959999999999</v>
      </c>
      <c r="J59" s="28">
        <f t="shared" si="20"/>
        <v>4586.6959999999999</v>
      </c>
      <c r="K59" s="28">
        <f t="shared" si="20"/>
        <v>4586.6959999999999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06'!K53</f>
        <v>103.31</v>
      </c>
      <c r="H60" s="27">
        <f>G60+'[2]BM 05'!H60</f>
        <v>103.31</v>
      </c>
      <c r="I60" s="28">
        <f t="shared" si="20"/>
        <v>7814.9655000000002</v>
      </c>
      <c r="J60" s="28">
        <f t="shared" si="20"/>
        <v>3771.8480999999997</v>
      </c>
      <c r="K60" s="28">
        <f t="shared" si="20"/>
        <v>3771.8480999999997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06'!K54</f>
        <v>0</v>
      </c>
      <c r="H61" s="27">
        <f>G61+'[2]BM 05'!H61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06'!K55</f>
        <v>0</v>
      </c>
      <c r="H62" s="27">
        <f>G62+'[2]BM 05'!H62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06'!K56</f>
        <v>0</v>
      </c>
      <c r="H63" s="27">
        <f>G63+'[2]BM 05'!H63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06'!K57</f>
        <v>0</v>
      </c>
      <c r="H64" s="27">
        <f>G64+'[2]BM 05'!H64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06'!K58</f>
        <v>234.35</v>
      </c>
      <c r="H65" s="27">
        <f>G65+'[2]BM 05'!H65</f>
        <v>234.35</v>
      </c>
      <c r="I65" s="28">
        <f t="shared" si="20"/>
        <v>18663.633999999998</v>
      </c>
      <c r="J65" s="28">
        <f t="shared" si="20"/>
        <v>18663.633999999998</v>
      </c>
      <c r="K65" s="28">
        <f t="shared" si="20"/>
        <v>18663.633999999998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06'!K59</f>
        <v>204.25</v>
      </c>
      <c r="H66" s="27">
        <f>G66+'[2]BM 05'!H66</f>
        <v>204.25</v>
      </c>
      <c r="I66" s="28">
        <f t="shared" si="20"/>
        <v>3317.0199999999995</v>
      </c>
      <c r="J66" s="28">
        <f t="shared" si="20"/>
        <v>3317.0199999999995</v>
      </c>
      <c r="K66" s="28">
        <f t="shared" si="20"/>
        <v>3317.0199999999995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06'!K60</f>
        <v>0</v>
      </c>
      <c r="H67" s="27">
        <f>G67+'[2]BM 05'!H67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0</v>
      </c>
      <c r="K68" s="41">
        <f t="shared" si="21"/>
        <v>35963.646199999996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06'!K62</f>
        <v>0</v>
      </c>
      <c r="H69" s="27">
        <f>G69+'[2]BM 05'!H69</f>
        <v>678.77</v>
      </c>
      <c r="I69" s="28">
        <f t="shared" ref="I69:K76" si="22">$E69*F69</f>
        <v>3061.2526999999995</v>
      </c>
      <c r="J69" s="28">
        <f t="shared" si="22"/>
        <v>0</v>
      </c>
      <c r="K69" s="28">
        <f t="shared" si="22"/>
        <v>3061.2526999999995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06'!K63</f>
        <v>0</v>
      </c>
      <c r="H70" s="27">
        <f>G70+'[2]BM 05'!H70</f>
        <v>677.81</v>
      </c>
      <c r="I70" s="28">
        <f t="shared" si="22"/>
        <v>2724.0911999999998</v>
      </c>
      <c r="J70" s="28">
        <f t="shared" si="22"/>
        <v>0</v>
      </c>
      <c r="K70" s="28">
        <f t="shared" si="22"/>
        <v>2053.7642999999998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06'!K64</f>
        <v>0</v>
      </c>
      <c r="H71" s="27">
        <f>G71+'[2]BM 05'!H71</f>
        <v>1356.58</v>
      </c>
      <c r="I71" s="28">
        <f t="shared" si="22"/>
        <v>35879.399399999995</v>
      </c>
      <c r="J71" s="28">
        <f t="shared" si="22"/>
        <v>0</v>
      </c>
      <c r="K71" s="28">
        <f t="shared" si="22"/>
        <v>30848.629199999996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06'!K65</f>
        <v>0</v>
      </c>
      <c r="H72" s="27">
        <f>G72+'[2]BM 05'!H72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06'!K66</f>
        <v>0</v>
      </c>
      <c r="H73" s="27">
        <f>G73+'[2]BM 05'!H73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06'!K67</f>
        <v>0</v>
      </c>
      <c r="H74" s="27">
        <f>G74+'[2]BM 05'!H74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06'!K68</f>
        <v>0</v>
      </c>
      <c r="H75" s="27">
        <f>G75+'[2]BM 05'!H75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06'!K69</f>
        <v>0</v>
      </c>
      <c r="H76" s="27">
        <f>G76+'[2]BM 05'!H76</f>
        <v>0</v>
      </c>
      <c r="I76" s="28">
        <f t="shared" si="22"/>
        <v>11697.7035</v>
      </c>
      <c r="J76" s="28">
        <f t="shared" si="22"/>
        <v>0</v>
      </c>
      <c r="K76" s="28">
        <f t="shared" si="22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SUM(J78:J83)</f>
        <v>0</v>
      </c>
      <c r="K77" s="41">
        <f t="shared" ref="K77" si="23">SUM(K78:K83)</f>
        <v>0</v>
      </c>
      <c r="L77" s="4"/>
    </row>
    <row r="78" spans="2:12" s="5" customFormat="1" ht="24">
      <c r="B78" s="103" t="s">
        <v>150</v>
      </c>
      <c r="C78" s="104" t="s">
        <v>151</v>
      </c>
      <c r="D78" s="105" t="s">
        <v>27</v>
      </c>
      <c r="E78" s="106">
        <v>8.5500000000000007</v>
      </c>
      <c r="F78" s="107">
        <v>0</v>
      </c>
      <c r="G78" s="26">
        <f>'[2]Memória 06'!K71</f>
        <v>0</v>
      </c>
      <c r="H78" s="27">
        <f>G78+'[2]BM 05'!H78</f>
        <v>0</v>
      </c>
      <c r="I78" s="108">
        <f t="shared" ref="I78:K83" si="24">$E78*F78</f>
        <v>0</v>
      </c>
      <c r="J78" s="108">
        <f t="shared" si="24"/>
        <v>0</v>
      </c>
      <c r="K78" s="108">
        <f t="shared" si="24"/>
        <v>0</v>
      </c>
      <c r="L78" s="4"/>
    </row>
    <row r="79" spans="2:12" s="5" customFormat="1" ht="24">
      <c r="B79" s="103" t="s">
        <v>152</v>
      </c>
      <c r="C79" s="104" t="s">
        <v>153</v>
      </c>
      <c r="D79" s="105" t="s">
        <v>27</v>
      </c>
      <c r="E79" s="106">
        <v>23.26</v>
      </c>
      <c r="F79" s="107">
        <v>0</v>
      </c>
      <c r="G79" s="26">
        <f>'[2]Memória 06'!K72</f>
        <v>0</v>
      </c>
      <c r="H79" s="27">
        <f>G79+'[2]BM 05'!H79</f>
        <v>0</v>
      </c>
      <c r="I79" s="108">
        <f t="shared" si="24"/>
        <v>0</v>
      </c>
      <c r="J79" s="108">
        <f t="shared" si="24"/>
        <v>0</v>
      </c>
      <c r="K79" s="108">
        <f t="shared" si="2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06'!K73</f>
        <v>0</v>
      </c>
      <c r="H80" s="27">
        <f>G80+'[2]BM 05'!H80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06'!K74</f>
        <v>0</v>
      </c>
      <c r="H81" s="27">
        <f>G81+'[2]BM 05'!H81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06'!K75</f>
        <v>0</v>
      </c>
      <c r="H82" s="27">
        <f>G82+'[2]BM 05'!H82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06'!K76</f>
        <v>0</v>
      </c>
      <c r="H83" s="27">
        <f>G83+'[2]BM 05'!H83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>
      <c r="B84" s="36" t="s">
        <v>160</v>
      </c>
      <c r="C84" s="116" t="s">
        <v>161</v>
      </c>
      <c r="D84" s="116"/>
      <c r="E84" s="46"/>
      <c r="F84" s="46"/>
      <c r="G84" s="46"/>
      <c r="H84" s="46"/>
      <c r="I84" s="41">
        <f>I85</f>
        <v>656.98199999999997</v>
      </c>
      <c r="J84" s="41">
        <f t="shared" ref="J84:K84" si="25">J85</f>
        <v>0</v>
      </c>
      <c r="K84" s="41">
        <f t="shared" si="25"/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06'!K78</f>
        <v>0</v>
      </c>
      <c r="H85" s="27">
        <f>G85+'[2]BM 05'!H85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6">J87+J96+J101</f>
        <v>0</v>
      </c>
      <c r="K86" s="34">
        <f t="shared" si="26"/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7">SUM(J88:J95)</f>
        <v>0</v>
      </c>
      <c r="K87" s="41">
        <f t="shared" si="27"/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06'!K81</f>
        <v>0</v>
      </c>
      <c r="H88" s="27">
        <f>G88+'[2]BM 05'!H88</f>
        <v>0</v>
      </c>
      <c r="I88" s="28">
        <f t="shared" ref="I88:K95" si="28">$E88*F88</f>
        <v>3442.74</v>
      </c>
      <c r="J88" s="28">
        <f t="shared" si="28"/>
        <v>0</v>
      </c>
      <c r="K88" s="28">
        <f t="shared" si="28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06'!K82</f>
        <v>0</v>
      </c>
      <c r="H89" s="27">
        <f>G89+'[2]BM 05'!H89</f>
        <v>0</v>
      </c>
      <c r="I89" s="28">
        <f t="shared" si="28"/>
        <v>7354.2000000000007</v>
      </c>
      <c r="J89" s="28">
        <f t="shared" si="28"/>
        <v>0</v>
      </c>
      <c r="K89" s="28">
        <f t="shared" si="28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06'!K83</f>
        <v>0</v>
      </c>
      <c r="H90" s="27">
        <f>G90+'[2]BM 05'!H90</f>
        <v>0</v>
      </c>
      <c r="I90" s="28">
        <f t="shared" si="28"/>
        <v>741.28</v>
      </c>
      <c r="J90" s="28">
        <f t="shared" si="28"/>
        <v>0</v>
      </c>
      <c r="K90" s="28">
        <f t="shared" si="28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06'!K84</f>
        <v>0</v>
      </c>
      <c r="H91" s="27">
        <f>G91+'[2]BM 05'!H91</f>
        <v>0</v>
      </c>
      <c r="I91" s="28">
        <f t="shared" si="28"/>
        <v>1386.43</v>
      </c>
      <c r="J91" s="28">
        <f t="shared" si="28"/>
        <v>0</v>
      </c>
      <c r="K91" s="28">
        <f t="shared" si="28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06'!K85</f>
        <v>0</v>
      </c>
      <c r="H92" s="27">
        <f>G92+'[2]BM 05'!H92</f>
        <v>0</v>
      </c>
      <c r="I92" s="28">
        <f t="shared" si="28"/>
        <v>374.34</v>
      </c>
      <c r="J92" s="28">
        <f t="shared" si="28"/>
        <v>0</v>
      </c>
      <c r="K92" s="28">
        <f t="shared" si="28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06'!K86</f>
        <v>0</v>
      </c>
      <c r="H93" s="27">
        <f>G93+'[2]BM 05'!H93</f>
        <v>0</v>
      </c>
      <c r="I93" s="28">
        <f t="shared" si="28"/>
        <v>474.3</v>
      </c>
      <c r="J93" s="28">
        <f t="shared" si="28"/>
        <v>0</v>
      </c>
      <c r="K93" s="28">
        <f t="shared" si="28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06'!K87</f>
        <v>0</v>
      </c>
      <c r="H94" s="27">
        <f>G94+'[2]BM 05'!H94</f>
        <v>0</v>
      </c>
      <c r="I94" s="28">
        <f t="shared" si="28"/>
        <v>551.98</v>
      </c>
      <c r="J94" s="28">
        <f t="shared" si="28"/>
        <v>0</v>
      </c>
      <c r="K94" s="28">
        <f t="shared" si="28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06'!K88</f>
        <v>0</v>
      </c>
      <c r="H95" s="27">
        <f>G95+'[2]BM 05'!H95</f>
        <v>0</v>
      </c>
      <c r="I95" s="28">
        <f t="shared" si="28"/>
        <v>2253.069</v>
      </c>
      <c r="J95" s="28">
        <f t="shared" si="28"/>
        <v>0</v>
      </c>
      <c r="K95" s="28">
        <f t="shared" si="28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9">SUM(J97:J100)</f>
        <v>0</v>
      </c>
      <c r="K96" s="41">
        <f t="shared" si="29"/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06'!K90</f>
        <v>0</v>
      </c>
      <c r="H97" s="27">
        <f>G97+'[2]BM 05'!H97</f>
        <v>0</v>
      </c>
      <c r="I97" s="28">
        <f t="shared" ref="I97:K100" si="30">$E97*F97</f>
        <v>18004.346000000001</v>
      </c>
      <c r="J97" s="28">
        <f t="shared" si="30"/>
        <v>0</v>
      </c>
      <c r="K97" s="28">
        <f t="shared" si="30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06'!K91</f>
        <v>0</v>
      </c>
      <c r="H98" s="27">
        <f>G98+'[2]BM 05'!H98</f>
        <v>0</v>
      </c>
      <c r="I98" s="28">
        <f t="shared" si="30"/>
        <v>473.39200000000005</v>
      </c>
      <c r="J98" s="28">
        <f t="shared" si="30"/>
        <v>0</v>
      </c>
      <c r="K98" s="28">
        <f t="shared" si="30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06'!K92</f>
        <v>0</v>
      </c>
      <c r="H99" s="27">
        <f>G99+'[2]BM 05'!H99</f>
        <v>0</v>
      </c>
      <c r="I99" s="28">
        <f t="shared" si="30"/>
        <v>10536.165199999999</v>
      </c>
      <c r="J99" s="28">
        <f t="shared" si="30"/>
        <v>0</v>
      </c>
      <c r="K99" s="28">
        <f t="shared" si="30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06'!K93</f>
        <v>0</v>
      </c>
      <c r="H100" s="27">
        <f>G100+'[2]BM 05'!H100</f>
        <v>0</v>
      </c>
      <c r="I100" s="28">
        <f t="shared" si="30"/>
        <v>149.44999999999999</v>
      </c>
      <c r="J100" s="28">
        <f t="shared" si="30"/>
        <v>0</v>
      </c>
      <c r="K100" s="28">
        <f t="shared" si="30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26">
        <f>'[2]Memória 06'!K94</f>
        <v>0</v>
      </c>
      <c r="H101" s="27">
        <f>G101+'[2]BM 05'!H101</f>
        <v>0</v>
      </c>
      <c r="I101" s="41">
        <f>SUM(I102:I104)</f>
        <v>11249.575199999999</v>
      </c>
      <c r="J101" s="41">
        <f t="shared" ref="J101:K101" si="31">SUM(J102:J104)</f>
        <v>0</v>
      </c>
      <c r="K101" s="41">
        <f t="shared" si="31"/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06'!K95</f>
        <v>0</v>
      </c>
      <c r="H102" s="27">
        <f>G102+'[2]BM 05'!H102</f>
        <v>0</v>
      </c>
      <c r="I102" s="28">
        <f t="shared" ref="I102:K104" si="32">$E102*F102</f>
        <v>6197.4107999999997</v>
      </c>
      <c r="J102" s="28">
        <f t="shared" si="32"/>
        <v>0</v>
      </c>
      <c r="K102" s="28">
        <f t="shared" si="32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06'!K96</f>
        <v>0</v>
      </c>
      <c r="H103" s="27">
        <f>G103+'[2]BM 05'!H103</f>
        <v>0</v>
      </c>
      <c r="I103" s="28">
        <f t="shared" si="32"/>
        <v>3777.5155999999997</v>
      </c>
      <c r="J103" s="28">
        <f t="shared" si="32"/>
        <v>0</v>
      </c>
      <c r="K103" s="28">
        <f t="shared" si="32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06'!K97</f>
        <v>0</v>
      </c>
      <c r="H104" s="27">
        <f>G104+'[2]BM 05'!H104</f>
        <v>0</v>
      </c>
      <c r="I104" s="28">
        <f t="shared" si="32"/>
        <v>1274.6487999999999</v>
      </c>
      <c r="J104" s="28">
        <f t="shared" si="32"/>
        <v>0</v>
      </c>
      <c r="K104" s="28">
        <f t="shared" si="32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3">J106+J108+J130+J135+J143</f>
        <v>28034.43</v>
      </c>
      <c r="K105" s="34">
        <f t="shared" si="33"/>
        <v>28034.43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 t="shared" ref="J106:K106" si="34">J107</f>
        <v>1687.24</v>
      </c>
      <c r="K106" s="41">
        <f t="shared" si="34"/>
        <v>1687.24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06'!K100</f>
        <v>1</v>
      </c>
      <c r="H107" s="27">
        <f>G107+'[2]BM 05'!H107</f>
        <v>1</v>
      </c>
      <c r="I107" s="28">
        <f t="shared" ref="I107:K107" si="35">$E107*F107</f>
        <v>1687.24</v>
      </c>
      <c r="J107" s="28">
        <f t="shared" si="35"/>
        <v>1687.24</v>
      </c>
      <c r="K107" s="28">
        <f t="shared" si="35"/>
        <v>1687.24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6">SUM(J109:J129)</f>
        <v>25760</v>
      </c>
      <c r="K108" s="41">
        <f t="shared" si="36"/>
        <v>25760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06'!K102</f>
        <v>0</v>
      </c>
      <c r="H109" s="27">
        <f>G109+'[2]BM 05'!H109</f>
        <v>0</v>
      </c>
      <c r="I109" s="28">
        <f t="shared" ref="I109:K124" si="37">$E109*F109</f>
        <v>4015.61</v>
      </c>
      <c r="J109" s="28">
        <f t="shared" si="37"/>
        <v>0</v>
      </c>
      <c r="K109" s="28">
        <f t="shared" si="37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06'!K103</f>
        <v>0</v>
      </c>
      <c r="H110" s="27">
        <f>G110+'[2]BM 05'!H110</f>
        <v>0</v>
      </c>
      <c r="I110" s="28">
        <f t="shared" si="37"/>
        <v>616</v>
      </c>
      <c r="J110" s="28">
        <f t="shared" si="37"/>
        <v>0</v>
      </c>
      <c r="K110" s="28">
        <f t="shared" si="37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06'!K104</f>
        <v>0</v>
      </c>
      <c r="H111" s="27">
        <f>G111+'[2]BM 05'!H111</f>
        <v>0</v>
      </c>
      <c r="I111" s="28">
        <f t="shared" si="37"/>
        <v>1205.28</v>
      </c>
      <c r="J111" s="28">
        <f t="shared" si="37"/>
        <v>0</v>
      </c>
      <c r="K111" s="28">
        <f t="shared" si="37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06'!K105</f>
        <v>0</v>
      </c>
      <c r="H112" s="27">
        <f>G112+'[2]BM 05'!H112</f>
        <v>0</v>
      </c>
      <c r="I112" s="28">
        <f t="shared" si="37"/>
        <v>632.93999999999994</v>
      </c>
      <c r="J112" s="28">
        <f t="shared" si="37"/>
        <v>0</v>
      </c>
      <c r="K112" s="28">
        <f t="shared" si="37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06'!K106</f>
        <v>0</v>
      </c>
      <c r="H113" s="27">
        <f>G113+'[2]BM 05'!H113</f>
        <v>0</v>
      </c>
      <c r="I113" s="28">
        <f t="shared" si="37"/>
        <v>240.86</v>
      </c>
      <c r="J113" s="28">
        <f t="shared" si="37"/>
        <v>0</v>
      </c>
      <c r="K113" s="28">
        <f t="shared" si="37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06'!K107</f>
        <v>0</v>
      </c>
      <c r="H114" s="27">
        <f>G114+'[2]BM 05'!H114</f>
        <v>0</v>
      </c>
      <c r="I114" s="28">
        <f t="shared" si="37"/>
        <v>61.56</v>
      </c>
      <c r="J114" s="28">
        <f t="shared" si="37"/>
        <v>0</v>
      </c>
      <c r="K114" s="28">
        <f t="shared" si="37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06'!K108</f>
        <v>68</v>
      </c>
      <c r="H115" s="27">
        <f>G115+'[2]BM 05'!H115</f>
        <v>68</v>
      </c>
      <c r="I115" s="28">
        <f t="shared" si="37"/>
        <v>12512</v>
      </c>
      <c r="J115" s="28">
        <f t="shared" si="37"/>
        <v>12512</v>
      </c>
      <c r="K115" s="28">
        <f t="shared" si="37"/>
        <v>12512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06'!K109</f>
        <v>0</v>
      </c>
      <c r="H116" s="27">
        <f>G116+'[2]BM 05'!H116</f>
        <v>0</v>
      </c>
      <c r="I116" s="28">
        <f t="shared" si="37"/>
        <v>2.96</v>
      </c>
      <c r="J116" s="28">
        <f t="shared" si="37"/>
        <v>0</v>
      </c>
      <c r="K116" s="28">
        <f t="shared" si="37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06'!K110</f>
        <v>0</v>
      </c>
      <c r="H117" s="27">
        <f>G117+'[2]BM 05'!H117</f>
        <v>0</v>
      </c>
      <c r="I117" s="28">
        <f t="shared" si="37"/>
        <v>738.72</v>
      </c>
      <c r="J117" s="28">
        <f t="shared" si="37"/>
        <v>0</v>
      </c>
      <c r="K117" s="28">
        <f t="shared" si="37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06'!K111</f>
        <v>0</v>
      </c>
      <c r="H118" s="27">
        <f>G118+'[2]BM 05'!H118</f>
        <v>0</v>
      </c>
      <c r="I118" s="28">
        <f t="shared" si="37"/>
        <v>71.25</v>
      </c>
      <c r="J118" s="28">
        <f t="shared" si="37"/>
        <v>0</v>
      </c>
      <c r="K118" s="28">
        <f t="shared" si="37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06'!K112</f>
        <v>0</v>
      </c>
      <c r="H119" s="27">
        <f>G119+'[2]BM 05'!H119</f>
        <v>0</v>
      </c>
      <c r="I119" s="28">
        <f t="shared" si="37"/>
        <v>25.92</v>
      </c>
      <c r="J119" s="28">
        <f t="shared" si="37"/>
        <v>0</v>
      </c>
      <c r="K119" s="28">
        <f t="shared" si="37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06'!K113</f>
        <v>0</v>
      </c>
      <c r="H120" s="27">
        <f>G120+'[2]BM 05'!H120</f>
        <v>0</v>
      </c>
      <c r="I120" s="28">
        <f t="shared" si="37"/>
        <v>15.52</v>
      </c>
      <c r="J120" s="28">
        <f t="shared" si="37"/>
        <v>0</v>
      </c>
      <c r="K120" s="28">
        <f t="shared" si="37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06'!K114</f>
        <v>61</v>
      </c>
      <c r="H121" s="27">
        <f>G121+'[2]BM 05'!H121</f>
        <v>61</v>
      </c>
      <c r="I121" s="28">
        <f t="shared" si="37"/>
        <v>11224</v>
      </c>
      <c r="J121" s="28">
        <f t="shared" si="37"/>
        <v>11224</v>
      </c>
      <c r="K121" s="28">
        <f t="shared" si="37"/>
        <v>11224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06'!K115</f>
        <v>0</v>
      </c>
      <c r="H122" s="27">
        <f>G122+'[2]BM 05'!H122</f>
        <v>0</v>
      </c>
      <c r="I122" s="28">
        <f t="shared" si="37"/>
        <v>144.60000000000002</v>
      </c>
      <c r="J122" s="28">
        <f t="shared" si="37"/>
        <v>0</v>
      </c>
      <c r="K122" s="28">
        <f t="shared" si="37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06'!K116</f>
        <v>0</v>
      </c>
      <c r="H123" s="27">
        <f>G123+'[2]BM 05'!H123</f>
        <v>0</v>
      </c>
      <c r="I123" s="28">
        <f t="shared" si="37"/>
        <v>162.9</v>
      </c>
      <c r="J123" s="28">
        <f t="shared" si="37"/>
        <v>0</v>
      </c>
      <c r="K123" s="28">
        <f t="shared" si="37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06'!K117</f>
        <v>0</v>
      </c>
      <c r="H124" s="27">
        <f>G124+'[2]BM 05'!H124</f>
        <v>0</v>
      </c>
      <c r="I124" s="28">
        <f t="shared" si="37"/>
        <v>56.16</v>
      </c>
      <c r="J124" s="28">
        <f t="shared" si="37"/>
        <v>0</v>
      </c>
      <c r="K124" s="28">
        <f t="shared" si="37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06'!K118</f>
        <v>0</v>
      </c>
      <c r="H125" s="27">
        <f>G125+'[2]BM 05'!H125</f>
        <v>0</v>
      </c>
      <c r="I125" s="28">
        <f t="shared" ref="I125:K129" si="38">$E125*F125</f>
        <v>34.630000000000003</v>
      </c>
      <c r="J125" s="28">
        <f t="shared" si="38"/>
        <v>0</v>
      </c>
      <c r="K125" s="28">
        <f t="shared" si="38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06'!K119</f>
        <v>0</v>
      </c>
      <c r="H126" s="27">
        <f>G126+'[2]BM 05'!H126</f>
        <v>0</v>
      </c>
      <c r="I126" s="28">
        <f t="shared" si="38"/>
        <v>22.72</v>
      </c>
      <c r="J126" s="28">
        <f t="shared" si="38"/>
        <v>0</v>
      </c>
      <c r="K126" s="28">
        <f t="shared" si="38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06'!K120</f>
        <v>0</v>
      </c>
      <c r="H127" s="27">
        <f>G127+'[2]BM 05'!H127</f>
        <v>0</v>
      </c>
      <c r="I127" s="28">
        <f t="shared" si="38"/>
        <v>5.94</v>
      </c>
      <c r="J127" s="28">
        <f t="shared" si="38"/>
        <v>0</v>
      </c>
      <c r="K127" s="28">
        <f t="shared" si="38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06'!K121</f>
        <v>0</v>
      </c>
      <c r="H128" s="27">
        <f>G128+'[2]BM 05'!H128</f>
        <v>0</v>
      </c>
      <c r="I128" s="28">
        <f t="shared" si="38"/>
        <v>181.98</v>
      </c>
      <c r="J128" s="28">
        <f t="shared" si="38"/>
        <v>0</v>
      </c>
      <c r="K128" s="28">
        <f t="shared" si="38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06'!K122</f>
        <v>11</v>
      </c>
      <c r="H129" s="27">
        <f>G129+'[2]BM 05'!H129</f>
        <v>11</v>
      </c>
      <c r="I129" s="28">
        <f t="shared" si="38"/>
        <v>5336</v>
      </c>
      <c r="J129" s="28">
        <f t="shared" si="38"/>
        <v>2024</v>
      </c>
      <c r="K129" s="28">
        <f t="shared" si="38"/>
        <v>2024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9">SUM(J131:J134)</f>
        <v>0</v>
      </c>
      <c r="K130" s="41">
        <f t="shared" si="39"/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06'!K124</f>
        <v>0</v>
      </c>
      <c r="H131" s="27">
        <f>G131+'[2]BM 05'!H131</f>
        <v>0</v>
      </c>
      <c r="I131" s="28">
        <f t="shared" ref="I131:K134" si="40">$E131*F131</f>
        <v>408.32</v>
      </c>
      <c r="J131" s="28">
        <f t="shared" si="40"/>
        <v>0</v>
      </c>
      <c r="K131" s="28">
        <f t="shared" si="40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06'!K125</f>
        <v>0</v>
      </c>
      <c r="H132" s="27">
        <f>G132+'[2]BM 05'!H132</f>
        <v>0</v>
      </c>
      <c r="I132" s="28">
        <f t="shared" si="40"/>
        <v>235.01</v>
      </c>
      <c r="J132" s="28">
        <f t="shared" si="40"/>
        <v>0</v>
      </c>
      <c r="K132" s="28">
        <f t="shared" si="40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06'!K126</f>
        <v>0</v>
      </c>
      <c r="H133" s="27">
        <f>G133+'[2]BM 05'!H133</f>
        <v>0</v>
      </c>
      <c r="I133" s="28">
        <f t="shared" si="40"/>
        <v>165.94</v>
      </c>
      <c r="J133" s="28">
        <f t="shared" si="40"/>
        <v>0</v>
      </c>
      <c r="K133" s="28">
        <f t="shared" si="40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06'!K127</f>
        <v>0</v>
      </c>
      <c r="H134" s="27">
        <f>G134+'[2]BM 05'!H134</f>
        <v>0</v>
      </c>
      <c r="I134" s="28">
        <f t="shared" si="40"/>
        <v>61.63</v>
      </c>
      <c r="J134" s="28">
        <f t="shared" si="40"/>
        <v>0</v>
      </c>
      <c r="K134" s="28">
        <f t="shared" si="40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1">SUM(J136:J142)</f>
        <v>587.18999999999994</v>
      </c>
      <c r="K135" s="41">
        <f t="shared" si="41"/>
        <v>587.18999999999994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06'!K129</f>
        <v>1</v>
      </c>
      <c r="H136" s="27">
        <f>G136+'[2]BM 05'!H136</f>
        <v>1</v>
      </c>
      <c r="I136" s="28">
        <f t="shared" ref="I136:K142" si="42">$E136*F136</f>
        <v>816.64</v>
      </c>
      <c r="J136" s="28">
        <f t="shared" si="42"/>
        <v>408.32</v>
      </c>
      <c r="K136" s="28">
        <f t="shared" si="42"/>
        <v>408.32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06'!K130</f>
        <v>0</v>
      </c>
      <c r="H137" s="27">
        <f>G137+'[2]BM 05'!H137</f>
        <v>0</v>
      </c>
      <c r="I137" s="28">
        <f t="shared" si="42"/>
        <v>352.6</v>
      </c>
      <c r="J137" s="28">
        <f t="shared" si="42"/>
        <v>0</v>
      </c>
      <c r="K137" s="28">
        <f t="shared" si="4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06'!K131</f>
        <v>0</v>
      </c>
      <c r="H138" s="27">
        <f>G138+'[2]BM 05'!H138</f>
        <v>0</v>
      </c>
      <c r="I138" s="28">
        <f t="shared" si="42"/>
        <v>184.89000000000001</v>
      </c>
      <c r="J138" s="28">
        <f t="shared" si="42"/>
        <v>0</v>
      </c>
      <c r="K138" s="28">
        <f t="shared" si="4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06'!K132</f>
        <v>1</v>
      </c>
      <c r="H139" s="27">
        <f>G139+'[2]BM 05'!H139</f>
        <v>1</v>
      </c>
      <c r="I139" s="28">
        <f t="shared" si="42"/>
        <v>165.94</v>
      </c>
      <c r="J139" s="28">
        <f t="shared" si="42"/>
        <v>82.97</v>
      </c>
      <c r="K139" s="28">
        <f t="shared" si="42"/>
        <v>82.97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06'!K133</f>
        <v>10</v>
      </c>
      <c r="H140" s="27">
        <f>G140+'[2]BM 05'!H140</f>
        <v>10</v>
      </c>
      <c r="I140" s="28">
        <f t="shared" si="42"/>
        <v>95.9</v>
      </c>
      <c r="J140" s="28">
        <f t="shared" si="42"/>
        <v>95.9</v>
      </c>
      <c r="K140" s="28">
        <f t="shared" si="42"/>
        <v>95.9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06'!K134</f>
        <v>0</v>
      </c>
      <c r="H141" s="27">
        <f>G141+'[2]BM 05'!H141</f>
        <v>0</v>
      </c>
      <c r="I141" s="28">
        <f t="shared" si="42"/>
        <v>147</v>
      </c>
      <c r="J141" s="28">
        <f t="shared" si="42"/>
        <v>0</v>
      </c>
      <c r="K141" s="28">
        <f t="shared" si="4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06'!K135</f>
        <v>0</v>
      </c>
      <c r="H142" s="27">
        <f>G142+'[2]BM 05'!H142</f>
        <v>0</v>
      </c>
      <c r="I142" s="28">
        <f t="shared" si="42"/>
        <v>215.45000000000002</v>
      </c>
      <c r="J142" s="28">
        <f t="shared" si="42"/>
        <v>0</v>
      </c>
      <c r="K142" s="28">
        <f t="shared" si="4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3">SUM(J144:J154)</f>
        <v>0</v>
      </c>
      <c r="K143" s="41">
        <f t="shared" si="43"/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06'!K137</f>
        <v>0</v>
      </c>
      <c r="H144" s="27">
        <f>G144+'[2]BM 05'!H144</f>
        <v>0</v>
      </c>
      <c r="I144" s="28">
        <f t="shared" ref="I144:K154" si="44">$E144*F144</f>
        <v>1122.6600000000001</v>
      </c>
      <c r="J144" s="28">
        <f t="shared" si="44"/>
        <v>0</v>
      </c>
      <c r="K144" s="28">
        <f t="shared" si="44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06'!K138</f>
        <v>0</v>
      </c>
      <c r="H145" s="27">
        <f>G145+'[2]BM 05'!H145</f>
        <v>0</v>
      </c>
      <c r="I145" s="28">
        <f t="shared" si="44"/>
        <v>1325.3899999999999</v>
      </c>
      <c r="J145" s="28">
        <f t="shared" si="44"/>
        <v>0</v>
      </c>
      <c r="K145" s="28">
        <f t="shared" si="44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06'!K139</f>
        <v>0</v>
      </c>
      <c r="H146" s="27">
        <f>G146+'[2]BM 05'!H146</f>
        <v>0</v>
      </c>
      <c r="I146" s="28">
        <f t="shared" si="44"/>
        <v>140.57999999999998</v>
      </c>
      <c r="J146" s="28">
        <f t="shared" si="44"/>
        <v>0</v>
      </c>
      <c r="K146" s="28">
        <f t="shared" si="44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06'!K140</f>
        <v>0</v>
      </c>
      <c r="H147" s="27">
        <f>G147+'[2]BM 05'!H147</f>
        <v>0</v>
      </c>
      <c r="I147" s="28">
        <f t="shared" si="44"/>
        <v>835.66</v>
      </c>
      <c r="J147" s="28">
        <f t="shared" si="44"/>
        <v>0</v>
      </c>
      <c r="K147" s="28">
        <f t="shared" si="44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06'!K141</f>
        <v>0</v>
      </c>
      <c r="H148" s="27">
        <f>G148+'[2]BM 05'!H148</f>
        <v>0</v>
      </c>
      <c r="I148" s="28">
        <f t="shared" si="44"/>
        <v>863.64</v>
      </c>
      <c r="J148" s="28">
        <f t="shared" si="44"/>
        <v>0</v>
      </c>
      <c r="K148" s="28">
        <f t="shared" si="44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06'!K142</f>
        <v>0</v>
      </c>
      <c r="H149" s="27">
        <f>G149+'[2]BM 05'!H149</f>
        <v>0</v>
      </c>
      <c r="I149" s="28">
        <f t="shared" si="44"/>
        <v>497.35</v>
      </c>
      <c r="J149" s="28">
        <f t="shared" si="44"/>
        <v>0</v>
      </c>
      <c r="K149" s="28">
        <f t="shared" si="44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06'!K143</f>
        <v>0</v>
      </c>
      <c r="H150" s="27">
        <f>G150+'[2]BM 05'!H150</f>
        <v>0</v>
      </c>
      <c r="I150" s="28">
        <f t="shared" si="44"/>
        <v>284.01</v>
      </c>
      <c r="J150" s="28">
        <f t="shared" si="44"/>
        <v>0</v>
      </c>
      <c r="K150" s="28">
        <f t="shared" si="44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06'!K144</f>
        <v>0</v>
      </c>
      <c r="H151" s="27">
        <f>G151+'[2]BM 05'!H151</f>
        <v>0</v>
      </c>
      <c r="I151" s="28">
        <f t="shared" si="44"/>
        <v>9.86</v>
      </c>
      <c r="J151" s="28">
        <f t="shared" si="44"/>
        <v>0</v>
      </c>
      <c r="K151" s="28">
        <f t="shared" si="44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06'!K145</f>
        <v>0</v>
      </c>
      <c r="H152" s="27">
        <f>G152+'[2]BM 05'!H152</f>
        <v>0</v>
      </c>
      <c r="I152" s="28">
        <f t="shared" si="44"/>
        <v>318.08</v>
      </c>
      <c r="J152" s="28">
        <f t="shared" si="44"/>
        <v>0</v>
      </c>
      <c r="K152" s="28">
        <f t="shared" si="44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06'!K146</f>
        <v>0</v>
      </c>
      <c r="H153" s="27">
        <f>G153+'[2]BM 05'!H153</f>
        <v>0</v>
      </c>
      <c r="I153" s="28">
        <f t="shared" si="44"/>
        <v>161.66999999999999</v>
      </c>
      <c r="J153" s="28">
        <f t="shared" si="44"/>
        <v>0</v>
      </c>
      <c r="K153" s="28">
        <f t="shared" si="44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06'!K147</f>
        <v>0</v>
      </c>
      <c r="H154" s="27">
        <f>G154+'[2]BM 05'!H154</f>
        <v>0</v>
      </c>
      <c r="I154" s="28">
        <f t="shared" si="44"/>
        <v>542.01</v>
      </c>
      <c r="J154" s="28">
        <f t="shared" si="44"/>
        <v>0</v>
      </c>
      <c r="K154" s="28">
        <f t="shared" si="44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5">J156+J177+J192+J201+J206</f>
        <v>13266.04</v>
      </c>
      <c r="K155" s="63">
        <f t="shared" si="45"/>
        <v>33026.89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 t="shared" ref="J156:K156" si="46">SUM(J157:J176)</f>
        <v>0</v>
      </c>
      <c r="K156" s="41">
        <f t="shared" si="46"/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06'!K150</f>
        <v>0</v>
      </c>
      <c r="H157" s="27">
        <f>G157+'[2]BM 05'!H157</f>
        <v>0</v>
      </c>
      <c r="I157" s="28">
        <f t="shared" ref="I157:K172" si="47">$E157*F157</f>
        <v>351.46</v>
      </c>
      <c r="J157" s="28">
        <f t="shared" si="47"/>
        <v>0</v>
      </c>
      <c r="K157" s="28">
        <f t="shared" si="4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06'!K151</f>
        <v>0</v>
      </c>
      <c r="H158" s="27">
        <f>G158+'[2]BM 05'!H158</f>
        <v>0</v>
      </c>
      <c r="I158" s="28">
        <f t="shared" si="47"/>
        <v>9.44</v>
      </c>
      <c r="J158" s="28">
        <f t="shared" si="47"/>
        <v>0</v>
      </c>
      <c r="K158" s="28">
        <f t="shared" si="4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06'!K152</f>
        <v>0</v>
      </c>
      <c r="H159" s="27">
        <f>G159+'[2]BM 05'!H159</f>
        <v>0</v>
      </c>
      <c r="I159" s="28">
        <f t="shared" si="47"/>
        <v>1171.04</v>
      </c>
      <c r="J159" s="28">
        <f t="shared" si="47"/>
        <v>0</v>
      </c>
      <c r="K159" s="28">
        <f t="shared" si="4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06'!K153</f>
        <v>0</v>
      </c>
      <c r="H160" s="27">
        <f>G160+'[2]BM 05'!H160</f>
        <v>0</v>
      </c>
      <c r="I160" s="28">
        <f t="shared" si="47"/>
        <v>305.85000000000002</v>
      </c>
      <c r="J160" s="28">
        <f t="shared" si="47"/>
        <v>0</v>
      </c>
      <c r="K160" s="28">
        <f t="shared" si="4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06'!K154</f>
        <v>0</v>
      </c>
      <c r="H161" s="27">
        <f>G161+'[2]BM 05'!H161</f>
        <v>0</v>
      </c>
      <c r="I161" s="28">
        <f t="shared" si="47"/>
        <v>1438.44</v>
      </c>
      <c r="J161" s="28">
        <f t="shared" si="47"/>
        <v>0</v>
      </c>
      <c r="K161" s="28">
        <f t="shared" si="4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06'!K155</f>
        <v>0</v>
      </c>
      <c r="H162" s="27">
        <f>G162+'[2]BM 05'!H162</f>
        <v>0</v>
      </c>
      <c r="I162" s="28">
        <f t="shared" si="47"/>
        <v>2430.9</v>
      </c>
      <c r="J162" s="28">
        <f t="shared" si="47"/>
        <v>0</v>
      </c>
      <c r="K162" s="28">
        <f t="shared" si="4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06'!K156</f>
        <v>0</v>
      </c>
      <c r="H163" s="27">
        <f>G163+'[2]BM 05'!H163</f>
        <v>0</v>
      </c>
      <c r="I163" s="28">
        <f t="shared" si="47"/>
        <v>1594.6000000000001</v>
      </c>
      <c r="J163" s="28">
        <f t="shared" si="47"/>
        <v>0</v>
      </c>
      <c r="K163" s="28">
        <f t="shared" si="4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06'!K157</f>
        <v>0</v>
      </c>
      <c r="H164" s="27">
        <f>G164+'[2]BM 05'!H164</f>
        <v>0</v>
      </c>
      <c r="I164" s="28">
        <f t="shared" si="47"/>
        <v>594.57999999999993</v>
      </c>
      <c r="J164" s="28">
        <f t="shared" si="47"/>
        <v>0</v>
      </c>
      <c r="K164" s="28">
        <f t="shared" si="4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06'!K158</f>
        <v>0</v>
      </c>
      <c r="H165" s="27">
        <f>G165+'[2]BM 05'!H165</f>
        <v>0</v>
      </c>
      <c r="I165" s="28">
        <f t="shared" si="47"/>
        <v>1009.45</v>
      </c>
      <c r="J165" s="28">
        <f t="shared" si="47"/>
        <v>0</v>
      </c>
      <c r="K165" s="28">
        <f t="shared" si="4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06'!K159</f>
        <v>0</v>
      </c>
      <c r="H166" s="27">
        <f>G166+'[2]BM 05'!H166</f>
        <v>0</v>
      </c>
      <c r="I166" s="28">
        <f t="shared" si="47"/>
        <v>598.77</v>
      </c>
      <c r="J166" s="28">
        <f t="shared" si="47"/>
        <v>0</v>
      </c>
      <c r="K166" s="28">
        <f t="shared" si="4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06'!K160</f>
        <v>0</v>
      </c>
      <c r="H167" s="27">
        <f>G167+'[2]BM 05'!H167</f>
        <v>0</v>
      </c>
      <c r="I167" s="28">
        <f t="shared" si="47"/>
        <v>5320.26</v>
      </c>
      <c r="J167" s="28">
        <f t="shared" si="47"/>
        <v>0</v>
      </c>
      <c r="K167" s="28">
        <f t="shared" si="4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06'!K161</f>
        <v>0</v>
      </c>
      <c r="H168" s="27">
        <f>G168+'[2]BM 05'!H168</f>
        <v>0</v>
      </c>
      <c r="I168" s="28">
        <f t="shared" si="47"/>
        <v>1008.4230000000001</v>
      </c>
      <c r="J168" s="28">
        <f t="shared" si="47"/>
        <v>0</v>
      </c>
      <c r="K168" s="28">
        <f t="shared" si="4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06'!K162</f>
        <v>0</v>
      </c>
      <c r="H169" s="27">
        <f>G169+'[2]BM 05'!H169</f>
        <v>0</v>
      </c>
      <c r="I169" s="28">
        <f t="shared" si="47"/>
        <v>2264.808</v>
      </c>
      <c r="J169" s="28">
        <f t="shared" si="47"/>
        <v>0</v>
      </c>
      <c r="K169" s="28">
        <f t="shared" si="4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06'!K163</f>
        <v>0</v>
      </c>
      <c r="H170" s="27">
        <f>G170+'[2]BM 05'!H170</f>
        <v>0</v>
      </c>
      <c r="I170" s="28">
        <f t="shared" si="47"/>
        <v>715.99</v>
      </c>
      <c r="J170" s="28">
        <f t="shared" si="47"/>
        <v>0</v>
      </c>
      <c r="K170" s="28">
        <f t="shared" si="4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06'!K164</f>
        <v>0</v>
      </c>
      <c r="H171" s="27">
        <f>G171+'[2]BM 05'!H171</f>
        <v>0</v>
      </c>
      <c r="I171" s="28">
        <f t="shared" si="47"/>
        <v>2123.52</v>
      </c>
      <c r="J171" s="28">
        <f t="shared" si="47"/>
        <v>0</v>
      </c>
      <c r="K171" s="28">
        <f t="shared" si="4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06'!K165</f>
        <v>0</v>
      </c>
      <c r="H172" s="27">
        <f>G172+'[2]BM 05'!H172</f>
        <v>0</v>
      </c>
      <c r="I172" s="28">
        <f t="shared" si="47"/>
        <v>550.42000000000007</v>
      </c>
      <c r="J172" s="28">
        <f t="shared" si="47"/>
        <v>0</v>
      </c>
      <c r="K172" s="28">
        <f t="shared" si="4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06'!K166</f>
        <v>0</v>
      </c>
      <c r="H173" s="27">
        <f>G173+'[2]BM 05'!H173</f>
        <v>0</v>
      </c>
      <c r="I173" s="28">
        <f t="shared" ref="I173:K176" si="48">$E173*F173</f>
        <v>181.76</v>
      </c>
      <c r="J173" s="28">
        <f t="shared" si="48"/>
        <v>0</v>
      </c>
      <c r="K173" s="28">
        <f t="shared" si="4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06'!K167</f>
        <v>0</v>
      </c>
      <c r="H174" s="27">
        <f>G174+'[2]BM 05'!H174</f>
        <v>0</v>
      </c>
      <c r="I174" s="28">
        <f t="shared" si="48"/>
        <v>770.40000000000009</v>
      </c>
      <c r="J174" s="28">
        <f t="shared" si="48"/>
        <v>0</v>
      </c>
      <c r="K174" s="28">
        <f t="shared" si="4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06'!K168</f>
        <v>0</v>
      </c>
      <c r="H175" s="27">
        <f>G175+'[2]BM 05'!H175</f>
        <v>0</v>
      </c>
      <c r="I175" s="28">
        <f t="shared" si="48"/>
        <v>152.56</v>
      </c>
      <c r="J175" s="28">
        <f t="shared" si="48"/>
        <v>0</v>
      </c>
      <c r="K175" s="28">
        <f t="shared" si="4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06'!K169</f>
        <v>0</v>
      </c>
      <c r="H176" s="27">
        <f>G176+'[2]BM 05'!H176</f>
        <v>0</v>
      </c>
      <c r="I176" s="28">
        <f t="shared" si="48"/>
        <v>867.48</v>
      </c>
      <c r="J176" s="28">
        <f t="shared" si="48"/>
        <v>0</v>
      </c>
      <c r="K176" s="28">
        <f t="shared" si="4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 t="shared" ref="J177:K177" si="49">SUM(J178:J191)</f>
        <v>0</v>
      </c>
      <c r="K177" s="41">
        <f t="shared" si="49"/>
        <v>1380.75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06'!K171</f>
        <v>0</v>
      </c>
      <c r="H178" s="27">
        <f>G178+'[2]BM 05'!H178</f>
        <v>1</v>
      </c>
      <c r="I178" s="28">
        <f t="shared" ref="I178:K191" si="50">$E178*F178</f>
        <v>1380.75</v>
      </c>
      <c r="J178" s="28">
        <f t="shared" si="50"/>
        <v>0</v>
      </c>
      <c r="K178" s="28">
        <f t="shared" si="50"/>
        <v>1380.75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06'!K172</f>
        <v>0</v>
      </c>
      <c r="H179" s="27">
        <f>G179+'[2]BM 05'!H179</f>
        <v>0</v>
      </c>
      <c r="I179" s="28">
        <f t="shared" si="50"/>
        <v>74.37</v>
      </c>
      <c r="J179" s="28">
        <f t="shared" si="50"/>
        <v>0</v>
      </c>
      <c r="K179" s="28">
        <f t="shared" si="50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06'!K173</f>
        <v>0</v>
      </c>
      <c r="H180" s="27">
        <f>G180+'[2]BM 05'!H180</f>
        <v>0</v>
      </c>
      <c r="I180" s="28">
        <f t="shared" si="50"/>
        <v>45.19</v>
      </c>
      <c r="J180" s="28">
        <f t="shared" si="50"/>
        <v>0</v>
      </c>
      <c r="K180" s="28">
        <f t="shared" si="50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06'!K174</f>
        <v>0</v>
      </c>
      <c r="H181" s="27">
        <f>G181+'[2]BM 05'!H181</f>
        <v>0</v>
      </c>
      <c r="I181" s="28">
        <f t="shared" si="50"/>
        <v>11.73</v>
      </c>
      <c r="J181" s="28">
        <f t="shared" si="50"/>
        <v>0</v>
      </c>
      <c r="K181" s="28">
        <f t="shared" si="50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06'!K175</f>
        <v>0</v>
      </c>
      <c r="H182" s="27">
        <f>G182+'[2]BM 05'!H182</f>
        <v>0</v>
      </c>
      <c r="I182" s="28">
        <f t="shared" si="50"/>
        <v>1438.95</v>
      </c>
      <c r="J182" s="28">
        <f t="shared" si="50"/>
        <v>0</v>
      </c>
      <c r="K182" s="28">
        <f t="shared" si="50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06'!K176</f>
        <v>0</v>
      </c>
      <c r="H183" s="27">
        <f>G183+'[2]BM 05'!H183</f>
        <v>0</v>
      </c>
      <c r="I183" s="28">
        <f t="shared" si="50"/>
        <v>95.64</v>
      </c>
      <c r="J183" s="28">
        <f t="shared" si="50"/>
        <v>0</v>
      </c>
      <c r="K183" s="28">
        <f t="shared" si="50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06'!K177</f>
        <v>0</v>
      </c>
      <c r="H184" s="27">
        <f>G184+'[2]BM 05'!H184</f>
        <v>0</v>
      </c>
      <c r="I184" s="28">
        <f t="shared" si="50"/>
        <v>230.64</v>
      </c>
      <c r="J184" s="28">
        <f t="shared" si="50"/>
        <v>0</v>
      </c>
      <c r="K184" s="28">
        <f t="shared" si="50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06'!K178</f>
        <v>0</v>
      </c>
      <c r="H185" s="27">
        <f>G185+'[2]BM 05'!H185</f>
        <v>0</v>
      </c>
      <c r="I185" s="28">
        <f t="shared" si="50"/>
        <v>307.66000000000003</v>
      </c>
      <c r="J185" s="28">
        <f t="shared" si="50"/>
        <v>0</v>
      </c>
      <c r="K185" s="28">
        <f t="shared" si="50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06'!K179</f>
        <v>0</v>
      </c>
      <c r="H186" s="27">
        <f>G186+'[2]BM 05'!H186</f>
        <v>0</v>
      </c>
      <c r="I186" s="28">
        <f t="shared" si="50"/>
        <v>195.98</v>
      </c>
      <c r="J186" s="28">
        <f t="shared" si="50"/>
        <v>0</v>
      </c>
      <c r="K186" s="28">
        <f t="shared" si="50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06'!K180</f>
        <v>0</v>
      </c>
      <c r="H187" s="27">
        <f>G187+'[2]BM 05'!H187</f>
        <v>0</v>
      </c>
      <c r="I187" s="28">
        <f t="shared" si="50"/>
        <v>65.16</v>
      </c>
      <c r="J187" s="28">
        <f t="shared" si="50"/>
        <v>0</v>
      </c>
      <c r="K187" s="28">
        <f t="shared" si="50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06'!K181</f>
        <v>0</v>
      </c>
      <c r="H188" s="27">
        <f>G188+'[2]BM 05'!H188</f>
        <v>0</v>
      </c>
      <c r="I188" s="28">
        <f t="shared" si="50"/>
        <v>301.19</v>
      </c>
      <c r="J188" s="28">
        <f t="shared" si="50"/>
        <v>0</v>
      </c>
      <c r="K188" s="28">
        <f t="shared" si="50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06'!K182</f>
        <v>0</v>
      </c>
      <c r="H189" s="27">
        <f>G189+'[2]BM 05'!H189</f>
        <v>0</v>
      </c>
      <c r="I189" s="28">
        <f t="shared" si="50"/>
        <v>80.14</v>
      </c>
      <c r="J189" s="28">
        <f t="shared" si="50"/>
        <v>0</v>
      </c>
      <c r="K189" s="28">
        <f t="shared" si="50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06'!K183</f>
        <v>0</v>
      </c>
      <c r="H190" s="27">
        <f>G190+'[2]BM 05'!H190</f>
        <v>0</v>
      </c>
      <c r="I190" s="28">
        <f t="shared" si="50"/>
        <v>41.3</v>
      </c>
      <c r="J190" s="28">
        <f t="shared" si="50"/>
        <v>0</v>
      </c>
      <c r="K190" s="28">
        <f t="shared" si="50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06'!K184</f>
        <v>0</v>
      </c>
      <c r="H191" s="27">
        <f>G191+'[2]BM 05'!H191</f>
        <v>0</v>
      </c>
      <c r="I191" s="28">
        <f t="shared" si="50"/>
        <v>56.5</v>
      </c>
      <c r="J191" s="28">
        <f t="shared" si="50"/>
        <v>0</v>
      </c>
      <c r="K191" s="28">
        <f t="shared" si="50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SUM(J193:J200)</f>
        <v>0</v>
      </c>
      <c r="K192" s="41">
        <f t="shared" ref="K192" si="51">SUM(K193:K200)</f>
        <v>8294.5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06'!K186</f>
        <v>0</v>
      </c>
      <c r="H193" s="27">
        <f>G193+'[2]BM 05'!H193</f>
        <v>2</v>
      </c>
      <c r="I193" s="28">
        <f t="shared" ref="I193:K200" si="52">$E193*F193</f>
        <v>135.52000000000001</v>
      </c>
      <c r="J193" s="28">
        <f t="shared" si="52"/>
        <v>0</v>
      </c>
      <c r="K193" s="28">
        <f t="shared" si="52"/>
        <v>135.52000000000001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06'!K187</f>
        <v>0</v>
      </c>
      <c r="H194" s="27">
        <f>G194+'[2]BM 05'!H194</f>
        <v>0</v>
      </c>
      <c r="I194" s="28">
        <f t="shared" si="52"/>
        <v>1265.05</v>
      </c>
      <c r="J194" s="28">
        <f t="shared" si="52"/>
        <v>0</v>
      </c>
      <c r="K194" s="28">
        <f t="shared" si="52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06'!K188</f>
        <v>0</v>
      </c>
      <c r="H195" s="27">
        <f>G195+'[2]BM 05'!H195</f>
        <v>16</v>
      </c>
      <c r="I195" s="28">
        <f t="shared" si="52"/>
        <v>1294.72</v>
      </c>
      <c r="J195" s="28">
        <f t="shared" si="52"/>
        <v>0</v>
      </c>
      <c r="K195" s="28">
        <f t="shared" si="52"/>
        <v>1294.72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06'!K189</f>
        <v>0</v>
      </c>
      <c r="H196" s="27">
        <f>G196+'[2]BM 05'!H196</f>
        <v>2</v>
      </c>
      <c r="I196" s="28">
        <f t="shared" si="52"/>
        <v>6864.26</v>
      </c>
      <c r="J196" s="28">
        <f t="shared" si="52"/>
        <v>0</v>
      </c>
      <c r="K196" s="28">
        <f t="shared" si="52"/>
        <v>6864.26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06'!K190</f>
        <v>0</v>
      </c>
      <c r="H197" s="27">
        <f>G197+'[2]BM 05'!H197</f>
        <v>0</v>
      </c>
      <c r="I197" s="28">
        <f t="shared" si="52"/>
        <v>45.19</v>
      </c>
      <c r="J197" s="28">
        <f t="shared" si="52"/>
        <v>0</v>
      </c>
      <c r="K197" s="28">
        <f t="shared" si="52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06'!K191</f>
        <v>0</v>
      </c>
      <c r="H198" s="27">
        <f>G198+'[2]BM 05'!H198</f>
        <v>0</v>
      </c>
      <c r="I198" s="28">
        <f t="shared" si="52"/>
        <v>11.73</v>
      </c>
      <c r="J198" s="28">
        <f t="shared" si="52"/>
        <v>0</v>
      </c>
      <c r="K198" s="28">
        <f t="shared" si="52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06'!K192</f>
        <v>0</v>
      </c>
      <c r="H199" s="27">
        <f>G199+'[2]BM 05'!H199</f>
        <v>0</v>
      </c>
      <c r="I199" s="28">
        <f t="shared" si="52"/>
        <v>82.6</v>
      </c>
      <c r="J199" s="28">
        <f t="shared" si="52"/>
        <v>0</v>
      </c>
      <c r="K199" s="28">
        <f t="shared" si="52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06'!K193</f>
        <v>0</v>
      </c>
      <c r="H200" s="27">
        <f>G200+'[2]BM 05'!H200</f>
        <v>0</v>
      </c>
      <c r="I200" s="28">
        <f t="shared" si="52"/>
        <v>344.07</v>
      </c>
      <c r="J200" s="28">
        <f t="shared" si="52"/>
        <v>0</v>
      </c>
      <c r="K200" s="28">
        <f t="shared" si="52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 t="shared" ref="J201:K201" si="53">SUM(J202:J205)</f>
        <v>0</v>
      </c>
      <c r="K201" s="41">
        <f t="shared" si="53"/>
        <v>7513.84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06'!K195</f>
        <v>0</v>
      </c>
      <c r="H202" s="27">
        <f>G202+'[2]BM 05'!H202</f>
        <v>34</v>
      </c>
      <c r="I202" s="28">
        <f t="shared" ref="I202:K205" si="54">$E202*F202</f>
        <v>4535.9399999999996</v>
      </c>
      <c r="J202" s="28">
        <f t="shared" si="54"/>
        <v>0</v>
      </c>
      <c r="K202" s="28">
        <f t="shared" si="54"/>
        <v>4535.9399999999996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06'!K196</f>
        <v>0</v>
      </c>
      <c r="H203" s="27">
        <f>G203+'[2]BM 05'!H203</f>
        <v>0</v>
      </c>
      <c r="I203" s="28">
        <f t="shared" si="54"/>
        <v>629.15</v>
      </c>
      <c r="J203" s="28">
        <f t="shared" si="54"/>
        <v>0</v>
      </c>
      <c r="K203" s="28">
        <f t="shared" si="54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06'!K197</f>
        <v>0</v>
      </c>
      <c r="H204" s="27">
        <f>G204+'[2]BM 05'!H204</f>
        <v>34</v>
      </c>
      <c r="I204" s="28">
        <f t="shared" si="54"/>
        <v>2589.1000000000004</v>
      </c>
      <c r="J204" s="28">
        <f t="shared" si="54"/>
        <v>0</v>
      </c>
      <c r="K204" s="28">
        <f t="shared" si="54"/>
        <v>2589.1000000000004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06'!K198</f>
        <v>0</v>
      </c>
      <c r="H205" s="27">
        <f>G205+'[2]BM 05'!H205</f>
        <v>5</v>
      </c>
      <c r="I205" s="28">
        <f t="shared" si="54"/>
        <v>388.8</v>
      </c>
      <c r="J205" s="28">
        <f t="shared" si="54"/>
        <v>0</v>
      </c>
      <c r="K205" s="28">
        <f t="shared" si="54"/>
        <v>388.8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 t="shared" ref="J206:K206" si="55">SUM(J207:J211)</f>
        <v>13266.04</v>
      </c>
      <c r="K206" s="41">
        <f t="shared" si="55"/>
        <v>15837.800000000001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06'!K200</f>
        <v>0</v>
      </c>
      <c r="H207" s="27">
        <f>G207+'[2]BM 05'!H207</f>
        <v>17</v>
      </c>
      <c r="I207" s="28">
        <f t="shared" ref="I207:K211" si="56">$E207*F207</f>
        <v>2723.04</v>
      </c>
      <c r="J207" s="28">
        <f t="shared" si="56"/>
        <v>0</v>
      </c>
      <c r="K207" s="28">
        <f t="shared" si="56"/>
        <v>2571.7600000000002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06'!K201</f>
        <v>0</v>
      </c>
      <c r="H208" s="27">
        <f>G208+'[2]BM 05'!H208</f>
        <v>0</v>
      </c>
      <c r="I208" s="28">
        <f t="shared" si="56"/>
        <v>1292.912</v>
      </c>
      <c r="J208" s="28">
        <f t="shared" si="56"/>
        <v>0</v>
      </c>
      <c r="K208" s="28">
        <f t="shared" si="56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06'!K202</f>
        <v>0</v>
      </c>
      <c r="H209" s="27">
        <f>G209+'[2]BM 05'!H209</f>
        <v>0</v>
      </c>
      <c r="I209" s="28">
        <f t="shared" si="56"/>
        <v>1579.8999999999999</v>
      </c>
      <c r="J209" s="28">
        <f t="shared" si="56"/>
        <v>0</v>
      </c>
      <c r="K209" s="28">
        <f t="shared" si="56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06'!K203</f>
        <v>1</v>
      </c>
      <c r="H210" s="27">
        <f>G210+'[2]BM 05'!H210</f>
        <v>1</v>
      </c>
      <c r="I210" s="28">
        <f t="shared" si="56"/>
        <v>7371.21</v>
      </c>
      <c r="J210" s="28">
        <f t="shared" si="56"/>
        <v>7371.21</v>
      </c>
      <c r="K210" s="28">
        <f t="shared" si="56"/>
        <v>7371.21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06'!K204</f>
        <v>1</v>
      </c>
      <c r="H211" s="27">
        <f>G211+'[2]BM 05'!H211</f>
        <v>1</v>
      </c>
      <c r="I211" s="28">
        <f t="shared" si="56"/>
        <v>5894.83</v>
      </c>
      <c r="J211" s="28">
        <f t="shared" si="56"/>
        <v>5894.83</v>
      </c>
      <c r="K211" s="28">
        <f t="shared" si="56"/>
        <v>5894.83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06'!K206</f>
        <v>0</v>
      </c>
      <c r="H213" s="27">
        <f>G213+'[2]BM 05'!H213</f>
        <v>0</v>
      </c>
      <c r="I213" s="28">
        <f>$E213*F213</f>
        <v>957.6</v>
      </c>
      <c r="J213" s="28">
        <f t="shared" ref="J213:K215" si="57">$E213*G213</f>
        <v>0</v>
      </c>
      <c r="K213" s="28">
        <f t="shared" si="57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06'!K207</f>
        <v>0</v>
      </c>
      <c r="H214" s="27">
        <f>G214+'[2]BM 05'!H214</f>
        <v>0</v>
      </c>
      <c r="I214" s="28">
        <f t="shared" ref="I214:I215" si="58">$E214*F214</f>
        <v>54.36</v>
      </c>
      <c r="J214" s="28">
        <f t="shared" si="57"/>
        <v>0</v>
      </c>
      <c r="K214" s="28">
        <f t="shared" si="57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06'!K208</f>
        <v>0</v>
      </c>
      <c r="H215" s="27">
        <f>G215+'[2]BM 05'!H215</f>
        <v>0</v>
      </c>
      <c r="I215" s="28">
        <f t="shared" si="58"/>
        <v>489.79999999999995</v>
      </c>
      <c r="J215" s="28">
        <f t="shared" si="57"/>
        <v>0</v>
      </c>
      <c r="K215" s="28">
        <f t="shared" si="57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06'!K210</f>
        <v>0</v>
      </c>
      <c r="H217" s="27">
        <f>G217+'[2]BM 05'!H217</f>
        <v>0</v>
      </c>
      <c r="I217" s="28">
        <f>$E217*F217</f>
        <v>250.53</v>
      </c>
      <c r="J217" s="28">
        <f t="shared" ref="J217:K222" si="59">$E217*G217</f>
        <v>0</v>
      </c>
      <c r="K217" s="28">
        <f t="shared" si="59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06'!K211</f>
        <v>0</v>
      </c>
      <c r="H218" s="27">
        <f>G218+'[2]BM 05'!H218</f>
        <v>0</v>
      </c>
      <c r="I218" s="28">
        <f t="shared" ref="I218:I222" si="60">$E218*F218</f>
        <v>29.96</v>
      </c>
      <c r="J218" s="28">
        <f t="shared" si="59"/>
        <v>0</v>
      </c>
      <c r="K218" s="28">
        <f t="shared" si="59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06'!K212</f>
        <v>0</v>
      </c>
      <c r="H219" s="27">
        <f>G219+'[2]BM 05'!H219</f>
        <v>0</v>
      </c>
      <c r="I219" s="28">
        <f t="shared" si="60"/>
        <v>35.880000000000003</v>
      </c>
      <c r="J219" s="28">
        <f t="shared" si="59"/>
        <v>0</v>
      </c>
      <c r="K219" s="28">
        <f t="shared" si="59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06'!K213</f>
        <v>0</v>
      </c>
      <c r="H220" s="27">
        <f>G220+'[2]BM 05'!H220</f>
        <v>0</v>
      </c>
      <c r="I220" s="28">
        <f t="shared" si="60"/>
        <v>58.95</v>
      </c>
      <c r="J220" s="28">
        <f t="shared" si="59"/>
        <v>0</v>
      </c>
      <c r="K220" s="28">
        <f t="shared" si="59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06'!K214</f>
        <v>0</v>
      </c>
      <c r="H221" s="27">
        <f>G221+'[2]BM 05'!H221</f>
        <v>0</v>
      </c>
      <c r="I221" s="28">
        <f t="shared" si="60"/>
        <v>158.19999999999999</v>
      </c>
      <c r="J221" s="28">
        <f t="shared" si="59"/>
        <v>0</v>
      </c>
      <c r="K221" s="28">
        <f t="shared" si="59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06'!K215</f>
        <v>0</v>
      </c>
      <c r="H222" s="27">
        <f>G222+'[2]BM 05'!H222</f>
        <v>0</v>
      </c>
      <c r="I222" s="28">
        <f t="shared" si="60"/>
        <v>31.64</v>
      </c>
      <c r="J222" s="28">
        <f t="shared" si="59"/>
        <v>0</v>
      </c>
      <c r="K222" s="28">
        <f t="shared" si="59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06'!K217</f>
        <v>0</v>
      </c>
      <c r="H224" s="27">
        <f>G224+'[2]BM 05'!H224</f>
        <v>0</v>
      </c>
      <c r="I224" s="28">
        <f>$E224*F224</f>
        <v>324.92</v>
      </c>
      <c r="J224" s="28">
        <f t="shared" ref="J224:K228" si="61">$E224*G224</f>
        <v>0</v>
      </c>
      <c r="K224" s="28">
        <f t="shared" si="61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06'!K218</f>
        <v>0</v>
      </c>
      <c r="H225" s="27">
        <f>G225+'[2]BM 05'!H225</f>
        <v>0</v>
      </c>
      <c r="I225" s="28">
        <f t="shared" ref="I225:I228" si="62">$E225*F225</f>
        <v>167.37</v>
      </c>
      <c r="J225" s="28">
        <f t="shared" si="61"/>
        <v>0</v>
      </c>
      <c r="K225" s="28">
        <f t="shared" si="61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06'!K219</f>
        <v>0</v>
      </c>
      <c r="H226" s="27">
        <f>G226+'[2]BM 05'!H226</f>
        <v>0</v>
      </c>
      <c r="I226" s="28">
        <f t="shared" si="62"/>
        <v>624.68500000000006</v>
      </c>
      <c r="J226" s="28">
        <f t="shared" si="61"/>
        <v>0</v>
      </c>
      <c r="K226" s="28">
        <f t="shared" si="61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06'!K220</f>
        <v>0</v>
      </c>
      <c r="H227" s="27">
        <f>G227+'[2]BM 05'!H227</f>
        <v>0</v>
      </c>
      <c r="I227" s="28">
        <f t="shared" si="62"/>
        <v>200.67060000000001</v>
      </c>
      <c r="J227" s="28">
        <f t="shared" si="61"/>
        <v>0</v>
      </c>
      <c r="K227" s="28">
        <f t="shared" si="61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06'!K221</f>
        <v>0</v>
      </c>
      <c r="H228" s="27">
        <f>G228+'[2]BM 05'!H228</f>
        <v>0</v>
      </c>
      <c r="I228" s="28">
        <f t="shared" si="62"/>
        <v>40.371600000000001</v>
      </c>
      <c r="J228" s="28">
        <f t="shared" si="61"/>
        <v>0</v>
      </c>
      <c r="K228" s="28">
        <f t="shared" si="61"/>
        <v>0</v>
      </c>
      <c r="L228" s="4"/>
    </row>
    <row r="229" spans="2:12" s="5" customFormat="1" ht="15">
      <c r="B229" s="59">
        <v>14</v>
      </c>
      <c r="C229" s="60" t="s">
        <v>495</v>
      </c>
      <c r="D229" s="61"/>
      <c r="E229" s="62"/>
      <c r="F229" s="62"/>
      <c r="G229" s="62"/>
      <c r="H229" s="62"/>
      <c r="I229" s="63">
        <f>I230+I235+I238</f>
        <v>92256.01479175</v>
      </c>
      <c r="J229" s="63">
        <f t="shared" ref="J229:K229" si="63">J230+J235+J238</f>
        <v>0</v>
      </c>
      <c r="K229" s="63">
        <f t="shared" si="63"/>
        <v>69233.863064300007</v>
      </c>
      <c r="L229" s="4"/>
    </row>
    <row r="230" spans="2:12" s="5" customFormat="1" ht="15">
      <c r="B230" s="109" t="s">
        <v>496</v>
      </c>
      <c r="C230" s="44" t="s">
        <v>497</v>
      </c>
      <c r="D230" s="45"/>
      <c r="E230" s="45"/>
      <c r="F230" s="45"/>
      <c r="G230" s="45"/>
      <c r="H230" s="45"/>
      <c r="I230" s="110">
        <f>SUM(I231:I234)</f>
        <v>53075.522384000004</v>
      </c>
      <c r="J230" s="110">
        <f t="shared" ref="J230:K230" si="64">SUM(J231:J234)</f>
        <v>0</v>
      </c>
      <c r="K230" s="110">
        <f t="shared" si="64"/>
        <v>52882.428000000007</v>
      </c>
      <c r="L230" s="4"/>
    </row>
    <row r="231" spans="2:12" s="5" customFormat="1" ht="36">
      <c r="B231" s="109" t="s">
        <v>498</v>
      </c>
      <c r="C231" s="64" t="s">
        <v>499</v>
      </c>
      <c r="D231" s="23" t="s">
        <v>27</v>
      </c>
      <c r="E231" s="35">
        <v>224.02</v>
      </c>
      <c r="F231" s="25">
        <v>191.06</v>
      </c>
      <c r="G231" s="26">
        <f>'[2]Memória 06'!K224</f>
        <v>0</v>
      </c>
      <c r="H231" s="27">
        <f>G231+'[2]BM 05'!H231</f>
        <v>190.2</v>
      </c>
      <c r="I231" s="28">
        <f t="shared" ref="I231:K241" si="65">$E231*F231</f>
        <v>42801.261200000001</v>
      </c>
      <c r="J231" s="28">
        <f t="shared" si="65"/>
        <v>0</v>
      </c>
      <c r="K231" s="28">
        <f t="shared" si="65"/>
        <v>42608.603999999999</v>
      </c>
      <c r="L231" s="4"/>
    </row>
    <row r="232" spans="2:12" s="5" customFormat="1" ht="48">
      <c r="B232" s="109" t="s">
        <v>500</v>
      </c>
      <c r="C232" s="64" t="s">
        <v>501</v>
      </c>
      <c r="D232" s="23" t="s">
        <v>27</v>
      </c>
      <c r="E232" s="35">
        <v>109.37</v>
      </c>
      <c r="F232" s="25">
        <v>75.20320000000001</v>
      </c>
      <c r="G232" s="26">
        <f>'[2]Memória 06'!K225</f>
        <v>0</v>
      </c>
      <c r="H232" s="27">
        <f>G232+'[2]BM 05'!H232</f>
        <v>75.2</v>
      </c>
      <c r="I232" s="28">
        <f t="shared" si="65"/>
        <v>8224.973984000002</v>
      </c>
      <c r="J232" s="28">
        <f t="shared" si="65"/>
        <v>0</v>
      </c>
      <c r="K232" s="28">
        <f t="shared" si="65"/>
        <v>8224.6239999999998</v>
      </c>
      <c r="L232" s="4"/>
    </row>
    <row r="233" spans="2:12" s="5" customFormat="1" ht="24">
      <c r="B233" s="109" t="s">
        <v>502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06'!K226</f>
        <v>0</v>
      </c>
      <c r="H233" s="27">
        <f>G233+'[2]BM 05'!H233</f>
        <v>75.2</v>
      </c>
      <c r="I233" s="28">
        <f t="shared" si="65"/>
        <v>339.16643200000004</v>
      </c>
      <c r="J233" s="28">
        <f t="shared" si="65"/>
        <v>0</v>
      </c>
      <c r="K233" s="28">
        <f t="shared" si="65"/>
        <v>339.15199999999999</v>
      </c>
      <c r="L233" s="4"/>
    </row>
    <row r="234" spans="2:12" s="5" customFormat="1" ht="24">
      <c r="B234" s="109" t="s">
        <v>503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06'!K227</f>
        <v>0</v>
      </c>
      <c r="H234" s="27">
        <f>G234+'[2]BM 05'!H234</f>
        <v>75.2</v>
      </c>
      <c r="I234" s="28">
        <f t="shared" si="65"/>
        <v>1710.120768</v>
      </c>
      <c r="J234" s="28">
        <f t="shared" si="65"/>
        <v>0</v>
      </c>
      <c r="K234" s="28">
        <f t="shared" si="65"/>
        <v>1710.048</v>
      </c>
      <c r="L234" s="4"/>
    </row>
    <row r="235" spans="2:12" s="5" customFormat="1" ht="15">
      <c r="B235" s="109" t="s">
        <v>504</v>
      </c>
      <c r="C235" s="44" t="s">
        <v>505</v>
      </c>
      <c r="D235" s="44"/>
      <c r="E235" s="44"/>
      <c r="F235" s="44"/>
      <c r="G235" s="44"/>
      <c r="H235" s="44"/>
      <c r="I235" s="110">
        <f>SUM(I236:I237)</f>
        <v>16351.4350643</v>
      </c>
      <c r="J235" s="110">
        <f t="shared" ref="J235:K235" si="66">SUM(J236:J237)</f>
        <v>0</v>
      </c>
      <c r="K235" s="110">
        <f t="shared" si="66"/>
        <v>16351.4350643</v>
      </c>
      <c r="L235" s="4"/>
    </row>
    <row r="236" spans="2:12" s="5" customFormat="1" ht="48">
      <c r="B236" s="109" t="s">
        <v>506</v>
      </c>
      <c r="C236" s="64" t="s">
        <v>501</v>
      </c>
      <c r="D236" s="23" t="s">
        <v>27</v>
      </c>
      <c r="E236" s="35">
        <v>109.37</v>
      </c>
      <c r="F236" s="25">
        <v>69.099999999999994</v>
      </c>
      <c r="G236" s="26">
        <f>'[2]Memória 06'!K229</f>
        <v>0</v>
      </c>
      <c r="H236" s="27">
        <f>G236+'[2]BM 05'!H236</f>
        <v>69.099999999999994</v>
      </c>
      <c r="I236" s="28">
        <f t="shared" si="65"/>
        <v>7557.4669999999996</v>
      </c>
      <c r="J236" s="28">
        <f t="shared" si="65"/>
        <v>0</v>
      </c>
      <c r="K236" s="28">
        <f t="shared" si="65"/>
        <v>7557.4669999999996</v>
      </c>
      <c r="L236" s="4"/>
    </row>
    <row r="237" spans="2:12" s="5" customFormat="1" ht="36">
      <c r="B237" s="109" t="s">
        <v>507</v>
      </c>
      <c r="C237" s="64" t="s">
        <v>508</v>
      </c>
      <c r="D237" s="23" t="s">
        <v>45</v>
      </c>
      <c r="E237" s="35">
        <v>23.101289999999999</v>
      </c>
      <c r="F237" s="25">
        <v>380.67</v>
      </c>
      <c r="G237" s="26">
        <f>'[2]Memória 06'!K230</f>
        <v>0</v>
      </c>
      <c r="H237" s="27">
        <f>G237+'[2]BM 05'!H237</f>
        <v>380.67</v>
      </c>
      <c r="I237" s="28">
        <f t="shared" si="65"/>
        <v>8793.9680642999992</v>
      </c>
      <c r="J237" s="28">
        <f t="shared" si="65"/>
        <v>0</v>
      </c>
      <c r="K237" s="28">
        <f t="shared" si="65"/>
        <v>8793.9680642999992</v>
      </c>
      <c r="L237" s="4"/>
    </row>
    <row r="238" spans="2:12" s="5" customFormat="1" ht="15">
      <c r="B238" s="109" t="s">
        <v>509</v>
      </c>
      <c r="C238" s="44" t="s">
        <v>510</v>
      </c>
      <c r="D238" s="44"/>
      <c r="E238" s="44"/>
      <c r="F238" s="44"/>
      <c r="G238" s="44"/>
      <c r="H238" s="44"/>
      <c r="I238" s="110">
        <f>SUM(I239:I241)</f>
        <v>22829.057343450004</v>
      </c>
      <c r="J238" s="110">
        <f t="shared" ref="J238" si="67">SUM(J239:J241)</f>
        <v>0</v>
      </c>
      <c r="K238" s="110">
        <f>SUM(K239:K241)</f>
        <v>0</v>
      </c>
      <c r="L238" s="4"/>
    </row>
    <row r="239" spans="2:12" s="5" customFormat="1" ht="24">
      <c r="B239" s="109" t="s">
        <v>511</v>
      </c>
      <c r="C239" s="64" t="s">
        <v>512</v>
      </c>
      <c r="D239" s="23" t="s">
        <v>27</v>
      </c>
      <c r="E239" s="35">
        <v>380.10154500000004</v>
      </c>
      <c r="F239" s="25">
        <v>28.36</v>
      </c>
      <c r="G239" s="26">
        <f>'[2]Memória 06'!K232</f>
        <v>0</v>
      </c>
      <c r="H239" s="27">
        <f>G239+'[2]BM 05'!H239</f>
        <v>0</v>
      </c>
      <c r="I239" s="28">
        <f t="shared" si="65"/>
        <v>10779.679816200001</v>
      </c>
      <c r="J239" s="28">
        <f t="shared" si="65"/>
        <v>0</v>
      </c>
      <c r="K239" s="28">
        <f t="shared" si="65"/>
        <v>0</v>
      </c>
      <c r="L239" s="4"/>
    </row>
    <row r="240" spans="2:12" s="5" customFormat="1" ht="14.25">
      <c r="B240" s="109" t="s">
        <v>513</v>
      </c>
      <c r="C240" s="64" t="s">
        <v>514</v>
      </c>
      <c r="D240" s="23" t="s">
        <v>27</v>
      </c>
      <c r="E240" s="35">
        <v>30.500325</v>
      </c>
      <c r="F240" s="25">
        <v>285.93</v>
      </c>
      <c r="G240" s="26">
        <f>'[2]Memória 06'!K233</f>
        <v>0</v>
      </c>
      <c r="H240" s="27">
        <f>G240+'[2]BM 05'!H240</f>
        <v>0</v>
      </c>
      <c r="I240" s="28">
        <f t="shared" si="65"/>
        <v>8720.9579272499996</v>
      </c>
      <c r="J240" s="28">
        <f t="shared" si="65"/>
        <v>0</v>
      </c>
      <c r="K240" s="28">
        <f t="shared" si="65"/>
        <v>0</v>
      </c>
      <c r="L240" s="4"/>
    </row>
    <row r="241" spans="2:12" s="5" customFormat="1" ht="24.75" thickBot="1">
      <c r="B241" s="109" t="s">
        <v>515</v>
      </c>
      <c r="C241" s="64" t="s">
        <v>516</v>
      </c>
      <c r="D241" s="23" t="s">
        <v>27</v>
      </c>
      <c r="E241" s="35">
        <v>416.05245000000002</v>
      </c>
      <c r="F241" s="25">
        <v>8</v>
      </c>
      <c r="G241" s="26">
        <f>'[2]Memória 06'!K234</f>
        <v>0</v>
      </c>
      <c r="H241" s="27">
        <f>G241+'[2]BM 05'!H241</f>
        <v>0</v>
      </c>
      <c r="I241" s="28">
        <f t="shared" si="65"/>
        <v>3328.4196000000002</v>
      </c>
      <c r="J241" s="28">
        <f t="shared" si="65"/>
        <v>0</v>
      </c>
      <c r="K241" s="28">
        <f t="shared" si="65"/>
        <v>0</v>
      </c>
      <c r="L241" s="4"/>
    </row>
    <row r="242" spans="2:12" s="5" customFormat="1" ht="15">
      <c r="B242" s="117" t="s">
        <v>439</v>
      </c>
      <c r="C242" s="118"/>
      <c r="D242" s="118"/>
      <c r="E242" s="118"/>
      <c r="F242" s="118"/>
      <c r="G242" s="118"/>
      <c r="H242" s="119"/>
      <c r="I242" s="66">
        <f>SUM(I223+I216+I212+I155+I105+I86+I56+I52+I48+I32+I25+I20+I11+I229)</f>
        <v>649116.54869174992</v>
      </c>
      <c r="J242" s="66">
        <f t="shared" ref="J242:K242" si="68">SUM(J223+J216+J212+J155+J105+J86+J56+J52+J48+J32+J25+J20+J11+J229)</f>
        <v>116605.1112</v>
      </c>
      <c r="K242" s="66">
        <f t="shared" si="68"/>
        <v>417956.51857680001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 ht="13.5" thickBot="1">
      <c r="I245" s="70"/>
    </row>
    <row r="246" spans="2:12">
      <c r="B246" s="155" t="s">
        <v>517</v>
      </c>
      <c r="C246" s="156"/>
      <c r="D246" s="156"/>
      <c r="E246" s="156"/>
      <c r="F246" s="156"/>
      <c r="G246" s="156"/>
      <c r="H246" s="156"/>
      <c r="I246" s="156"/>
      <c r="J246" s="156"/>
      <c r="K246" s="157"/>
    </row>
    <row r="247" spans="2:12">
      <c r="B247" s="158"/>
      <c r="C247" s="149"/>
      <c r="D247" s="149"/>
      <c r="E247" s="149"/>
      <c r="F247" s="149"/>
      <c r="G247" s="149"/>
      <c r="H247" s="149"/>
      <c r="I247" s="149"/>
      <c r="J247" s="149"/>
      <c r="K247" s="159"/>
    </row>
    <row r="248" spans="2:12" ht="13.5" thickBot="1">
      <c r="B248" s="160"/>
      <c r="C248" s="161"/>
      <c r="D248" s="161"/>
      <c r="E248" s="161"/>
      <c r="F248" s="161"/>
      <c r="G248" s="161"/>
      <c r="H248" s="161"/>
      <c r="I248" s="161"/>
      <c r="J248" s="161"/>
      <c r="K248" s="162"/>
    </row>
    <row r="249" spans="2:12" hidden="1">
      <c r="B249" s="155" t="s">
        <v>530</v>
      </c>
      <c r="C249" s="156"/>
      <c r="D249" s="156"/>
      <c r="E249" s="156"/>
      <c r="F249" s="156"/>
      <c r="G249" s="156"/>
      <c r="H249" s="156"/>
      <c r="I249" s="156"/>
      <c r="J249" s="156"/>
      <c r="K249" s="157"/>
    </row>
    <row r="250" spans="2:12" hidden="1">
      <c r="B250" s="158"/>
      <c r="C250" s="149"/>
      <c r="D250" s="149"/>
      <c r="E250" s="149"/>
      <c r="F250" s="149"/>
      <c r="G250" s="149"/>
      <c r="H250" s="149"/>
      <c r="I250" s="149"/>
      <c r="J250" s="149"/>
      <c r="K250" s="159"/>
    </row>
    <row r="251" spans="2:12" ht="13.5" hidden="1" thickBot="1">
      <c r="B251" s="160"/>
      <c r="C251" s="161"/>
      <c r="D251" s="161"/>
      <c r="E251" s="161"/>
      <c r="F251" s="161"/>
      <c r="G251" s="161"/>
      <c r="H251" s="161"/>
      <c r="I251" s="161"/>
      <c r="J251" s="161"/>
      <c r="K251" s="162"/>
    </row>
    <row r="252" spans="2:12" ht="16.5" hidden="1" customHeight="1" thickBot="1">
      <c r="G252" s="151" t="s">
        <v>531</v>
      </c>
      <c r="H252" s="152"/>
      <c r="I252" s="152"/>
      <c r="J252" s="153">
        <f>ROUND(J242*1.1157,2)</f>
        <v>130096.32000000001</v>
      </c>
      <c r="K252" s="154"/>
    </row>
    <row r="255" spans="2:12">
      <c r="J255" s="71">
        <f>K242/I242</f>
        <v>0.64388516887939895</v>
      </c>
    </row>
  </sheetData>
  <mergeCells count="23">
    <mergeCell ref="B9:K9"/>
    <mergeCell ref="C84:D84"/>
    <mergeCell ref="B242:H242"/>
    <mergeCell ref="B246:K248"/>
    <mergeCell ref="B249:K251"/>
    <mergeCell ref="G252:I252"/>
    <mergeCell ref="J252:K252"/>
    <mergeCell ref="B6:C6"/>
    <mergeCell ref="D6:H6"/>
    <mergeCell ref="I6:K6"/>
    <mergeCell ref="B7:C7"/>
    <mergeCell ref="D7:H7"/>
    <mergeCell ref="B8:C8"/>
    <mergeCell ref="D8:H8"/>
    <mergeCell ref="I8:K8"/>
    <mergeCell ref="B2:K2"/>
    <mergeCell ref="B3:K3"/>
    <mergeCell ref="B4:C4"/>
    <mergeCell ref="D4:H4"/>
    <mergeCell ref="I4:K4"/>
    <mergeCell ref="B5:C5"/>
    <mergeCell ref="D5:H5"/>
    <mergeCell ref="I5:K5"/>
  </mergeCells>
  <conditionalFormatting sqref="B11:K83 B84:C84">
    <cfRule type="expression" dxfId="7" priority="3">
      <formula>LEN($B11)=1</formula>
    </cfRule>
  </conditionalFormatting>
  <conditionalFormatting sqref="B85:K241">
    <cfRule type="expression" dxfId="6" priority="1">
      <formula>LEN($B85)=1</formula>
    </cfRule>
  </conditionalFormatting>
  <conditionalFormatting sqref="E84:K84">
    <cfRule type="expression" dxfId="5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  <rowBreaks count="3" manualBreakCount="3">
    <brk id="38" min="1" max="10" man="1"/>
    <brk id="85" min="1" max="10" man="1"/>
    <brk id="227" min="1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16D88-671C-4CEB-88AC-82F241426A1C}">
  <dimension ref="A2:N234"/>
  <sheetViews>
    <sheetView view="pageBreakPreview" topLeftCell="A182" zoomScale="80" zoomScaleNormal="100" zoomScaleSheetLayoutView="90" workbookViewId="0">
      <selection activeCell="D118" sqref="D118:J118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9" width="9.140625" style="95"/>
    <col min="10" max="10" width="13.140625" style="95" customWidth="1"/>
    <col min="11" max="16384" width="9.140625" style="5"/>
  </cols>
  <sheetData>
    <row r="2" spans="1:10" ht="15">
      <c r="A2" s="136" t="s">
        <v>559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0" ht="15">
      <c r="A3" s="73" t="s">
        <v>15</v>
      </c>
      <c r="B3" s="74" t="s">
        <v>441</v>
      </c>
      <c r="C3" s="73" t="s">
        <v>17</v>
      </c>
      <c r="D3" s="138" t="s">
        <v>442</v>
      </c>
      <c r="E3" s="138"/>
      <c r="F3" s="138"/>
      <c r="G3" s="138"/>
      <c r="H3" s="138"/>
      <c r="I3" s="138"/>
      <c r="J3" s="138"/>
    </row>
    <row r="4" spans="1:10">
      <c r="A4" s="75">
        <v>1</v>
      </c>
      <c r="B4" s="76" t="s">
        <v>443</v>
      </c>
      <c r="C4" s="77"/>
      <c r="D4" s="133"/>
      <c r="E4" s="133"/>
      <c r="F4" s="133"/>
      <c r="G4" s="133"/>
      <c r="H4" s="133"/>
      <c r="I4" s="133"/>
      <c r="J4" s="133"/>
    </row>
    <row r="5" spans="1:10">
      <c r="A5" s="78" t="s">
        <v>25</v>
      </c>
      <c r="B5" s="79" t="s">
        <v>26</v>
      </c>
      <c r="C5" s="80" t="s">
        <v>27</v>
      </c>
      <c r="D5" s="133"/>
      <c r="E5" s="133"/>
      <c r="F5" s="133"/>
      <c r="G5" s="133"/>
      <c r="H5" s="133"/>
      <c r="I5" s="133"/>
      <c r="J5" s="133"/>
    </row>
    <row r="6" spans="1:10" ht="42.75">
      <c r="A6" s="78" t="s">
        <v>28</v>
      </c>
      <c r="B6" s="79" t="s">
        <v>29</v>
      </c>
      <c r="C6" s="80" t="s">
        <v>27</v>
      </c>
      <c r="D6" s="133"/>
      <c r="E6" s="133"/>
      <c r="F6" s="133"/>
      <c r="G6" s="133"/>
      <c r="H6" s="133"/>
      <c r="I6" s="133"/>
      <c r="J6" s="133"/>
    </row>
    <row r="7" spans="1:10" ht="28.5">
      <c r="A7" s="78" t="s">
        <v>30</v>
      </c>
      <c r="B7" s="81" t="s">
        <v>446</v>
      </c>
      <c r="C7" s="80" t="s">
        <v>27</v>
      </c>
      <c r="D7" s="133"/>
      <c r="E7" s="133"/>
      <c r="F7" s="133"/>
      <c r="G7" s="133"/>
      <c r="H7" s="133"/>
      <c r="I7" s="133"/>
      <c r="J7" s="133"/>
    </row>
    <row r="8" spans="1:10" ht="28.5">
      <c r="A8" s="78" t="s">
        <v>32</v>
      </c>
      <c r="B8" s="81" t="s">
        <v>447</v>
      </c>
      <c r="C8" s="80" t="s">
        <v>27</v>
      </c>
      <c r="D8" s="133"/>
      <c r="E8" s="133"/>
      <c r="F8" s="133"/>
      <c r="G8" s="133"/>
      <c r="H8" s="133"/>
      <c r="I8" s="133"/>
      <c r="J8" s="133"/>
    </row>
    <row r="9" spans="1:10" ht="28.5">
      <c r="A9" s="78" t="s">
        <v>34</v>
      </c>
      <c r="B9" s="79" t="s">
        <v>35</v>
      </c>
      <c r="C9" s="80" t="s">
        <v>36</v>
      </c>
      <c r="D9" s="133"/>
      <c r="E9" s="133"/>
      <c r="F9" s="133"/>
      <c r="G9" s="133"/>
      <c r="H9" s="133"/>
      <c r="I9" s="133"/>
      <c r="J9" s="133"/>
    </row>
    <row r="10" spans="1:10">
      <c r="A10" s="78" t="s">
        <v>37</v>
      </c>
      <c r="B10" s="79" t="s">
        <v>38</v>
      </c>
      <c r="C10" s="80" t="s">
        <v>36</v>
      </c>
      <c r="D10" s="133"/>
      <c r="E10" s="133"/>
      <c r="F10" s="133"/>
      <c r="G10" s="133"/>
      <c r="H10" s="133"/>
      <c r="I10" s="133"/>
      <c r="J10" s="133"/>
    </row>
    <row r="11" spans="1:10" ht="28.5">
      <c r="A11" s="78" t="s">
        <v>39</v>
      </c>
      <c r="B11" s="81" t="s">
        <v>40</v>
      </c>
      <c r="C11" s="80" t="s">
        <v>27</v>
      </c>
      <c r="D11" s="133"/>
      <c r="E11" s="133"/>
      <c r="F11" s="133"/>
      <c r="G11" s="133"/>
      <c r="H11" s="133"/>
      <c r="I11" s="133"/>
      <c r="J11" s="133"/>
    </row>
    <row r="12" spans="1:10" ht="42.75">
      <c r="A12" s="78" t="s">
        <v>41</v>
      </c>
      <c r="B12" s="81" t="s">
        <v>448</v>
      </c>
      <c r="C12" s="80" t="s">
        <v>27</v>
      </c>
      <c r="D12" s="133"/>
      <c r="E12" s="133"/>
      <c r="F12" s="133"/>
      <c r="G12" s="133"/>
      <c r="H12" s="133"/>
      <c r="I12" s="133"/>
      <c r="J12" s="133"/>
    </row>
    <row r="13" spans="1:10">
      <c r="A13" s="75">
        <v>2</v>
      </c>
      <c r="B13" s="76" t="str">
        <f>[4]Planilha!$B$21</f>
        <v>MOVIMENTO DE TERRA</v>
      </c>
      <c r="C13" s="77"/>
      <c r="D13" s="133"/>
      <c r="E13" s="133"/>
      <c r="F13" s="133"/>
      <c r="G13" s="133"/>
      <c r="H13" s="133"/>
      <c r="I13" s="133"/>
      <c r="J13" s="133"/>
    </row>
    <row r="14" spans="1:10" ht="42.75">
      <c r="A14" s="78" t="s">
        <v>43</v>
      </c>
      <c r="B14" s="81" t="s">
        <v>44</v>
      </c>
      <c r="C14" s="80" t="s">
        <v>45</v>
      </c>
      <c r="D14" s="135"/>
      <c r="E14" s="135"/>
      <c r="F14" s="135"/>
      <c r="G14" s="135"/>
      <c r="H14" s="135"/>
      <c r="I14" s="135"/>
      <c r="J14" s="135"/>
    </row>
    <row r="15" spans="1:10" ht="44.25" customHeight="1">
      <c r="A15" s="78" t="s">
        <v>46</v>
      </c>
      <c r="B15" s="81" t="s">
        <v>47</v>
      </c>
      <c r="C15" s="80" t="s">
        <v>45</v>
      </c>
      <c r="D15" s="135"/>
      <c r="E15" s="135"/>
      <c r="F15" s="135"/>
      <c r="G15" s="135"/>
      <c r="H15" s="135"/>
      <c r="I15" s="135"/>
      <c r="J15" s="135"/>
    </row>
    <row r="16" spans="1:10" ht="28.5">
      <c r="A16" s="78" t="s">
        <v>48</v>
      </c>
      <c r="B16" s="81" t="s">
        <v>49</v>
      </c>
      <c r="C16" s="80" t="s">
        <v>45</v>
      </c>
      <c r="D16" s="135"/>
      <c r="E16" s="135"/>
      <c r="F16" s="135"/>
      <c r="G16" s="135"/>
      <c r="H16" s="135"/>
      <c r="I16" s="135"/>
      <c r="J16" s="135"/>
    </row>
    <row r="17" spans="1:11" ht="28.5">
      <c r="A17" s="78" t="s">
        <v>50</v>
      </c>
      <c r="B17" s="81" t="s">
        <v>449</v>
      </c>
      <c r="C17" s="80" t="s">
        <v>45</v>
      </c>
      <c r="D17" s="133"/>
      <c r="E17" s="133"/>
      <c r="F17" s="133"/>
      <c r="G17" s="133"/>
      <c r="H17" s="133"/>
      <c r="I17" s="133"/>
      <c r="J17" s="133"/>
    </row>
    <row r="18" spans="1:11">
      <c r="A18" s="75">
        <v>3</v>
      </c>
      <c r="B18" s="76" t="str">
        <f>[4]Planilha!$B$26</f>
        <v>COBERTURA</v>
      </c>
      <c r="C18" s="77"/>
      <c r="D18" s="133"/>
      <c r="E18" s="133"/>
      <c r="F18" s="133"/>
      <c r="G18" s="133"/>
      <c r="H18" s="133"/>
      <c r="I18" s="133"/>
      <c r="J18" s="133"/>
    </row>
    <row r="19" spans="1:11" ht="28.5">
      <c r="A19" s="78" t="s">
        <v>52</v>
      </c>
      <c r="B19" s="81" t="s">
        <v>53</v>
      </c>
      <c r="C19" s="80" t="s">
        <v>27</v>
      </c>
      <c r="D19" s="133" t="s">
        <v>560</v>
      </c>
      <c r="E19" s="133"/>
      <c r="F19" s="133"/>
      <c r="G19" s="133"/>
      <c r="H19" s="133"/>
      <c r="I19" s="133"/>
      <c r="J19" s="133"/>
      <c r="K19" s="5">
        <v>286.94</v>
      </c>
    </row>
    <row r="20" spans="1:11" ht="28.5">
      <c r="A20" s="78" t="s">
        <v>54</v>
      </c>
      <c r="B20" s="81" t="s">
        <v>55</v>
      </c>
      <c r="C20" s="80" t="s">
        <v>27</v>
      </c>
      <c r="D20" s="133" t="s">
        <v>560</v>
      </c>
      <c r="E20" s="133"/>
      <c r="F20" s="133"/>
      <c r="G20" s="133"/>
      <c r="H20" s="133"/>
      <c r="I20" s="133"/>
      <c r="J20" s="133"/>
      <c r="K20" s="5">
        <v>286.94</v>
      </c>
    </row>
    <row r="21" spans="1:11">
      <c r="A21" s="78" t="s">
        <v>56</v>
      </c>
      <c r="B21" s="79" t="s">
        <v>57</v>
      </c>
      <c r="C21" s="80" t="s">
        <v>27</v>
      </c>
      <c r="D21" s="133"/>
      <c r="E21" s="133"/>
      <c r="F21" s="133"/>
      <c r="G21" s="133"/>
      <c r="H21" s="133"/>
      <c r="I21" s="133"/>
      <c r="J21" s="133"/>
    </row>
    <row r="22" spans="1:11" ht="28.5">
      <c r="A22" s="78" t="s">
        <v>58</v>
      </c>
      <c r="B22" s="81" t="s">
        <v>450</v>
      </c>
      <c r="C22" s="80" t="s">
        <v>60</v>
      </c>
      <c r="D22" s="133" t="s">
        <v>560</v>
      </c>
      <c r="E22" s="133"/>
      <c r="F22" s="133"/>
      <c r="G22" s="133"/>
      <c r="H22" s="133"/>
      <c r="I22" s="133"/>
      <c r="J22" s="133"/>
      <c r="K22" s="5">
        <v>26.83</v>
      </c>
    </row>
    <row r="23" spans="1:11" ht="28.5">
      <c r="A23" s="78" t="s">
        <v>61</v>
      </c>
      <c r="B23" s="81" t="s">
        <v>62</v>
      </c>
      <c r="C23" s="80" t="s">
        <v>60</v>
      </c>
      <c r="D23" s="133"/>
      <c r="E23" s="133"/>
      <c r="F23" s="133"/>
      <c r="G23" s="133"/>
      <c r="H23" s="133"/>
      <c r="I23" s="133"/>
      <c r="J23" s="133"/>
    </row>
    <row r="24" spans="1:11" ht="28.5">
      <c r="A24" s="78" t="s">
        <v>63</v>
      </c>
      <c r="B24" s="81" t="s">
        <v>64</v>
      </c>
      <c r="C24" s="80" t="s">
        <v>60</v>
      </c>
      <c r="D24" s="133" t="s">
        <v>560</v>
      </c>
      <c r="E24" s="133"/>
      <c r="F24" s="133"/>
      <c r="G24" s="133"/>
      <c r="H24" s="133"/>
      <c r="I24" s="133"/>
      <c r="J24" s="133"/>
      <c r="K24" s="5">
        <v>298.10000000000002</v>
      </c>
    </row>
    <row r="25" spans="1:11">
      <c r="A25" s="75">
        <v>4</v>
      </c>
      <c r="B25" s="76" t="s">
        <v>65</v>
      </c>
      <c r="C25" s="77"/>
      <c r="D25" s="133"/>
      <c r="E25" s="133"/>
      <c r="F25" s="133"/>
      <c r="G25" s="133"/>
      <c r="H25" s="133"/>
      <c r="I25" s="133"/>
      <c r="J25" s="133"/>
    </row>
    <row r="26" spans="1:11" ht="15">
      <c r="A26" s="73" t="s">
        <v>66</v>
      </c>
      <c r="B26" s="82" t="s">
        <v>451</v>
      </c>
      <c r="C26" s="74"/>
      <c r="D26" s="133"/>
      <c r="E26" s="133"/>
      <c r="F26" s="133"/>
      <c r="G26" s="133"/>
      <c r="H26" s="133"/>
      <c r="I26" s="133"/>
      <c r="J26" s="133"/>
    </row>
    <row r="27" spans="1:11">
      <c r="A27" s="78" t="s">
        <v>67</v>
      </c>
      <c r="B27" s="79" t="s">
        <v>68</v>
      </c>
      <c r="C27" s="80" t="s">
        <v>45</v>
      </c>
      <c r="D27" s="135"/>
      <c r="E27" s="135"/>
      <c r="F27" s="135"/>
      <c r="G27" s="135"/>
      <c r="H27" s="135"/>
      <c r="I27" s="135"/>
      <c r="J27" s="135"/>
    </row>
    <row r="28" spans="1:11" ht="28.5">
      <c r="A28" s="78" t="s">
        <v>69</v>
      </c>
      <c r="B28" s="79" t="s">
        <v>70</v>
      </c>
      <c r="C28" s="80" t="s">
        <v>27</v>
      </c>
      <c r="D28" s="135"/>
      <c r="E28" s="135"/>
      <c r="F28" s="135"/>
      <c r="G28" s="135"/>
      <c r="H28" s="135"/>
      <c r="I28" s="135"/>
      <c r="J28" s="135"/>
    </row>
    <row r="29" spans="1:11" ht="28.5">
      <c r="A29" s="78" t="s">
        <v>71</v>
      </c>
      <c r="B29" s="79" t="s">
        <v>72</v>
      </c>
      <c r="C29" s="80" t="s">
        <v>73</v>
      </c>
      <c r="D29" s="135"/>
      <c r="E29" s="135"/>
      <c r="F29" s="135"/>
      <c r="G29" s="135"/>
      <c r="H29" s="135"/>
      <c r="I29" s="135"/>
      <c r="J29" s="135"/>
    </row>
    <row r="30" spans="1:11" ht="28.5">
      <c r="A30" s="78" t="s">
        <v>74</v>
      </c>
      <c r="B30" s="81" t="s">
        <v>75</v>
      </c>
      <c r="C30" s="80" t="s">
        <v>73</v>
      </c>
      <c r="D30" s="135"/>
      <c r="E30" s="135"/>
      <c r="F30" s="135"/>
      <c r="G30" s="135"/>
      <c r="H30" s="135"/>
      <c r="I30" s="135"/>
      <c r="J30" s="135"/>
    </row>
    <row r="31" spans="1:11" ht="28.5">
      <c r="A31" s="78" t="s">
        <v>76</v>
      </c>
      <c r="B31" s="79" t="s">
        <v>77</v>
      </c>
      <c r="C31" s="80" t="s">
        <v>45</v>
      </c>
      <c r="D31" s="135"/>
      <c r="E31" s="135"/>
      <c r="F31" s="135"/>
      <c r="G31" s="135"/>
      <c r="H31" s="135"/>
      <c r="I31" s="135"/>
      <c r="J31" s="135"/>
    </row>
    <row r="32" spans="1:11" ht="15">
      <c r="A32" s="73" t="s">
        <v>78</v>
      </c>
      <c r="B32" s="82" t="s">
        <v>65</v>
      </c>
      <c r="C32" s="74"/>
      <c r="D32" s="133"/>
      <c r="E32" s="133"/>
      <c r="F32" s="133"/>
      <c r="G32" s="133"/>
      <c r="H32" s="133"/>
      <c r="I32" s="133"/>
      <c r="J32" s="133"/>
    </row>
    <row r="33" spans="1:14" ht="57">
      <c r="A33" s="78" t="s">
        <v>79</v>
      </c>
      <c r="B33" s="83" t="s">
        <v>80</v>
      </c>
      <c r="C33" s="80" t="s">
        <v>27</v>
      </c>
      <c r="D33" s="133"/>
      <c r="E33" s="133"/>
      <c r="F33" s="133"/>
      <c r="G33" s="133"/>
      <c r="H33" s="133"/>
      <c r="I33" s="133"/>
      <c r="J33" s="133"/>
    </row>
    <row r="34" spans="1:14" ht="28.5" customHeight="1">
      <c r="A34" s="78" t="s">
        <v>81</v>
      </c>
      <c r="B34" s="83" t="s">
        <v>72</v>
      </c>
      <c r="C34" s="80" t="s">
        <v>73</v>
      </c>
      <c r="D34" s="135"/>
      <c r="E34" s="135"/>
      <c r="F34" s="135"/>
      <c r="G34" s="135"/>
      <c r="H34" s="135"/>
      <c r="I34" s="135"/>
      <c r="J34" s="135"/>
    </row>
    <row r="35" spans="1:14" ht="28.5" customHeight="1">
      <c r="A35" s="78" t="s">
        <v>82</v>
      </c>
      <c r="B35" s="84" t="s">
        <v>452</v>
      </c>
      <c r="C35" s="80" t="s">
        <v>73</v>
      </c>
      <c r="D35" s="135"/>
      <c r="E35" s="135"/>
      <c r="F35" s="135"/>
      <c r="G35" s="135"/>
      <c r="H35" s="135"/>
      <c r="I35" s="135"/>
      <c r="J35" s="135"/>
    </row>
    <row r="36" spans="1:14" ht="28.5" customHeight="1">
      <c r="A36" s="78" t="s">
        <v>83</v>
      </c>
      <c r="B36" s="83" t="s">
        <v>84</v>
      </c>
      <c r="C36" s="80" t="s">
        <v>45</v>
      </c>
      <c r="D36" s="135"/>
      <c r="E36" s="135"/>
      <c r="F36" s="135"/>
      <c r="G36" s="135"/>
      <c r="H36" s="135"/>
      <c r="I36" s="135"/>
      <c r="J36" s="135"/>
    </row>
    <row r="37" spans="1:14" ht="28.5">
      <c r="A37" s="78" t="s">
        <v>85</v>
      </c>
      <c r="B37" s="84" t="s">
        <v>453</v>
      </c>
      <c r="C37" s="80" t="s">
        <v>45</v>
      </c>
      <c r="D37" s="133"/>
      <c r="E37" s="133"/>
      <c r="F37" s="133"/>
      <c r="G37" s="133"/>
      <c r="H37" s="133"/>
      <c r="I37" s="133"/>
      <c r="J37" s="133"/>
    </row>
    <row r="38" spans="1:14" ht="42.75">
      <c r="A38" s="78" t="s">
        <v>87</v>
      </c>
      <c r="B38" s="84" t="s">
        <v>88</v>
      </c>
      <c r="C38" s="80" t="s">
        <v>27</v>
      </c>
      <c r="D38" s="133"/>
      <c r="E38" s="133"/>
      <c r="F38" s="133"/>
      <c r="G38" s="133"/>
      <c r="H38" s="133"/>
      <c r="I38" s="133"/>
      <c r="J38" s="133"/>
    </row>
    <row r="39" spans="1:14" ht="42.75">
      <c r="A39" s="78" t="s">
        <v>89</v>
      </c>
      <c r="B39" s="84" t="s">
        <v>90</v>
      </c>
      <c r="C39" s="80" t="s">
        <v>27</v>
      </c>
      <c r="D39" s="133"/>
      <c r="E39" s="133"/>
      <c r="F39" s="133"/>
      <c r="G39" s="133"/>
      <c r="H39" s="133"/>
      <c r="I39" s="133"/>
      <c r="J39" s="133"/>
    </row>
    <row r="40" spans="1:14" ht="42.75">
      <c r="A40" s="78" t="s">
        <v>91</v>
      </c>
      <c r="B40" s="83" t="s">
        <v>92</v>
      </c>
      <c r="C40" s="80" t="s">
        <v>60</v>
      </c>
      <c r="D40" s="135"/>
      <c r="E40" s="135"/>
      <c r="F40" s="135"/>
      <c r="G40" s="135"/>
      <c r="H40" s="135"/>
      <c r="I40" s="135"/>
      <c r="J40" s="135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  <c r="N40" s="5">
        <f>M40</f>
        <v>46.29</v>
      </c>
    </row>
    <row r="41" spans="1:14" ht="15">
      <c r="A41" s="75">
        <v>5</v>
      </c>
      <c r="B41" s="85" t="s">
        <v>93</v>
      </c>
      <c r="C41" s="77"/>
      <c r="D41" s="133"/>
      <c r="E41" s="133"/>
      <c r="F41" s="133"/>
      <c r="G41" s="133"/>
      <c r="H41" s="133"/>
      <c r="I41" s="133"/>
      <c r="J41" s="133"/>
    </row>
    <row r="42" spans="1:14" ht="72" customHeight="1">
      <c r="A42" s="86" t="s">
        <v>94</v>
      </c>
      <c r="B42" s="79" t="s">
        <v>95</v>
      </c>
      <c r="C42" s="80" t="s">
        <v>27</v>
      </c>
      <c r="D42" s="135"/>
      <c r="E42" s="135"/>
      <c r="F42" s="135"/>
      <c r="G42" s="135"/>
      <c r="H42" s="135"/>
      <c r="I42" s="135"/>
      <c r="J42" s="135"/>
      <c r="L42" s="5">
        <f>3.7*1.75*2 + 3.9*1.75-1.1*1.75</f>
        <v>17.850000000000001</v>
      </c>
      <c r="M42" s="5">
        <f>(5.9+5.2+10+ 5+6.2+4.4+1.8+2.2+1.8+4.5 +5.35+9+4.45+3.2+3.2 +2.25+ 4.45)*0.15 + 0.15*(2+1.6+ 2+1.6)+0.15*(5.7+ 4.7+5.7+4.7)</f>
        <v>16.035</v>
      </c>
    </row>
    <row r="43" spans="1:14" ht="15">
      <c r="A43" s="73" t="s">
        <v>96</v>
      </c>
      <c r="B43" s="82" t="s">
        <v>97</v>
      </c>
      <c r="C43" s="74"/>
      <c r="D43" s="133"/>
      <c r="E43" s="133"/>
      <c r="F43" s="133"/>
      <c r="G43" s="133"/>
      <c r="H43" s="133"/>
      <c r="I43" s="133"/>
      <c r="J43" s="133"/>
    </row>
    <row r="44" spans="1:14" ht="28.5">
      <c r="A44" s="86" t="s">
        <v>98</v>
      </c>
      <c r="B44" s="83" t="s">
        <v>99</v>
      </c>
      <c r="C44" s="80" t="s">
        <v>27</v>
      </c>
      <c r="D44" s="133"/>
      <c r="E44" s="133"/>
      <c r="F44" s="133"/>
      <c r="G44" s="133"/>
      <c r="H44" s="133"/>
      <c r="I44" s="133"/>
      <c r="J44" s="133"/>
    </row>
    <row r="45" spans="1:14">
      <c r="A45" s="75">
        <v>6</v>
      </c>
      <c r="B45" s="76" t="s">
        <v>100</v>
      </c>
      <c r="C45" s="77"/>
      <c r="D45" s="133"/>
      <c r="E45" s="133"/>
      <c r="F45" s="133"/>
      <c r="G45" s="133"/>
      <c r="H45" s="133"/>
      <c r="I45" s="133"/>
      <c r="J45" s="133"/>
    </row>
    <row r="46" spans="1:14" ht="28.5">
      <c r="A46" s="86" t="s">
        <v>101</v>
      </c>
      <c r="B46" s="81" t="s">
        <v>102</v>
      </c>
      <c r="C46" s="87" t="s">
        <v>27</v>
      </c>
      <c r="D46" s="135"/>
      <c r="E46" s="135"/>
      <c r="F46" s="135"/>
      <c r="G46" s="135"/>
      <c r="H46" s="135"/>
      <c r="I46" s="135"/>
      <c r="J46" s="135"/>
    </row>
    <row r="47" spans="1:14" ht="28.5">
      <c r="A47" s="86" t="s">
        <v>103</v>
      </c>
      <c r="B47" s="81" t="s">
        <v>104</v>
      </c>
      <c r="C47" s="87" t="s">
        <v>27</v>
      </c>
      <c r="D47" s="133"/>
      <c r="E47" s="133"/>
      <c r="F47" s="133"/>
      <c r="G47" s="133"/>
      <c r="H47" s="133"/>
      <c r="I47" s="133"/>
      <c r="J47" s="133"/>
    </row>
    <row r="48" spans="1:14" ht="28.5">
      <c r="A48" s="78" t="s">
        <v>105</v>
      </c>
      <c r="B48" s="81" t="s">
        <v>106</v>
      </c>
      <c r="C48" s="87" t="s">
        <v>27</v>
      </c>
      <c r="D48" s="133"/>
      <c r="E48" s="133"/>
      <c r="F48" s="133"/>
      <c r="G48" s="133"/>
      <c r="H48" s="133"/>
      <c r="I48" s="133"/>
      <c r="J48" s="133"/>
    </row>
    <row r="49" spans="1:13">
      <c r="A49" s="75">
        <v>7</v>
      </c>
      <c r="B49" s="76" t="s">
        <v>107</v>
      </c>
      <c r="C49" s="77"/>
      <c r="D49" s="133"/>
      <c r="E49" s="133"/>
      <c r="F49" s="133"/>
      <c r="G49" s="133"/>
      <c r="H49" s="133"/>
      <c r="I49" s="133"/>
      <c r="J49" s="133"/>
    </row>
    <row r="50" spans="1:13" ht="15">
      <c r="A50" s="73" t="s">
        <v>108</v>
      </c>
      <c r="B50" s="82" t="s">
        <v>109</v>
      </c>
      <c r="C50" s="74"/>
      <c r="D50" s="133"/>
      <c r="E50" s="133"/>
      <c r="F50" s="133"/>
      <c r="G50" s="133"/>
      <c r="H50" s="133"/>
      <c r="I50" s="133"/>
      <c r="J50" s="133"/>
    </row>
    <row r="51" spans="1:13" ht="28.5">
      <c r="A51" s="86" t="s">
        <v>110</v>
      </c>
      <c r="B51" s="81" t="s">
        <v>454</v>
      </c>
      <c r="C51" s="80" t="s">
        <v>27</v>
      </c>
      <c r="D51" s="135"/>
      <c r="E51" s="135"/>
      <c r="F51" s="135"/>
      <c r="G51" s="135"/>
      <c r="H51" s="135"/>
      <c r="I51" s="135"/>
      <c r="J51" s="135"/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123" customHeight="1">
      <c r="A52" s="86" t="s">
        <v>112</v>
      </c>
      <c r="B52" s="79" t="s">
        <v>113</v>
      </c>
      <c r="C52" s="80" t="s">
        <v>27</v>
      </c>
      <c r="D52" s="135" t="s">
        <v>546</v>
      </c>
      <c r="E52" s="135"/>
      <c r="F52" s="135"/>
      <c r="G52" s="135"/>
      <c r="H52" s="135"/>
      <c r="I52" s="135"/>
      <c r="J52" s="135"/>
      <c r="K52" s="5">
        <v>256.24</v>
      </c>
    </row>
    <row r="53" spans="1:13" ht="57">
      <c r="A53" s="86" t="s">
        <v>114</v>
      </c>
      <c r="B53" s="79" t="s">
        <v>115</v>
      </c>
      <c r="C53" s="80" t="s">
        <v>27</v>
      </c>
      <c r="D53" s="135" t="s">
        <v>561</v>
      </c>
      <c r="E53" s="135"/>
      <c r="F53" s="135"/>
      <c r="G53" s="135"/>
      <c r="H53" s="135"/>
      <c r="I53" s="135"/>
      <c r="J53" s="135"/>
      <c r="K53" s="5">
        <v>103.31</v>
      </c>
      <c r="L53" s="5">
        <f>4.6*3.16 + (8.9+3+2.95+4.5+3.75+7.05+5.8+ 4.5+5.45+0.8+0.8+6.1+3.5)*0.5 + 1.26*13.3 + 1.42*3.2 + 7.3*2.05 + 7.6*2.1 + 8*1</f>
        <v>103.313</v>
      </c>
    </row>
    <row r="54" spans="1:13" ht="42.75">
      <c r="A54" s="86" t="s">
        <v>116</v>
      </c>
      <c r="B54" s="79" t="s">
        <v>117</v>
      </c>
      <c r="C54" s="80" t="s">
        <v>27</v>
      </c>
      <c r="D54" s="133"/>
      <c r="E54" s="133"/>
      <c r="F54" s="133"/>
      <c r="G54" s="133"/>
      <c r="H54" s="133"/>
      <c r="I54" s="133"/>
      <c r="J54" s="133"/>
    </row>
    <row r="55" spans="1:13" ht="57">
      <c r="A55" s="86" t="s">
        <v>118</v>
      </c>
      <c r="B55" s="81" t="s">
        <v>119</v>
      </c>
      <c r="C55" s="80" t="s">
        <v>60</v>
      </c>
      <c r="D55" s="133"/>
      <c r="E55" s="133"/>
      <c r="F55" s="133"/>
      <c r="G55" s="133"/>
      <c r="H55" s="133"/>
      <c r="I55" s="133"/>
      <c r="J55" s="133"/>
    </row>
    <row r="56" spans="1:13">
      <c r="A56" s="86" t="s">
        <v>120</v>
      </c>
      <c r="B56" s="79" t="s">
        <v>121</v>
      </c>
      <c r="C56" s="80" t="s">
        <v>27</v>
      </c>
      <c r="D56" s="133"/>
      <c r="E56" s="133"/>
      <c r="F56" s="133"/>
      <c r="G56" s="133"/>
      <c r="H56" s="133"/>
      <c r="I56" s="133"/>
      <c r="J56" s="133"/>
    </row>
    <row r="57" spans="1:13" ht="28.5">
      <c r="A57" s="86" t="s">
        <v>122</v>
      </c>
      <c r="B57" s="81" t="s">
        <v>455</v>
      </c>
      <c r="C57" s="80" t="s">
        <v>60</v>
      </c>
      <c r="D57" s="133"/>
      <c r="E57" s="133"/>
      <c r="F57" s="133"/>
      <c r="G57" s="133"/>
      <c r="H57" s="133"/>
      <c r="I57" s="133"/>
      <c r="J57" s="133"/>
    </row>
    <row r="58" spans="1:13" ht="103.5" customHeight="1">
      <c r="A58" s="86" t="s">
        <v>124</v>
      </c>
      <c r="B58" s="79" t="s">
        <v>125</v>
      </c>
      <c r="C58" s="80" t="s">
        <v>27</v>
      </c>
      <c r="D58" s="135" t="s">
        <v>562</v>
      </c>
      <c r="E58" s="135"/>
      <c r="F58" s="135"/>
      <c r="G58" s="135"/>
      <c r="H58" s="135"/>
      <c r="I58" s="135"/>
      <c r="J58" s="135"/>
      <c r="K58" s="5">
        <v>234.35</v>
      </c>
    </row>
    <row r="59" spans="1:13" ht="42.75">
      <c r="A59" s="86" t="s">
        <v>126</v>
      </c>
      <c r="B59" s="81" t="s">
        <v>127</v>
      </c>
      <c r="C59" s="80" t="s">
        <v>60</v>
      </c>
      <c r="D59" s="133" t="s">
        <v>560</v>
      </c>
      <c r="E59" s="133"/>
      <c r="F59" s="133"/>
      <c r="G59" s="133"/>
      <c r="H59" s="133"/>
      <c r="I59" s="133"/>
      <c r="J59" s="133"/>
      <c r="K59" s="5">
        <v>204.25</v>
      </c>
    </row>
    <row r="60" spans="1:13" ht="28.5">
      <c r="A60" s="86" t="s">
        <v>128</v>
      </c>
      <c r="B60" s="79" t="s">
        <v>129</v>
      </c>
      <c r="C60" s="80" t="s">
        <v>60</v>
      </c>
      <c r="D60" s="135"/>
      <c r="E60" s="135"/>
      <c r="F60" s="135"/>
      <c r="G60" s="135"/>
      <c r="H60" s="135"/>
      <c r="I60" s="135"/>
      <c r="J60" s="135"/>
      <c r="L60" s="5">
        <f>14*0.9+6*0.8+1+1.2+2+1.07+4.35</f>
        <v>27.019999999999996</v>
      </c>
    </row>
    <row r="61" spans="1:13" ht="15">
      <c r="A61" s="73" t="s">
        <v>130</v>
      </c>
      <c r="B61" s="82" t="s">
        <v>131</v>
      </c>
      <c r="C61" s="74"/>
      <c r="D61" s="133"/>
      <c r="E61" s="133"/>
      <c r="F61" s="133"/>
      <c r="G61" s="133"/>
      <c r="H61" s="133"/>
      <c r="I61" s="133"/>
      <c r="J61" s="133"/>
    </row>
    <row r="62" spans="1:13" ht="28.5">
      <c r="A62" s="86" t="s">
        <v>132</v>
      </c>
      <c r="B62" s="81" t="s">
        <v>133</v>
      </c>
      <c r="C62" s="80" t="s">
        <v>27</v>
      </c>
      <c r="D62" s="133"/>
      <c r="E62" s="133"/>
      <c r="F62" s="133"/>
      <c r="G62" s="133"/>
      <c r="H62" s="133"/>
      <c r="I62" s="133"/>
      <c r="J62" s="133"/>
    </row>
    <row r="63" spans="1:13" ht="42.75">
      <c r="A63" s="86" t="s">
        <v>134</v>
      </c>
      <c r="B63" s="81" t="s">
        <v>456</v>
      </c>
      <c r="C63" s="80" t="s">
        <v>27</v>
      </c>
      <c r="D63" s="133"/>
      <c r="E63" s="133"/>
      <c r="F63" s="133"/>
      <c r="G63" s="133"/>
      <c r="H63" s="133"/>
      <c r="I63" s="133"/>
      <c r="J63" s="133"/>
    </row>
    <row r="64" spans="1:13" ht="28.5">
      <c r="A64" s="86" t="s">
        <v>136</v>
      </c>
      <c r="B64" s="79" t="s">
        <v>137</v>
      </c>
      <c r="C64" s="80" t="s">
        <v>27</v>
      </c>
      <c r="D64" s="135"/>
      <c r="E64" s="135"/>
      <c r="F64" s="135"/>
      <c r="G64" s="135"/>
      <c r="H64" s="135"/>
      <c r="I64" s="135"/>
      <c r="J64" s="135"/>
    </row>
    <row r="65" spans="1:14" ht="87" customHeight="1">
      <c r="A65" s="86" t="s">
        <v>138</v>
      </c>
      <c r="B65" s="79" t="s">
        <v>139</v>
      </c>
      <c r="C65" s="80" t="s">
        <v>27</v>
      </c>
      <c r="D65" s="135"/>
      <c r="E65" s="135"/>
      <c r="F65" s="135"/>
      <c r="G65" s="135"/>
      <c r="H65" s="135"/>
      <c r="I65" s="135"/>
      <c r="J65" s="135"/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6" t="s">
        <v>140</v>
      </c>
      <c r="B66" s="81" t="s">
        <v>141</v>
      </c>
      <c r="C66" s="80" t="s">
        <v>27</v>
      </c>
      <c r="D66" s="133"/>
      <c r="E66" s="133"/>
      <c r="F66" s="133"/>
      <c r="G66" s="133"/>
      <c r="H66" s="133"/>
      <c r="I66" s="133"/>
      <c r="J66" s="133"/>
      <c r="M66" s="5">
        <f>1317.64-K65</f>
        <v>1317.64</v>
      </c>
      <c r="N66" s="5" t="s">
        <v>519</v>
      </c>
    </row>
    <row r="67" spans="1:14" ht="28.5">
      <c r="A67" s="86" t="s">
        <v>142</v>
      </c>
      <c r="B67" s="81" t="s">
        <v>143</v>
      </c>
      <c r="C67" s="80" t="s">
        <v>27</v>
      </c>
      <c r="D67" s="133"/>
      <c r="E67" s="133"/>
      <c r="F67" s="133"/>
      <c r="G67" s="133"/>
      <c r="H67" s="133"/>
      <c r="I67" s="133"/>
      <c r="J67" s="133"/>
      <c r="M67" s="5">
        <f>M66-K69</f>
        <v>1317.64</v>
      </c>
      <c r="N67" s="5" t="s">
        <v>520</v>
      </c>
    </row>
    <row r="68" spans="1:14">
      <c r="A68" s="86" t="s">
        <v>144</v>
      </c>
      <c r="B68" s="79" t="s">
        <v>145</v>
      </c>
      <c r="C68" s="80" t="s">
        <v>60</v>
      </c>
      <c r="D68" s="133"/>
      <c r="E68" s="133"/>
      <c r="F68" s="133"/>
      <c r="G68" s="133"/>
      <c r="H68" s="133"/>
      <c r="I68" s="133"/>
      <c r="J68" s="133"/>
    </row>
    <row r="69" spans="1:14" ht="28.5">
      <c r="A69" s="86" t="s">
        <v>146</v>
      </c>
      <c r="B69" s="79" t="s">
        <v>147</v>
      </c>
      <c r="C69" s="80" t="s">
        <v>27</v>
      </c>
      <c r="D69" s="133"/>
      <c r="E69" s="133"/>
      <c r="F69" s="133"/>
      <c r="G69" s="133"/>
      <c r="H69" s="133"/>
      <c r="I69" s="133"/>
      <c r="J69" s="133"/>
      <c r="M69" s="5" t="s">
        <v>521</v>
      </c>
    </row>
    <row r="70" spans="1:14" ht="15">
      <c r="A70" s="73" t="s">
        <v>148</v>
      </c>
      <c r="B70" s="82" t="s">
        <v>149</v>
      </c>
      <c r="C70" s="74"/>
      <c r="D70" s="133"/>
      <c r="E70" s="133"/>
      <c r="F70" s="133"/>
      <c r="G70" s="133"/>
      <c r="H70" s="133"/>
      <c r="I70" s="133"/>
      <c r="J70" s="133"/>
    </row>
    <row r="71" spans="1:14" ht="28.5">
      <c r="A71" s="86" t="s">
        <v>150</v>
      </c>
      <c r="B71" s="81" t="s">
        <v>457</v>
      </c>
      <c r="C71" s="80" t="s">
        <v>27</v>
      </c>
      <c r="D71" s="133"/>
      <c r="E71" s="133"/>
      <c r="F71" s="133"/>
      <c r="G71" s="133"/>
      <c r="H71" s="133"/>
      <c r="I71" s="133"/>
      <c r="J71" s="133"/>
    </row>
    <row r="72" spans="1:14" ht="28.5">
      <c r="A72" s="86" t="s">
        <v>152</v>
      </c>
      <c r="B72" s="81" t="s">
        <v>153</v>
      </c>
      <c r="C72" s="80" t="s">
        <v>27</v>
      </c>
      <c r="D72" s="133"/>
      <c r="E72" s="133"/>
      <c r="F72" s="133"/>
      <c r="G72" s="133"/>
      <c r="H72" s="133"/>
      <c r="I72" s="133"/>
      <c r="J72" s="133"/>
    </row>
    <row r="73" spans="1:14" ht="41.25" customHeight="1">
      <c r="A73" s="86" t="s">
        <v>154</v>
      </c>
      <c r="B73" s="81" t="s">
        <v>155</v>
      </c>
      <c r="C73" s="80" t="s">
        <v>27</v>
      </c>
      <c r="D73" s="135"/>
      <c r="E73" s="135"/>
      <c r="F73" s="135"/>
      <c r="G73" s="135"/>
      <c r="H73" s="135"/>
      <c r="I73" s="135"/>
      <c r="J73" s="135"/>
    </row>
    <row r="74" spans="1:14" ht="28.5">
      <c r="A74" s="86" t="s">
        <v>156</v>
      </c>
      <c r="B74" s="81" t="s">
        <v>143</v>
      </c>
      <c r="C74" s="80" t="s">
        <v>27</v>
      </c>
      <c r="D74" s="133"/>
      <c r="E74" s="133"/>
      <c r="F74" s="133"/>
      <c r="G74" s="133"/>
      <c r="H74" s="133"/>
      <c r="I74" s="133"/>
      <c r="J74" s="133"/>
    </row>
    <row r="75" spans="1:14" ht="28.5">
      <c r="A75" s="86" t="s">
        <v>157</v>
      </c>
      <c r="B75" s="79" t="s">
        <v>147</v>
      </c>
      <c r="C75" s="80" t="s">
        <v>27</v>
      </c>
      <c r="D75" s="133"/>
      <c r="E75" s="133"/>
      <c r="F75" s="133"/>
      <c r="G75" s="133"/>
      <c r="H75" s="133"/>
      <c r="I75" s="133"/>
      <c r="J75" s="133"/>
    </row>
    <row r="76" spans="1:14" ht="42.75">
      <c r="A76" s="86" t="s">
        <v>158</v>
      </c>
      <c r="B76" s="88" t="s">
        <v>159</v>
      </c>
      <c r="C76" s="89" t="s">
        <v>27</v>
      </c>
      <c r="D76" s="133"/>
      <c r="E76" s="133"/>
      <c r="F76" s="133"/>
      <c r="G76" s="133"/>
      <c r="H76" s="133"/>
      <c r="I76" s="133"/>
      <c r="J76" s="133"/>
    </row>
    <row r="77" spans="1:14" ht="15">
      <c r="A77" s="73" t="s">
        <v>160</v>
      </c>
      <c r="B77" s="134" t="s">
        <v>161</v>
      </c>
      <c r="C77" s="134"/>
      <c r="D77" s="133"/>
      <c r="E77" s="133"/>
      <c r="F77" s="133"/>
      <c r="G77" s="133"/>
      <c r="H77" s="133"/>
      <c r="I77" s="133"/>
      <c r="J77" s="133"/>
    </row>
    <row r="78" spans="1:14" ht="28.5">
      <c r="A78" s="86" t="s">
        <v>162</v>
      </c>
      <c r="B78" s="79" t="s">
        <v>147</v>
      </c>
      <c r="C78" s="80" t="s">
        <v>27</v>
      </c>
      <c r="D78" s="133"/>
      <c r="E78" s="133"/>
      <c r="F78" s="133"/>
      <c r="G78" s="133"/>
      <c r="H78" s="133"/>
      <c r="I78" s="133"/>
      <c r="J78" s="133"/>
    </row>
    <row r="79" spans="1:14">
      <c r="A79" s="75">
        <v>8</v>
      </c>
      <c r="B79" s="76" t="s">
        <v>163</v>
      </c>
      <c r="C79" s="77"/>
      <c r="D79" s="133"/>
      <c r="E79" s="133"/>
      <c r="F79" s="133"/>
      <c r="G79" s="133"/>
      <c r="H79" s="133"/>
      <c r="I79" s="133"/>
      <c r="J79" s="133"/>
    </row>
    <row r="80" spans="1:14" ht="15">
      <c r="A80" s="73" t="s">
        <v>164</v>
      </c>
      <c r="B80" s="90" t="s">
        <v>165</v>
      </c>
      <c r="C80" s="74"/>
      <c r="D80" s="133"/>
      <c r="E80" s="133"/>
      <c r="F80" s="133"/>
      <c r="G80" s="133"/>
      <c r="H80" s="133"/>
      <c r="I80" s="133"/>
      <c r="J80" s="133"/>
    </row>
    <row r="81" spans="1:10" ht="28.5">
      <c r="A81" s="86" t="s">
        <v>166</v>
      </c>
      <c r="B81" s="81" t="s">
        <v>167</v>
      </c>
      <c r="C81" s="80" t="s">
        <v>36</v>
      </c>
      <c r="D81" s="133"/>
      <c r="E81" s="133"/>
      <c r="F81" s="133"/>
      <c r="G81" s="133"/>
      <c r="H81" s="133"/>
      <c r="I81" s="133"/>
      <c r="J81" s="133"/>
    </row>
    <row r="82" spans="1:10" ht="28.5">
      <c r="A82" s="86" t="s">
        <v>168</v>
      </c>
      <c r="B82" s="81" t="s">
        <v>169</v>
      </c>
      <c r="C82" s="80" t="s">
        <v>36</v>
      </c>
      <c r="D82" s="133"/>
      <c r="E82" s="133"/>
      <c r="F82" s="133"/>
      <c r="G82" s="133"/>
      <c r="H82" s="133"/>
      <c r="I82" s="133"/>
      <c r="J82" s="133"/>
    </row>
    <row r="83" spans="1:10" ht="28.5">
      <c r="A83" s="86" t="s">
        <v>170</v>
      </c>
      <c r="B83" s="81" t="s">
        <v>171</v>
      </c>
      <c r="C83" s="80" t="s">
        <v>36</v>
      </c>
      <c r="D83" s="133"/>
      <c r="E83" s="133"/>
      <c r="F83" s="133"/>
      <c r="G83" s="133"/>
      <c r="H83" s="133"/>
      <c r="I83" s="133"/>
      <c r="J83" s="133"/>
    </row>
    <row r="84" spans="1:10" ht="28.5">
      <c r="A84" s="86" t="s">
        <v>172</v>
      </c>
      <c r="B84" s="81" t="s">
        <v>173</v>
      </c>
      <c r="C84" s="80" t="s">
        <v>36</v>
      </c>
      <c r="D84" s="133"/>
      <c r="E84" s="133"/>
      <c r="F84" s="133"/>
      <c r="G84" s="133"/>
      <c r="H84" s="133"/>
      <c r="I84" s="133"/>
      <c r="J84" s="133"/>
    </row>
    <row r="85" spans="1:10" ht="42.75">
      <c r="A85" s="86" t="s">
        <v>174</v>
      </c>
      <c r="B85" s="81" t="s">
        <v>175</v>
      </c>
      <c r="C85" s="80" t="s">
        <v>36</v>
      </c>
      <c r="D85" s="133"/>
      <c r="E85" s="133"/>
      <c r="F85" s="133"/>
      <c r="G85" s="133"/>
      <c r="H85" s="133"/>
      <c r="I85" s="133"/>
      <c r="J85" s="133"/>
    </row>
    <row r="86" spans="1:10" ht="42.75">
      <c r="A86" s="86" t="s">
        <v>176</v>
      </c>
      <c r="B86" s="81" t="s">
        <v>177</v>
      </c>
      <c r="C86" s="80" t="s">
        <v>36</v>
      </c>
      <c r="D86" s="133"/>
      <c r="E86" s="133"/>
      <c r="F86" s="133"/>
      <c r="G86" s="133"/>
      <c r="H86" s="133"/>
      <c r="I86" s="133"/>
      <c r="J86" s="133"/>
    </row>
    <row r="87" spans="1:10" ht="42.75">
      <c r="A87" s="86" t="s">
        <v>178</v>
      </c>
      <c r="B87" s="81" t="s">
        <v>179</v>
      </c>
      <c r="C87" s="80" t="s">
        <v>36</v>
      </c>
      <c r="D87" s="133"/>
      <c r="E87" s="133"/>
      <c r="F87" s="133"/>
      <c r="G87" s="133"/>
      <c r="H87" s="133"/>
      <c r="I87" s="133"/>
      <c r="J87" s="133"/>
    </row>
    <row r="88" spans="1:10" ht="28.5">
      <c r="A88" s="86" t="s">
        <v>180</v>
      </c>
      <c r="B88" s="81" t="s">
        <v>458</v>
      </c>
      <c r="C88" s="80" t="s">
        <v>27</v>
      </c>
      <c r="D88" s="133"/>
      <c r="E88" s="133"/>
      <c r="F88" s="133"/>
      <c r="G88" s="133"/>
      <c r="H88" s="133"/>
      <c r="I88" s="133"/>
      <c r="J88" s="133"/>
    </row>
    <row r="89" spans="1:10" ht="15">
      <c r="A89" s="73" t="s">
        <v>182</v>
      </c>
      <c r="B89" s="82" t="s">
        <v>183</v>
      </c>
      <c r="C89" s="74"/>
      <c r="D89" s="133"/>
      <c r="E89" s="133"/>
      <c r="F89" s="133"/>
      <c r="G89" s="133"/>
      <c r="H89" s="133"/>
      <c r="I89" s="133"/>
      <c r="J89" s="133"/>
    </row>
    <row r="90" spans="1:10" ht="28.5">
      <c r="A90" s="86" t="s">
        <v>184</v>
      </c>
      <c r="B90" s="81" t="s">
        <v>185</v>
      </c>
      <c r="C90" s="80" t="s">
        <v>27</v>
      </c>
      <c r="D90" s="133"/>
      <c r="E90" s="133"/>
      <c r="F90" s="133"/>
      <c r="G90" s="133"/>
      <c r="H90" s="133"/>
      <c r="I90" s="133"/>
      <c r="J90" s="133"/>
    </row>
    <row r="91" spans="1:10" ht="28.5">
      <c r="A91" s="86" t="s">
        <v>186</v>
      </c>
      <c r="B91" s="79" t="s">
        <v>187</v>
      </c>
      <c r="C91" s="80" t="s">
        <v>27</v>
      </c>
      <c r="D91" s="133"/>
      <c r="E91" s="133"/>
      <c r="F91" s="133"/>
      <c r="G91" s="133"/>
      <c r="H91" s="133"/>
      <c r="I91" s="133"/>
      <c r="J91" s="133"/>
    </row>
    <row r="92" spans="1:10">
      <c r="A92" s="86" t="s">
        <v>188</v>
      </c>
      <c r="B92" s="79" t="s">
        <v>189</v>
      </c>
      <c r="C92" s="80" t="s">
        <v>27</v>
      </c>
      <c r="D92" s="133"/>
      <c r="E92" s="133"/>
      <c r="F92" s="133"/>
      <c r="G92" s="133"/>
      <c r="H92" s="133"/>
      <c r="I92" s="133"/>
      <c r="J92" s="133"/>
    </row>
    <row r="93" spans="1:10" ht="28.5">
      <c r="A93" s="86" t="s">
        <v>190</v>
      </c>
      <c r="B93" s="81" t="s">
        <v>459</v>
      </c>
      <c r="C93" s="80" t="s">
        <v>60</v>
      </c>
      <c r="D93" s="133"/>
      <c r="E93" s="133"/>
      <c r="F93" s="133"/>
      <c r="G93" s="133"/>
      <c r="H93" s="133"/>
      <c r="I93" s="133"/>
      <c r="J93" s="133"/>
    </row>
    <row r="94" spans="1:10" ht="15">
      <c r="A94" s="73" t="s">
        <v>192</v>
      </c>
      <c r="B94" s="82" t="s">
        <v>193</v>
      </c>
      <c r="C94" s="74"/>
      <c r="D94" s="133"/>
      <c r="E94" s="133"/>
      <c r="F94" s="133"/>
      <c r="G94" s="133"/>
      <c r="H94" s="133"/>
      <c r="I94" s="133"/>
      <c r="J94" s="133"/>
    </row>
    <row r="95" spans="1:10">
      <c r="A95" s="86" t="s">
        <v>194</v>
      </c>
      <c r="B95" s="83" t="s">
        <v>195</v>
      </c>
      <c r="C95" s="80" t="s">
        <v>27</v>
      </c>
      <c r="D95" s="133"/>
      <c r="E95" s="133"/>
      <c r="F95" s="133"/>
      <c r="G95" s="133"/>
      <c r="H95" s="133"/>
      <c r="I95" s="133"/>
      <c r="J95" s="133"/>
    </row>
    <row r="96" spans="1:10">
      <c r="A96" s="86" t="s">
        <v>196</v>
      </c>
      <c r="B96" s="83" t="s">
        <v>197</v>
      </c>
      <c r="C96" s="80" t="s">
        <v>27</v>
      </c>
      <c r="D96" s="133"/>
      <c r="E96" s="133"/>
      <c r="F96" s="133"/>
      <c r="G96" s="133"/>
      <c r="H96" s="133"/>
      <c r="I96" s="133"/>
      <c r="J96" s="133"/>
    </row>
    <row r="97" spans="1:12" ht="28.5">
      <c r="A97" s="86" t="s">
        <v>198</v>
      </c>
      <c r="B97" s="84" t="s">
        <v>460</v>
      </c>
      <c r="C97" s="80" t="s">
        <v>27</v>
      </c>
      <c r="D97" s="133"/>
      <c r="E97" s="133"/>
      <c r="F97" s="133"/>
      <c r="G97" s="133"/>
      <c r="H97" s="133"/>
      <c r="I97" s="133"/>
      <c r="J97" s="133"/>
    </row>
    <row r="98" spans="1:12">
      <c r="A98" s="75">
        <v>9</v>
      </c>
      <c r="B98" s="76" t="s">
        <v>200</v>
      </c>
      <c r="C98" s="77"/>
      <c r="D98" s="133"/>
      <c r="E98" s="133"/>
      <c r="F98" s="133"/>
      <c r="G98" s="133"/>
      <c r="H98" s="133"/>
      <c r="I98" s="133"/>
      <c r="J98" s="133"/>
    </row>
    <row r="99" spans="1:12" ht="15">
      <c r="A99" s="73" t="s">
        <v>201</v>
      </c>
      <c r="B99" s="82" t="s">
        <v>202</v>
      </c>
      <c r="C99" s="74"/>
      <c r="D99" s="133"/>
      <c r="E99" s="133"/>
      <c r="F99" s="133"/>
      <c r="G99" s="133"/>
      <c r="H99" s="133"/>
      <c r="I99" s="133"/>
      <c r="J99" s="133"/>
    </row>
    <row r="100" spans="1:12" ht="28.5">
      <c r="A100" s="86" t="s">
        <v>203</v>
      </c>
      <c r="B100" s="81" t="s">
        <v>204</v>
      </c>
      <c r="C100" s="80" t="s">
        <v>36</v>
      </c>
      <c r="D100" s="133" t="s">
        <v>563</v>
      </c>
      <c r="E100" s="133"/>
      <c r="F100" s="133"/>
      <c r="G100" s="133"/>
      <c r="H100" s="133"/>
      <c r="I100" s="133"/>
      <c r="J100" s="133"/>
      <c r="K100" s="5">
        <v>1</v>
      </c>
    </row>
    <row r="101" spans="1:12" ht="15">
      <c r="A101" s="73" t="s">
        <v>205</v>
      </c>
      <c r="B101" s="82" t="s">
        <v>206</v>
      </c>
      <c r="C101" s="74"/>
      <c r="D101" s="133"/>
      <c r="E101" s="133"/>
      <c r="F101" s="133"/>
      <c r="G101" s="133"/>
      <c r="H101" s="133"/>
      <c r="I101" s="133"/>
      <c r="J101" s="133"/>
    </row>
    <row r="102" spans="1:12" ht="42.75">
      <c r="A102" s="86" t="s">
        <v>207</v>
      </c>
      <c r="B102" s="81" t="s">
        <v>461</v>
      </c>
      <c r="C102" s="80" t="s">
        <v>36</v>
      </c>
      <c r="D102" s="133"/>
      <c r="E102" s="133"/>
      <c r="F102" s="133"/>
      <c r="G102" s="133"/>
      <c r="H102" s="133"/>
      <c r="I102" s="133"/>
      <c r="J102" s="133"/>
    </row>
    <row r="103" spans="1:12" ht="28.5">
      <c r="A103" s="86" t="s">
        <v>209</v>
      </c>
      <c r="B103" s="81" t="s">
        <v>462</v>
      </c>
      <c r="C103" s="80" t="s">
        <v>36</v>
      </c>
      <c r="D103" s="133"/>
      <c r="E103" s="133"/>
      <c r="F103" s="133"/>
      <c r="G103" s="133"/>
      <c r="H103" s="133"/>
      <c r="I103" s="133"/>
      <c r="J103" s="133"/>
    </row>
    <row r="104" spans="1:12" ht="28.5">
      <c r="A104" s="86" t="s">
        <v>211</v>
      </c>
      <c r="B104" s="79" t="s">
        <v>212</v>
      </c>
      <c r="C104" s="80" t="s">
        <v>36</v>
      </c>
      <c r="D104" s="133"/>
      <c r="E104" s="133"/>
      <c r="F104" s="133"/>
      <c r="G104" s="133"/>
      <c r="H104" s="133"/>
      <c r="I104" s="133"/>
      <c r="J104" s="133"/>
    </row>
    <row r="105" spans="1:12" ht="28.5">
      <c r="A105" s="86" t="s">
        <v>213</v>
      </c>
      <c r="B105" s="79" t="s">
        <v>214</v>
      </c>
      <c r="C105" s="80" t="s">
        <v>36</v>
      </c>
      <c r="D105" s="133"/>
      <c r="E105" s="133"/>
      <c r="F105" s="133"/>
      <c r="G105" s="133"/>
      <c r="H105" s="133"/>
      <c r="I105" s="133"/>
      <c r="J105" s="133"/>
    </row>
    <row r="106" spans="1:12" ht="42.75">
      <c r="A106" s="86" t="s">
        <v>215</v>
      </c>
      <c r="B106" s="79" t="s">
        <v>216</v>
      </c>
      <c r="C106" s="80" t="s">
        <v>36</v>
      </c>
      <c r="D106" s="133"/>
      <c r="E106" s="133"/>
      <c r="F106" s="133"/>
      <c r="G106" s="133"/>
      <c r="H106" s="133"/>
      <c r="I106" s="133"/>
      <c r="J106" s="133"/>
    </row>
    <row r="107" spans="1:12" ht="28.5">
      <c r="A107" s="86" t="s">
        <v>217</v>
      </c>
      <c r="B107" s="81" t="s">
        <v>463</v>
      </c>
      <c r="C107" s="80" t="s">
        <v>36</v>
      </c>
      <c r="D107" s="133"/>
      <c r="E107" s="133"/>
      <c r="F107" s="133"/>
      <c r="G107" s="133"/>
      <c r="H107" s="133"/>
      <c r="I107" s="133"/>
      <c r="J107" s="133"/>
    </row>
    <row r="108" spans="1:12" ht="28.5">
      <c r="A108" s="86" t="s">
        <v>219</v>
      </c>
      <c r="B108" s="81" t="s">
        <v>220</v>
      </c>
      <c r="C108" s="80" t="s">
        <v>36</v>
      </c>
      <c r="D108" s="135" t="s">
        <v>564</v>
      </c>
      <c r="E108" s="135"/>
      <c r="F108" s="135"/>
      <c r="G108" s="135"/>
      <c r="H108" s="135"/>
      <c r="I108" s="135"/>
      <c r="J108" s="135"/>
      <c r="K108" s="5">
        <v>68</v>
      </c>
      <c r="L108" s="5">
        <f>2+5+9+3+4+1+2+2+3+4+9+6+4+1+9+8+8+3+18+3+7+6+7+16</f>
        <v>140</v>
      </c>
    </row>
    <row r="109" spans="1:12">
      <c r="A109" s="86" t="s">
        <v>221</v>
      </c>
      <c r="B109" s="79" t="s">
        <v>222</v>
      </c>
      <c r="C109" s="80" t="s">
        <v>36</v>
      </c>
      <c r="D109" s="133"/>
      <c r="E109" s="133"/>
      <c r="F109" s="133"/>
      <c r="G109" s="133"/>
      <c r="H109" s="133"/>
      <c r="I109" s="133"/>
      <c r="J109" s="133"/>
    </row>
    <row r="110" spans="1:12">
      <c r="A110" s="86" t="s">
        <v>223</v>
      </c>
      <c r="B110" s="79" t="s">
        <v>224</v>
      </c>
      <c r="C110" s="80" t="s">
        <v>36</v>
      </c>
      <c r="D110" s="133"/>
      <c r="E110" s="133"/>
      <c r="F110" s="133"/>
      <c r="G110" s="133"/>
      <c r="H110" s="133"/>
      <c r="I110" s="133"/>
      <c r="J110" s="133"/>
    </row>
    <row r="111" spans="1:12" ht="28.5">
      <c r="A111" s="86" t="s">
        <v>225</v>
      </c>
      <c r="B111" s="81" t="s">
        <v>226</v>
      </c>
      <c r="C111" s="80" t="s">
        <v>36</v>
      </c>
      <c r="D111" s="133"/>
      <c r="E111" s="133"/>
      <c r="F111" s="133"/>
      <c r="G111" s="133"/>
      <c r="H111" s="133"/>
      <c r="I111" s="133"/>
      <c r="J111" s="133"/>
    </row>
    <row r="112" spans="1:12">
      <c r="A112" s="86" t="s">
        <v>227</v>
      </c>
      <c r="B112" s="79" t="s">
        <v>224</v>
      </c>
      <c r="C112" s="80" t="s">
        <v>36</v>
      </c>
      <c r="D112" s="133"/>
      <c r="E112" s="133"/>
      <c r="F112" s="133"/>
      <c r="G112" s="133"/>
      <c r="H112" s="133"/>
      <c r="I112" s="133"/>
      <c r="J112" s="133"/>
    </row>
    <row r="113" spans="1:11">
      <c r="A113" s="86" t="s">
        <v>228</v>
      </c>
      <c r="B113" s="79" t="s">
        <v>229</v>
      </c>
      <c r="C113" s="80" t="s">
        <v>36</v>
      </c>
      <c r="D113" s="133"/>
      <c r="E113" s="133"/>
      <c r="F113" s="133"/>
      <c r="G113" s="133"/>
      <c r="H113" s="133"/>
      <c r="I113" s="133"/>
      <c r="J113" s="133"/>
    </row>
    <row r="114" spans="1:11" ht="28.5">
      <c r="A114" s="86" t="s">
        <v>230</v>
      </c>
      <c r="B114" s="81" t="s">
        <v>220</v>
      </c>
      <c r="C114" s="80" t="s">
        <v>36</v>
      </c>
      <c r="D114" s="135" t="s">
        <v>564</v>
      </c>
      <c r="E114" s="135"/>
      <c r="F114" s="135"/>
      <c r="G114" s="135"/>
      <c r="H114" s="135"/>
      <c r="I114" s="135"/>
      <c r="J114" s="135"/>
      <c r="K114" s="5">
        <v>61</v>
      </c>
    </row>
    <row r="115" spans="1:11" ht="28.5">
      <c r="A115" s="86" t="s">
        <v>231</v>
      </c>
      <c r="B115" s="81" t="s">
        <v>232</v>
      </c>
      <c r="C115" s="80" t="s">
        <v>36</v>
      </c>
      <c r="D115" s="133"/>
      <c r="E115" s="133"/>
      <c r="F115" s="133"/>
      <c r="G115" s="133"/>
      <c r="H115" s="133"/>
      <c r="I115" s="133"/>
      <c r="J115" s="133"/>
    </row>
    <row r="116" spans="1:11" ht="28.5">
      <c r="A116" s="86" t="s">
        <v>233</v>
      </c>
      <c r="B116" s="81" t="s">
        <v>234</v>
      </c>
      <c r="C116" s="80" t="s">
        <v>36</v>
      </c>
      <c r="D116" s="133"/>
      <c r="E116" s="133"/>
      <c r="F116" s="133"/>
      <c r="G116" s="133"/>
      <c r="H116" s="133"/>
      <c r="I116" s="133"/>
      <c r="J116" s="133"/>
    </row>
    <row r="117" spans="1:11" ht="28.5">
      <c r="A117" s="86" t="s">
        <v>235</v>
      </c>
      <c r="B117" s="81" t="s">
        <v>236</v>
      </c>
      <c r="C117" s="80" t="s">
        <v>36</v>
      </c>
      <c r="D117" s="133"/>
      <c r="E117" s="133"/>
      <c r="F117" s="133"/>
      <c r="G117" s="133"/>
      <c r="H117" s="133"/>
      <c r="I117" s="133"/>
      <c r="J117" s="133"/>
    </row>
    <row r="118" spans="1:11" ht="28.5">
      <c r="A118" s="86" t="s">
        <v>237</v>
      </c>
      <c r="B118" s="81" t="s">
        <v>238</v>
      </c>
      <c r="C118" s="80" t="s">
        <v>36</v>
      </c>
      <c r="D118" s="133"/>
      <c r="E118" s="133"/>
      <c r="F118" s="133"/>
      <c r="G118" s="133"/>
      <c r="H118" s="133"/>
      <c r="I118" s="133"/>
      <c r="J118" s="133"/>
    </row>
    <row r="119" spans="1:11" ht="28.5">
      <c r="A119" s="86" t="s">
        <v>239</v>
      </c>
      <c r="B119" s="81" t="s">
        <v>240</v>
      </c>
      <c r="C119" s="80" t="s">
        <v>36</v>
      </c>
      <c r="D119" s="133"/>
      <c r="E119" s="133"/>
      <c r="F119" s="133"/>
      <c r="G119" s="133"/>
      <c r="H119" s="133"/>
      <c r="I119" s="133"/>
      <c r="J119" s="133"/>
    </row>
    <row r="120" spans="1:11">
      <c r="A120" s="86" t="s">
        <v>241</v>
      </c>
      <c r="B120" s="79" t="s">
        <v>242</v>
      </c>
      <c r="C120" s="80" t="s">
        <v>36</v>
      </c>
      <c r="D120" s="133"/>
      <c r="E120" s="133"/>
      <c r="F120" s="133"/>
      <c r="G120" s="133"/>
      <c r="H120" s="133"/>
      <c r="I120" s="133"/>
      <c r="J120" s="133"/>
    </row>
    <row r="121" spans="1:11">
      <c r="A121" s="86" t="s">
        <v>243</v>
      </c>
      <c r="B121" s="79" t="s">
        <v>244</v>
      </c>
      <c r="C121" s="80" t="s">
        <v>36</v>
      </c>
      <c r="D121" s="133"/>
      <c r="E121" s="133"/>
      <c r="F121" s="133"/>
      <c r="G121" s="133"/>
      <c r="H121" s="133"/>
      <c r="I121" s="133"/>
      <c r="J121" s="133"/>
    </row>
    <row r="122" spans="1:11" ht="28.5">
      <c r="A122" s="86" t="s">
        <v>245</v>
      </c>
      <c r="B122" s="81" t="s">
        <v>220</v>
      </c>
      <c r="C122" s="80" t="s">
        <v>36</v>
      </c>
      <c r="D122" s="135" t="s">
        <v>564</v>
      </c>
      <c r="E122" s="135"/>
      <c r="F122" s="135"/>
      <c r="G122" s="135"/>
      <c r="H122" s="135"/>
      <c r="I122" s="135"/>
      <c r="J122" s="135"/>
      <c r="K122" s="5">
        <f>140-68-61</f>
        <v>11</v>
      </c>
    </row>
    <row r="123" spans="1:11" ht="15">
      <c r="A123" s="73" t="s">
        <v>246</v>
      </c>
      <c r="B123" s="82" t="s">
        <v>247</v>
      </c>
      <c r="C123" s="74"/>
      <c r="D123" s="133"/>
      <c r="E123" s="133"/>
      <c r="F123" s="133"/>
      <c r="G123" s="133"/>
      <c r="H123" s="133"/>
      <c r="I123" s="133"/>
      <c r="J123" s="133"/>
    </row>
    <row r="124" spans="1:11" ht="57">
      <c r="A124" s="86" t="s">
        <v>248</v>
      </c>
      <c r="B124" s="79" t="s">
        <v>249</v>
      </c>
      <c r="C124" s="80" t="s">
        <v>36</v>
      </c>
      <c r="D124" s="133"/>
      <c r="E124" s="133"/>
      <c r="F124" s="133"/>
      <c r="G124" s="133"/>
      <c r="H124" s="133"/>
      <c r="I124" s="133"/>
      <c r="J124" s="133"/>
    </row>
    <row r="125" spans="1:11" ht="28.5">
      <c r="A125" s="86" t="s">
        <v>250</v>
      </c>
      <c r="B125" s="79" t="s">
        <v>251</v>
      </c>
      <c r="C125" s="80" t="s">
        <v>36</v>
      </c>
      <c r="D125" s="133"/>
      <c r="E125" s="133"/>
      <c r="F125" s="133"/>
      <c r="G125" s="133"/>
      <c r="H125" s="133"/>
      <c r="I125" s="133"/>
      <c r="J125" s="133"/>
    </row>
    <row r="126" spans="1:11" ht="28.5">
      <c r="A126" s="86" t="s">
        <v>252</v>
      </c>
      <c r="B126" s="81" t="s">
        <v>253</v>
      </c>
      <c r="C126" s="80" t="s">
        <v>36</v>
      </c>
      <c r="D126" s="133"/>
      <c r="E126" s="133"/>
      <c r="F126" s="133"/>
      <c r="G126" s="133"/>
      <c r="H126" s="133"/>
      <c r="I126" s="133"/>
      <c r="J126" s="133"/>
    </row>
    <row r="127" spans="1:11">
      <c r="A127" s="86" t="s">
        <v>254</v>
      </c>
      <c r="B127" s="79" t="s">
        <v>255</v>
      </c>
      <c r="C127" s="80" t="s">
        <v>36</v>
      </c>
      <c r="D127" s="133"/>
      <c r="E127" s="133"/>
      <c r="F127" s="133"/>
      <c r="G127" s="133"/>
      <c r="H127" s="133"/>
      <c r="I127" s="133"/>
      <c r="J127" s="133"/>
    </row>
    <row r="128" spans="1:11" ht="15">
      <c r="A128" s="73" t="s">
        <v>256</v>
      </c>
      <c r="B128" s="82" t="s">
        <v>257</v>
      </c>
      <c r="C128" s="74"/>
      <c r="D128" s="133"/>
      <c r="E128" s="133"/>
      <c r="F128" s="133"/>
      <c r="G128" s="133"/>
      <c r="H128" s="133"/>
      <c r="I128" s="133"/>
      <c r="J128" s="133"/>
    </row>
    <row r="129" spans="1:12" ht="57">
      <c r="A129" s="86" t="s">
        <v>258</v>
      </c>
      <c r="B129" s="79" t="s">
        <v>249</v>
      </c>
      <c r="C129" s="80" t="s">
        <v>36</v>
      </c>
      <c r="D129" s="133" t="s">
        <v>549</v>
      </c>
      <c r="E129" s="133"/>
      <c r="F129" s="133"/>
      <c r="G129" s="133"/>
      <c r="H129" s="133"/>
      <c r="I129" s="133"/>
      <c r="J129" s="133"/>
      <c r="K129" s="5">
        <v>1</v>
      </c>
    </row>
    <row r="130" spans="1:12" ht="28.5">
      <c r="A130" s="86" t="s">
        <v>259</v>
      </c>
      <c r="B130" s="79" t="s">
        <v>260</v>
      </c>
      <c r="C130" s="80" t="s">
        <v>36</v>
      </c>
      <c r="D130" s="133"/>
      <c r="E130" s="133"/>
      <c r="F130" s="133"/>
      <c r="G130" s="133"/>
      <c r="H130" s="133"/>
      <c r="I130" s="133"/>
      <c r="J130" s="133"/>
    </row>
    <row r="131" spans="1:12">
      <c r="A131" s="86" t="s">
        <v>261</v>
      </c>
      <c r="B131" s="79" t="s">
        <v>255</v>
      </c>
      <c r="C131" s="80" t="s">
        <v>36</v>
      </c>
      <c r="D131" s="133"/>
      <c r="E131" s="133"/>
      <c r="F131" s="133"/>
      <c r="G131" s="133"/>
      <c r="H131" s="133"/>
      <c r="I131" s="133"/>
      <c r="J131" s="133"/>
    </row>
    <row r="132" spans="1:12" ht="28.5">
      <c r="A132" s="86" t="s">
        <v>262</v>
      </c>
      <c r="B132" s="81" t="s">
        <v>253</v>
      </c>
      <c r="C132" s="80" t="s">
        <v>36</v>
      </c>
      <c r="D132" s="133" t="s">
        <v>565</v>
      </c>
      <c r="E132" s="133"/>
      <c r="F132" s="133"/>
      <c r="G132" s="133"/>
      <c r="H132" s="133"/>
      <c r="I132" s="133"/>
      <c r="J132" s="133"/>
      <c r="K132" s="5">
        <v>1</v>
      </c>
    </row>
    <row r="133" spans="1:12" ht="28.5">
      <c r="A133" s="86" t="s">
        <v>263</v>
      </c>
      <c r="B133" s="81" t="s">
        <v>264</v>
      </c>
      <c r="C133" s="80" t="s">
        <v>36</v>
      </c>
      <c r="D133" s="135" t="s">
        <v>566</v>
      </c>
      <c r="E133" s="135"/>
      <c r="F133" s="135"/>
      <c r="G133" s="135"/>
      <c r="H133" s="135"/>
      <c r="I133" s="135"/>
      <c r="J133" s="135"/>
      <c r="K133" s="5">
        <v>10</v>
      </c>
      <c r="L133" s="5">
        <f>11+7+3+3</f>
        <v>24</v>
      </c>
    </row>
    <row r="134" spans="1:12" ht="28.5">
      <c r="A134" s="86" t="s">
        <v>265</v>
      </c>
      <c r="B134" s="81" t="s">
        <v>266</v>
      </c>
      <c r="C134" s="80" t="s">
        <v>36</v>
      </c>
      <c r="D134" s="133"/>
      <c r="E134" s="133"/>
      <c r="F134" s="133"/>
      <c r="G134" s="133"/>
      <c r="H134" s="133"/>
      <c r="I134" s="133"/>
      <c r="J134" s="133"/>
    </row>
    <row r="135" spans="1:12" ht="28.5">
      <c r="A135" s="86" t="s">
        <v>267</v>
      </c>
      <c r="B135" s="81" t="s">
        <v>268</v>
      </c>
      <c r="C135" s="80" t="s">
        <v>36</v>
      </c>
      <c r="D135" s="133"/>
      <c r="E135" s="133"/>
      <c r="F135" s="133"/>
      <c r="G135" s="133"/>
      <c r="H135" s="133"/>
      <c r="I135" s="133"/>
      <c r="J135" s="133"/>
    </row>
    <row r="136" spans="1:12" ht="15">
      <c r="A136" s="73" t="s">
        <v>269</v>
      </c>
      <c r="B136" s="82" t="s">
        <v>270</v>
      </c>
      <c r="C136" s="74"/>
      <c r="D136" s="133"/>
      <c r="E136" s="133"/>
      <c r="F136" s="133"/>
      <c r="G136" s="133"/>
      <c r="H136" s="133"/>
      <c r="I136" s="133"/>
      <c r="J136" s="133"/>
    </row>
    <row r="137" spans="1:12">
      <c r="A137" s="86" t="s">
        <v>271</v>
      </c>
      <c r="B137" s="79" t="s">
        <v>272</v>
      </c>
      <c r="C137" s="80" t="s">
        <v>36</v>
      </c>
      <c r="D137" s="133"/>
      <c r="E137" s="133"/>
      <c r="F137" s="133"/>
      <c r="G137" s="133"/>
      <c r="H137" s="133"/>
      <c r="I137" s="133"/>
      <c r="J137" s="133"/>
    </row>
    <row r="138" spans="1:12" ht="28.5">
      <c r="A138" s="86" t="s">
        <v>273</v>
      </c>
      <c r="B138" s="79" t="s">
        <v>274</v>
      </c>
      <c r="C138" s="80" t="s">
        <v>36</v>
      </c>
      <c r="D138" s="133"/>
      <c r="E138" s="133"/>
      <c r="F138" s="133"/>
      <c r="G138" s="133"/>
      <c r="H138" s="133"/>
      <c r="I138" s="133"/>
      <c r="J138" s="133"/>
    </row>
    <row r="139" spans="1:12" ht="28.5">
      <c r="A139" s="86" t="s">
        <v>275</v>
      </c>
      <c r="B139" s="81" t="s">
        <v>276</v>
      </c>
      <c r="C139" s="80" t="s">
        <v>36</v>
      </c>
      <c r="D139" s="133"/>
      <c r="E139" s="133"/>
      <c r="F139" s="133"/>
      <c r="G139" s="133"/>
      <c r="H139" s="133"/>
      <c r="I139" s="133"/>
      <c r="J139" s="133"/>
    </row>
    <row r="140" spans="1:12" ht="28.5">
      <c r="A140" s="86" t="s">
        <v>277</v>
      </c>
      <c r="B140" s="81" t="s">
        <v>278</v>
      </c>
      <c r="C140" s="80" t="s">
        <v>279</v>
      </c>
      <c r="D140" s="133"/>
      <c r="E140" s="133"/>
      <c r="F140" s="133"/>
      <c r="G140" s="133"/>
      <c r="H140" s="133"/>
      <c r="I140" s="133"/>
      <c r="J140" s="133"/>
    </row>
    <row r="141" spans="1:12">
      <c r="A141" s="86" t="s">
        <v>280</v>
      </c>
      <c r="B141" s="79" t="s">
        <v>281</v>
      </c>
      <c r="C141" s="80" t="s">
        <v>36</v>
      </c>
      <c r="D141" s="133"/>
      <c r="E141" s="133"/>
      <c r="F141" s="133"/>
      <c r="G141" s="133"/>
      <c r="H141" s="133"/>
      <c r="I141" s="133"/>
      <c r="J141" s="133"/>
    </row>
    <row r="142" spans="1:12">
      <c r="A142" s="86" t="s">
        <v>282</v>
      </c>
      <c r="B142" s="79" t="s">
        <v>283</v>
      </c>
      <c r="C142" s="80" t="s">
        <v>36</v>
      </c>
      <c r="D142" s="133"/>
      <c r="E142" s="133"/>
      <c r="F142" s="133"/>
      <c r="G142" s="133"/>
      <c r="H142" s="133"/>
      <c r="I142" s="133"/>
      <c r="J142" s="133"/>
    </row>
    <row r="143" spans="1:12">
      <c r="A143" s="86" t="s">
        <v>284</v>
      </c>
      <c r="B143" s="79" t="s">
        <v>285</v>
      </c>
      <c r="C143" s="80" t="s">
        <v>36</v>
      </c>
      <c r="D143" s="133"/>
      <c r="E143" s="133"/>
      <c r="F143" s="133"/>
      <c r="G143" s="133"/>
      <c r="H143" s="133"/>
      <c r="I143" s="133"/>
      <c r="J143" s="133"/>
    </row>
    <row r="144" spans="1:12">
      <c r="A144" s="86" t="s">
        <v>286</v>
      </c>
      <c r="B144" s="79" t="s">
        <v>287</v>
      </c>
      <c r="C144" s="80" t="s">
        <v>36</v>
      </c>
      <c r="D144" s="133"/>
      <c r="E144" s="133"/>
      <c r="F144" s="133"/>
      <c r="G144" s="133"/>
      <c r="H144" s="133"/>
      <c r="I144" s="133"/>
      <c r="J144" s="133"/>
    </row>
    <row r="145" spans="1:10" ht="28.5">
      <c r="A145" s="86" t="s">
        <v>288</v>
      </c>
      <c r="B145" s="79" t="s">
        <v>289</v>
      </c>
      <c r="C145" s="80" t="s">
        <v>279</v>
      </c>
      <c r="D145" s="133"/>
      <c r="E145" s="133"/>
      <c r="F145" s="133"/>
      <c r="G145" s="133"/>
      <c r="H145" s="133"/>
      <c r="I145" s="133"/>
      <c r="J145" s="133"/>
    </row>
    <row r="146" spans="1:10" ht="42.75">
      <c r="A146" s="86" t="s">
        <v>290</v>
      </c>
      <c r="B146" s="81" t="s">
        <v>291</v>
      </c>
      <c r="C146" s="80" t="s">
        <v>36</v>
      </c>
      <c r="D146" s="133"/>
      <c r="E146" s="133"/>
      <c r="F146" s="133"/>
      <c r="G146" s="133"/>
      <c r="H146" s="133"/>
      <c r="I146" s="133"/>
      <c r="J146" s="133"/>
    </row>
    <row r="147" spans="1:10" ht="28.5">
      <c r="A147" s="86" t="s">
        <v>292</v>
      </c>
      <c r="B147" s="79" t="s">
        <v>293</v>
      </c>
      <c r="C147" s="80" t="s">
        <v>36</v>
      </c>
      <c r="D147" s="133"/>
      <c r="E147" s="133"/>
      <c r="F147" s="133"/>
      <c r="G147" s="133"/>
      <c r="H147" s="133"/>
      <c r="I147" s="133"/>
      <c r="J147" s="133"/>
    </row>
    <row r="148" spans="1:10" ht="15">
      <c r="A148" s="91">
        <v>10</v>
      </c>
      <c r="B148" s="92" t="s">
        <v>294</v>
      </c>
      <c r="C148" s="93"/>
      <c r="D148" s="133"/>
      <c r="E148" s="133"/>
      <c r="F148" s="133"/>
      <c r="G148" s="133"/>
      <c r="H148" s="133"/>
      <c r="I148" s="133"/>
      <c r="J148" s="133"/>
    </row>
    <row r="149" spans="1:10" ht="15">
      <c r="A149" s="73" t="s">
        <v>295</v>
      </c>
      <c r="B149" s="82" t="s">
        <v>296</v>
      </c>
      <c r="C149" s="74"/>
      <c r="D149" s="133"/>
      <c r="E149" s="133"/>
      <c r="F149" s="133"/>
      <c r="G149" s="133"/>
      <c r="H149" s="133"/>
      <c r="I149" s="133"/>
      <c r="J149" s="133"/>
    </row>
    <row r="150" spans="1:10" ht="28.5">
      <c r="A150" s="86" t="s">
        <v>297</v>
      </c>
      <c r="B150" s="84" t="s">
        <v>298</v>
      </c>
      <c r="C150" s="80" t="s">
        <v>36</v>
      </c>
      <c r="D150" s="133"/>
      <c r="E150" s="133"/>
      <c r="F150" s="133"/>
      <c r="G150" s="133"/>
      <c r="H150" s="133"/>
      <c r="I150" s="133"/>
      <c r="J150" s="133"/>
    </row>
    <row r="151" spans="1:10" ht="28.5">
      <c r="A151" s="86" t="s">
        <v>299</v>
      </c>
      <c r="B151" s="83" t="s">
        <v>300</v>
      </c>
      <c r="C151" s="80" t="s">
        <v>36</v>
      </c>
      <c r="D151" s="133"/>
      <c r="E151" s="133"/>
      <c r="F151" s="133"/>
      <c r="G151" s="133"/>
      <c r="H151" s="133"/>
      <c r="I151" s="133"/>
      <c r="J151" s="133"/>
    </row>
    <row r="152" spans="1:10" ht="71.25">
      <c r="A152" s="86" t="s">
        <v>301</v>
      </c>
      <c r="B152" s="83" t="s">
        <v>302</v>
      </c>
      <c r="C152" s="80" t="s">
        <v>36</v>
      </c>
      <c r="D152" s="133"/>
      <c r="E152" s="133"/>
      <c r="F152" s="133"/>
      <c r="G152" s="133"/>
      <c r="H152" s="133"/>
      <c r="I152" s="133"/>
      <c r="J152" s="133"/>
    </row>
    <row r="153" spans="1:10" ht="28.5">
      <c r="A153" s="86" t="s">
        <v>303</v>
      </c>
      <c r="B153" s="83" t="s">
        <v>304</v>
      </c>
      <c r="C153" s="80" t="s">
        <v>36</v>
      </c>
      <c r="D153" s="133"/>
      <c r="E153" s="133"/>
      <c r="F153" s="133"/>
      <c r="G153" s="133"/>
      <c r="H153" s="133"/>
      <c r="I153" s="133"/>
      <c r="J153" s="133"/>
    </row>
    <row r="154" spans="1:10" ht="42.75">
      <c r="A154" s="86" t="s">
        <v>305</v>
      </c>
      <c r="B154" s="83" t="s">
        <v>306</v>
      </c>
      <c r="C154" s="80" t="s">
        <v>36</v>
      </c>
      <c r="D154" s="133"/>
      <c r="E154" s="133"/>
      <c r="F154" s="133"/>
      <c r="G154" s="133"/>
      <c r="H154" s="133"/>
      <c r="I154" s="133"/>
      <c r="J154" s="133"/>
    </row>
    <row r="155" spans="1:10">
      <c r="A155" s="86" t="s">
        <v>307</v>
      </c>
      <c r="B155" s="83" t="s">
        <v>308</v>
      </c>
      <c r="C155" s="80" t="s">
        <v>36</v>
      </c>
      <c r="D155" s="133"/>
      <c r="E155" s="133"/>
      <c r="F155" s="133"/>
      <c r="G155" s="133"/>
      <c r="H155" s="133"/>
      <c r="I155" s="133"/>
      <c r="J155" s="133"/>
    </row>
    <row r="156" spans="1:10">
      <c r="A156" s="86" t="s">
        <v>309</v>
      </c>
      <c r="B156" s="83" t="s">
        <v>310</v>
      </c>
      <c r="C156" s="80" t="s">
        <v>36</v>
      </c>
      <c r="D156" s="133"/>
      <c r="E156" s="133"/>
      <c r="F156" s="133"/>
      <c r="G156" s="133"/>
      <c r="H156" s="133"/>
      <c r="I156" s="133"/>
      <c r="J156" s="133"/>
    </row>
    <row r="157" spans="1:10">
      <c r="A157" s="86" t="s">
        <v>311</v>
      </c>
      <c r="B157" s="83" t="s">
        <v>312</v>
      </c>
      <c r="C157" s="80" t="s">
        <v>36</v>
      </c>
      <c r="D157" s="133"/>
      <c r="E157" s="133"/>
      <c r="F157" s="133"/>
      <c r="G157" s="133"/>
      <c r="H157" s="133"/>
      <c r="I157" s="133"/>
      <c r="J157" s="133"/>
    </row>
    <row r="158" spans="1:10" ht="42.75">
      <c r="A158" s="86" t="s">
        <v>313</v>
      </c>
      <c r="B158" s="83" t="s">
        <v>314</v>
      </c>
      <c r="C158" s="80" t="s">
        <v>36</v>
      </c>
      <c r="D158" s="133"/>
      <c r="E158" s="133"/>
      <c r="F158" s="133"/>
      <c r="G158" s="133"/>
      <c r="H158" s="133"/>
      <c r="I158" s="133"/>
      <c r="J158" s="133"/>
    </row>
    <row r="159" spans="1:10" ht="28.5">
      <c r="A159" s="86" t="s">
        <v>315</v>
      </c>
      <c r="B159" s="83" t="s">
        <v>316</v>
      </c>
      <c r="C159" s="80" t="s">
        <v>36</v>
      </c>
      <c r="D159" s="133"/>
      <c r="E159" s="133"/>
      <c r="F159" s="133"/>
      <c r="G159" s="133"/>
      <c r="H159" s="133"/>
      <c r="I159" s="133"/>
      <c r="J159" s="133"/>
    </row>
    <row r="160" spans="1:10" ht="28.5">
      <c r="A160" s="86" t="s">
        <v>317</v>
      </c>
      <c r="B160" s="84" t="s">
        <v>318</v>
      </c>
      <c r="C160" s="80" t="s">
        <v>60</v>
      </c>
      <c r="D160" s="133"/>
      <c r="E160" s="133"/>
      <c r="F160" s="133"/>
      <c r="G160" s="133"/>
      <c r="H160" s="133"/>
      <c r="I160" s="133"/>
      <c r="J160" s="133"/>
    </row>
    <row r="161" spans="1:10">
      <c r="A161" s="86" t="s">
        <v>319</v>
      </c>
      <c r="B161" s="83" t="s">
        <v>320</v>
      </c>
      <c r="C161" s="80" t="s">
        <v>60</v>
      </c>
      <c r="D161" s="133"/>
      <c r="E161" s="133"/>
      <c r="F161" s="133"/>
      <c r="G161" s="133"/>
      <c r="H161" s="133"/>
      <c r="I161" s="133"/>
      <c r="J161" s="133"/>
    </row>
    <row r="162" spans="1:10">
      <c r="A162" s="86" t="s">
        <v>321</v>
      </c>
      <c r="B162" s="83" t="s">
        <v>322</v>
      </c>
      <c r="C162" s="80" t="s">
        <v>60</v>
      </c>
      <c r="D162" s="133"/>
      <c r="E162" s="133"/>
      <c r="F162" s="133"/>
      <c r="G162" s="133"/>
      <c r="H162" s="133"/>
      <c r="I162" s="133"/>
      <c r="J162" s="133"/>
    </row>
    <row r="163" spans="1:10" ht="28.5">
      <c r="A163" s="86" t="s">
        <v>323</v>
      </c>
      <c r="B163" s="83" t="s">
        <v>324</v>
      </c>
      <c r="C163" s="80" t="s">
        <v>36</v>
      </c>
      <c r="D163" s="133"/>
      <c r="E163" s="133"/>
      <c r="F163" s="133"/>
      <c r="G163" s="133"/>
      <c r="H163" s="133"/>
      <c r="I163" s="133"/>
      <c r="J163" s="133"/>
    </row>
    <row r="164" spans="1:10" ht="28.5">
      <c r="A164" s="86" t="s">
        <v>325</v>
      </c>
      <c r="B164" s="84" t="s">
        <v>464</v>
      </c>
      <c r="C164" s="80" t="s">
        <v>36</v>
      </c>
      <c r="D164" s="133"/>
      <c r="E164" s="133"/>
      <c r="F164" s="133"/>
      <c r="G164" s="133"/>
      <c r="H164" s="133"/>
      <c r="I164" s="133"/>
      <c r="J164" s="133"/>
    </row>
    <row r="165" spans="1:10">
      <c r="A165" s="86" t="s">
        <v>327</v>
      </c>
      <c r="B165" s="83" t="s">
        <v>328</v>
      </c>
      <c r="C165" s="80" t="s">
        <v>36</v>
      </c>
      <c r="D165" s="133"/>
      <c r="E165" s="133"/>
      <c r="F165" s="133"/>
      <c r="G165" s="133"/>
      <c r="H165" s="133"/>
      <c r="I165" s="133"/>
      <c r="J165" s="133"/>
    </row>
    <row r="166" spans="1:10" ht="28.5">
      <c r="A166" s="86" t="s">
        <v>329</v>
      </c>
      <c r="B166" s="83" t="s">
        <v>330</v>
      </c>
      <c r="C166" s="80" t="s">
        <v>36</v>
      </c>
      <c r="D166" s="133"/>
      <c r="E166" s="133"/>
      <c r="F166" s="133"/>
      <c r="G166" s="133"/>
      <c r="H166" s="133"/>
      <c r="I166" s="133"/>
      <c r="J166" s="133"/>
    </row>
    <row r="167" spans="1:10" ht="28.5">
      <c r="A167" s="86" t="s">
        <v>331</v>
      </c>
      <c r="B167" s="83" t="s">
        <v>332</v>
      </c>
      <c r="C167" s="80" t="s">
        <v>36</v>
      </c>
      <c r="D167" s="133"/>
      <c r="E167" s="133"/>
      <c r="F167" s="133"/>
      <c r="G167" s="133"/>
      <c r="H167" s="133"/>
      <c r="I167" s="133"/>
      <c r="J167" s="133"/>
    </row>
    <row r="168" spans="1:10" ht="28.5">
      <c r="A168" s="86" t="s">
        <v>333</v>
      </c>
      <c r="B168" s="84" t="s">
        <v>334</v>
      </c>
      <c r="C168" s="80" t="s">
        <v>36</v>
      </c>
      <c r="D168" s="133"/>
      <c r="E168" s="133"/>
      <c r="F168" s="133"/>
      <c r="G168" s="133"/>
      <c r="H168" s="133"/>
      <c r="I168" s="133"/>
      <c r="J168" s="133"/>
    </row>
    <row r="169" spans="1:10" ht="42.75">
      <c r="A169" s="86" t="s">
        <v>335</v>
      </c>
      <c r="B169" s="83" t="s">
        <v>336</v>
      </c>
      <c r="C169" s="80" t="s">
        <v>36</v>
      </c>
      <c r="D169" s="133"/>
      <c r="E169" s="133"/>
      <c r="F169" s="133"/>
      <c r="G169" s="133"/>
      <c r="H169" s="133"/>
      <c r="I169" s="133"/>
      <c r="J169" s="133"/>
    </row>
    <row r="170" spans="1:10" ht="15">
      <c r="A170" s="73" t="s">
        <v>337</v>
      </c>
      <c r="B170" s="82" t="s">
        <v>338</v>
      </c>
      <c r="C170" s="74"/>
      <c r="D170" s="133"/>
      <c r="E170" s="133"/>
      <c r="F170" s="133"/>
      <c r="G170" s="133"/>
      <c r="H170" s="133"/>
      <c r="I170" s="133"/>
      <c r="J170" s="133"/>
    </row>
    <row r="171" spans="1:10" ht="28.5">
      <c r="A171" s="86" t="s">
        <v>339</v>
      </c>
      <c r="B171" s="84" t="s">
        <v>340</v>
      </c>
      <c r="C171" s="80" t="s">
        <v>36</v>
      </c>
      <c r="D171" s="133"/>
      <c r="E171" s="133"/>
      <c r="F171" s="133"/>
      <c r="G171" s="133"/>
      <c r="H171" s="133"/>
      <c r="I171" s="133"/>
      <c r="J171" s="133"/>
    </row>
    <row r="172" spans="1:10" ht="28.5">
      <c r="A172" s="86" t="s">
        <v>341</v>
      </c>
      <c r="B172" s="84" t="s">
        <v>342</v>
      </c>
      <c r="C172" s="80" t="s">
        <v>36</v>
      </c>
      <c r="D172" s="133"/>
      <c r="E172" s="133"/>
      <c r="F172" s="133"/>
      <c r="G172" s="133"/>
      <c r="H172" s="133"/>
      <c r="I172" s="133"/>
      <c r="J172" s="133"/>
    </row>
    <row r="173" spans="1:10" ht="28.5">
      <c r="A173" s="86" t="s">
        <v>343</v>
      </c>
      <c r="B173" s="84" t="s">
        <v>344</v>
      </c>
      <c r="C173" s="80" t="s">
        <v>36</v>
      </c>
      <c r="D173" s="133"/>
      <c r="E173" s="133"/>
      <c r="F173" s="133"/>
      <c r="G173" s="133"/>
      <c r="H173" s="133"/>
      <c r="I173" s="133"/>
      <c r="J173" s="133"/>
    </row>
    <row r="174" spans="1:10">
      <c r="A174" s="86" t="s">
        <v>345</v>
      </c>
      <c r="B174" s="83" t="s">
        <v>346</v>
      </c>
      <c r="C174" s="80" t="s">
        <v>36</v>
      </c>
      <c r="D174" s="133"/>
      <c r="E174" s="133"/>
      <c r="F174" s="133"/>
      <c r="G174" s="133"/>
      <c r="H174" s="133"/>
      <c r="I174" s="133"/>
      <c r="J174" s="133"/>
    </row>
    <row r="175" spans="1:10">
      <c r="A175" s="86" t="s">
        <v>347</v>
      </c>
      <c r="B175" s="83" t="s">
        <v>348</v>
      </c>
      <c r="C175" s="80" t="s">
        <v>36</v>
      </c>
      <c r="D175" s="133"/>
      <c r="E175" s="133"/>
      <c r="F175" s="133"/>
      <c r="G175" s="133"/>
      <c r="H175" s="133"/>
      <c r="I175" s="133"/>
      <c r="J175" s="133"/>
    </row>
    <row r="176" spans="1:10">
      <c r="A176" s="86" t="s">
        <v>349</v>
      </c>
      <c r="B176" s="83" t="s">
        <v>350</v>
      </c>
      <c r="C176" s="80" t="s">
        <v>351</v>
      </c>
      <c r="D176" s="133"/>
      <c r="E176" s="133"/>
      <c r="F176" s="133"/>
      <c r="G176" s="133"/>
      <c r="H176" s="133"/>
      <c r="I176" s="133"/>
      <c r="J176" s="133"/>
    </row>
    <row r="177" spans="1:10" ht="28.5">
      <c r="A177" s="86" t="s">
        <v>352</v>
      </c>
      <c r="B177" s="83" t="s">
        <v>353</v>
      </c>
      <c r="C177" s="80" t="s">
        <v>36</v>
      </c>
      <c r="D177" s="133"/>
      <c r="E177" s="133"/>
      <c r="F177" s="133"/>
      <c r="G177" s="133"/>
      <c r="H177" s="133"/>
      <c r="I177" s="133"/>
      <c r="J177" s="133"/>
    </row>
    <row r="178" spans="1:10" ht="28.5">
      <c r="A178" s="86" t="s">
        <v>354</v>
      </c>
      <c r="B178" s="84" t="s">
        <v>465</v>
      </c>
      <c r="C178" s="80" t="s">
        <v>351</v>
      </c>
      <c r="D178" s="133"/>
      <c r="E178" s="133"/>
      <c r="F178" s="133"/>
      <c r="G178" s="133"/>
      <c r="H178" s="133"/>
      <c r="I178" s="133"/>
      <c r="J178" s="133"/>
    </row>
    <row r="179" spans="1:10">
      <c r="A179" s="86" t="s">
        <v>356</v>
      </c>
      <c r="B179" s="83" t="s">
        <v>357</v>
      </c>
      <c r="C179" s="80" t="s">
        <v>36</v>
      </c>
      <c r="D179" s="133"/>
      <c r="E179" s="133"/>
      <c r="F179" s="133"/>
      <c r="G179" s="133"/>
      <c r="H179" s="133"/>
      <c r="I179" s="133"/>
      <c r="J179" s="133"/>
    </row>
    <row r="180" spans="1:10" ht="28.5">
      <c r="A180" s="86" t="s">
        <v>358</v>
      </c>
      <c r="B180" s="84" t="s">
        <v>466</v>
      </c>
      <c r="C180" s="80" t="s">
        <v>36</v>
      </c>
      <c r="D180" s="133"/>
      <c r="E180" s="133"/>
      <c r="F180" s="133"/>
      <c r="G180" s="133"/>
      <c r="H180" s="133"/>
      <c r="I180" s="133"/>
      <c r="J180" s="133"/>
    </row>
    <row r="181" spans="1:10" ht="28.5">
      <c r="A181" s="86" t="s">
        <v>360</v>
      </c>
      <c r="B181" s="84" t="s">
        <v>467</v>
      </c>
      <c r="C181" s="80" t="s">
        <v>36</v>
      </c>
      <c r="D181" s="133"/>
      <c r="E181" s="133"/>
      <c r="F181" s="133"/>
      <c r="G181" s="133"/>
      <c r="H181" s="133"/>
      <c r="I181" s="133"/>
      <c r="J181" s="133"/>
    </row>
    <row r="182" spans="1:10" ht="28.5">
      <c r="A182" s="86" t="s">
        <v>362</v>
      </c>
      <c r="B182" s="83" t="s">
        <v>363</v>
      </c>
      <c r="C182" s="80" t="s">
        <v>36</v>
      </c>
      <c r="D182" s="133"/>
      <c r="E182" s="133"/>
      <c r="F182" s="133"/>
      <c r="G182" s="133"/>
      <c r="H182" s="133"/>
      <c r="I182" s="133"/>
      <c r="J182" s="133"/>
    </row>
    <row r="183" spans="1:10" ht="28.5">
      <c r="A183" s="86" t="s">
        <v>364</v>
      </c>
      <c r="B183" s="83" t="s">
        <v>365</v>
      </c>
      <c r="C183" s="80" t="s">
        <v>36</v>
      </c>
      <c r="D183" s="133"/>
      <c r="E183" s="133"/>
      <c r="F183" s="133"/>
      <c r="G183" s="133"/>
      <c r="H183" s="133"/>
      <c r="I183" s="133"/>
      <c r="J183" s="133"/>
    </row>
    <row r="184" spans="1:10">
      <c r="A184" s="86" t="s">
        <v>366</v>
      </c>
      <c r="B184" s="83" t="s">
        <v>367</v>
      </c>
      <c r="C184" s="80" t="s">
        <v>36</v>
      </c>
      <c r="D184" s="133"/>
      <c r="E184" s="133"/>
      <c r="F184" s="133"/>
      <c r="G184" s="133"/>
      <c r="H184" s="133"/>
      <c r="I184" s="133"/>
      <c r="J184" s="133"/>
    </row>
    <row r="185" spans="1:10" ht="15">
      <c r="A185" s="73" t="s">
        <v>368</v>
      </c>
      <c r="B185" s="82" t="s">
        <v>369</v>
      </c>
      <c r="C185" s="74"/>
      <c r="D185" s="133"/>
      <c r="E185" s="133"/>
      <c r="F185" s="133"/>
      <c r="G185" s="133"/>
      <c r="H185" s="133"/>
      <c r="I185" s="133"/>
      <c r="J185" s="133"/>
    </row>
    <row r="186" spans="1:10" ht="42.75">
      <c r="A186" s="86" t="s">
        <v>370</v>
      </c>
      <c r="B186" s="84" t="s">
        <v>468</v>
      </c>
      <c r="C186" s="80" t="s">
        <v>36</v>
      </c>
      <c r="D186" s="133"/>
      <c r="E186" s="133"/>
      <c r="F186" s="133"/>
      <c r="G186" s="133"/>
      <c r="H186" s="133"/>
      <c r="I186" s="133"/>
      <c r="J186" s="133"/>
    </row>
    <row r="187" spans="1:10" ht="28.5">
      <c r="A187" s="86" t="s">
        <v>372</v>
      </c>
      <c r="B187" s="84" t="s">
        <v>469</v>
      </c>
      <c r="C187" s="80" t="s">
        <v>36</v>
      </c>
      <c r="D187" s="133"/>
      <c r="E187" s="133"/>
      <c r="F187" s="133"/>
      <c r="G187" s="133"/>
      <c r="H187" s="133"/>
      <c r="I187" s="133"/>
      <c r="J187" s="133"/>
    </row>
    <row r="188" spans="1:10" ht="28.5">
      <c r="A188" s="86" t="s">
        <v>374</v>
      </c>
      <c r="B188" s="84" t="s">
        <v>470</v>
      </c>
      <c r="C188" s="80" t="s">
        <v>36</v>
      </c>
      <c r="D188" s="133"/>
      <c r="E188" s="133"/>
      <c r="F188" s="133"/>
      <c r="G188" s="133"/>
      <c r="H188" s="133"/>
      <c r="I188" s="133"/>
      <c r="J188" s="133"/>
    </row>
    <row r="189" spans="1:10">
      <c r="A189" s="86" t="s">
        <v>376</v>
      </c>
      <c r="B189" s="83" t="s">
        <v>377</v>
      </c>
      <c r="C189" s="80" t="s">
        <v>36</v>
      </c>
      <c r="D189" s="133"/>
      <c r="E189" s="133"/>
      <c r="F189" s="133"/>
      <c r="G189" s="133"/>
      <c r="H189" s="133"/>
      <c r="I189" s="133"/>
      <c r="J189" s="133"/>
    </row>
    <row r="190" spans="1:10" ht="28.5">
      <c r="A190" s="86" t="s">
        <v>378</v>
      </c>
      <c r="B190" s="84" t="s">
        <v>379</v>
      </c>
      <c r="C190" s="80" t="s">
        <v>36</v>
      </c>
      <c r="D190" s="133"/>
      <c r="E190" s="133"/>
      <c r="F190" s="133"/>
      <c r="G190" s="133"/>
      <c r="H190" s="133"/>
      <c r="I190" s="133"/>
      <c r="J190" s="133"/>
    </row>
    <row r="191" spans="1:10">
      <c r="A191" s="86" t="s">
        <v>380</v>
      </c>
      <c r="B191" s="83" t="s">
        <v>346</v>
      </c>
      <c r="C191" s="80" t="s">
        <v>36</v>
      </c>
      <c r="D191" s="133"/>
      <c r="E191" s="133"/>
      <c r="F191" s="133"/>
      <c r="G191" s="133"/>
      <c r="H191" s="133"/>
      <c r="I191" s="133"/>
      <c r="J191" s="133"/>
    </row>
    <row r="192" spans="1:10" ht="28.5">
      <c r="A192" s="86" t="s">
        <v>381</v>
      </c>
      <c r="B192" s="83" t="s">
        <v>365</v>
      </c>
      <c r="C192" s="80" t="s">
        <v>36</v>
      </c>
      <c r="D192" s="133"/>
      <c r="E192" s="133"/>
      <c r="F192" s="133"/>
      <c r="G192" s="133"/>
      <c r="H192" s="133"/>
      <c r="I192" s="133"/>
      <c r="J192" s="133"/>
    </row>
    <row r="193" spans="1:11" ht="28.5">
      <c r="A193" s="86" t="s">
        <v>382</v>
      </c>
      <c r="B193" s="84" t="s">
        <v>471</v>
      </c>
      <c r="C193" s="80" t="s">
        <v>36</v>
      </c>
      <c r="D193" s="133"/>
      <c r="E193" s="133"/>
      <c r="F193" s="133"/>
      <c r="G193" s="133"/>
      <c r="H193" s="133"/>
      <c r="I193" s="133"/>
      <c r="J193" s="133"/>
    </row>
    <row r="194" spans="1:11" ht="15">
      <c r="A194" s="73" t="s">
        <v>384</v>
      </c>
      <c r="B194" s="82" t="s">
        <v>385</v>
      </c>
      <c r="C194" s="74"/>
      <c r="D194" s="133"/>
      <c r="E194" s="133"/>
      <c r="F194" s="133"/>
      <c r="G194" s="133"/>
      <c r="H194" s="133"/>
      <c r="I194" s="133"/>
      <c r="J194" s="133"/>
    </row>
    <row r="195" spans="1:11" ht="28.5">
      <c r="A195" s="86" t="s">
        <v>386</v>
      </c>
      <c r="B195" s="83" t="s">
        <v>387</v>
      </c>
      <c r="C195" s="80" t="s">
        <v>36</v>
      </c>
      <c r="D195" s="133"/>
      <c r="E195" s="133"/>
      <c r="F195" s="133"/>
      <c r="G195" s="133"/>
      <c r="H195" s="133"/>
      <c r="I195" s="133"/>
      <c r="J195" s="133"/>
    </row>
    <row r="196" spans="1:11" ht="28.5">
      <c r="A196" s="86" t="s">
        <v>388</v>
      </c>
      <c r="B196" s="83" t="s">
        <v>389</v>
      </c>
      <c r="C196" s="80" t="s">
        <v>36</v>
      </c>
      <c r="D196" s="133"/>
      <c r="E196" s="133"/>
      <c r="F196" s="133"/>
      <c r="G196" s="133"/>
      <c r="H196" s="133"/>
      <c r="I196" s="133"/>
      <c r="J196" s="133"/>
    </row>
    <row r="197" spans="1:11" ht="28.5">
      <c r="A197" s="86" t="s">
        <v>390</v>
      </c>
      <c r="B197" s="83" t="s">
        <v>391</v>
      </c>
      <c r="C197" s="80" t="s">
        <v>36</v>
      </c>
      <c r="D197" s="133"/>
      <c r="E197" s="133"/>
      <c r="F197" s="133"/>
      <c r="G197" s="133"/>
      <c r="H197" s="133"/>
      <c r="I197" s="133"/>
      <c r="J197" s="133"/>
    </row>
    <row r="198" spans="1:11" ht="28.5">
      <c r="A198" s="86" t="s">
        <v>392</v>
      </c>
      <c r="B198" s="83" t="s">
        <v>393</v>
      </c>
      <c r="C198" s="80" t="s">
        <v>279</v>
      </c>
      <c r="D198" s="133"/>
      <c r="E198" s="133"/>
      <c r="F198" s="133"/>
      <c r="G198" s="133"/>
      <c r="H198" s="133"/>
      <c r="I198" s="133"/>
      <c r="J198" s="133"/>
    </row>
    <row r="199" spans="1:11" ht="15">
      <c r="A199" s="73" t="s">
        <v>394</v>
      </c>
      <c r="B199" s="82" t="s">
        <v>395</v>
      </c>
      <c r="C199" s="74"/>
      <c r="D199" s="133"/>
      <c r="E199" s="133"/>
      <c r="F199" s="133"/>
      <c r="G199" s="133"/>
      <c r="H199" s="133"/>
      <c r="I199" s="133"/>
      <c r="J199" s="133"/>
    </row>
    <row r="200" spans="1:11" ht="57">
      <c r="A200" s="86" t="s">
        <v>396</v>
      </c>
      <c r="B200" s="83" t="s">
        <v>397</v>
      </c>
      <c r="C200" s="80" t="s">
        <v>36</v>
      </c>
      <c r="D200" s="133"/>
      <c r="E200" s="133"/>
      <c r="F200" s="133"/>
      <c r="G200" s="133"/>
      <c r="H200" s="133"/>
      <c r="I200" s="133"/>
      <c r="J200" s="133"/>
    </row>
    <row r="201" spans="1:11" ht="28.5">
      <c r="A201" s="86" t="s">
        <v>398</v>
      </c>
      <c r="B201" s="84" t="s">
        <v>399</v>
      </c>
      <c r="C201" s="80" t="s">
        <v>60</v>
      </c>
      <c r="D201" s="133"/>
      <c r="E201" s="133"/>
      <c r="F201" s="133"/>
      <c r="G201" s="133"/>
      <c r="H201" s="133"/>
      <c r="I201" s="133"/>
      <c r="J201" s="133"/>
    </row>
    <row r="202" spans="1:11" ht="28.5">
      <c r="A202" s="86" t="s">
        <v>400</v>
      </c>
      <c r="B202" s="84" t="s">
        <v>472</v>
      </c>
      <c r="C202" s="80" t="s">
        <v>60</v>
      </c>
      <c r="D202" s="133"/>
      <c r="E202" s="133"/>
      <c r="F202" s="133"/>
      <c r="G202" s="133"/>
      <c r="H202" s="133"/>
      <c r="I202" s="133"/>
      <c r="J202" s="133"/>
    </row>
    <row r="203" spans="1:11" ht="42.75">
      <c r="A203" s="86" t="s">
        <v>402</v>
      </c>
      <c r="B203" s="83" t="s">
        <v>403</v>
      </c>
      <c r="C203" s="80" t="s">
        <v>36</v>
      </c>
      <c r="D203" s="133" t="s">
        <v>549</v>
      </c>
      <c r="E203" s="133"/>
      <c r="F203" s="133"/>
      <c r="G203" s="133"/>
      <c r="H203" s="133"/>
      <c r="I203" s="133"/>
      <c r="J203" s="133"/>
      <c r="K203" s="5">
        <v>1</v>
      </c>
    </row>
    <row r="204" spans="1:11" ht="42.75">
      <c r="A204" s="86" t="s">
        <v>404</v>
      </c>
      <c r="B204" s="83" t="s">
        <v>405</v>
      </c>
      <c r="C204" s="80" t="s">
        <v>36</v>
      </c>
      <c r="D204" s="133" t="s">
        <v>549</v>
      </c>
      <c r="E204" s="133"/>
      <c r="F204" s="133"/>
      <c r="G204" s="133"/>
      <c r="H204" s="133"/>
      <c r="I204" s="133"/>
      <c r="J204" s="133"/>
      <c r="K204" s="5">
        <v>1</v>
      </c>
    </row>
    <row r="205" spans="1:11" ht="15">
      <c r="A205" s="91">
        <v>11</v>
      </c>
      <c r="B205" s="92" t="s">
        <v>406</v>
      </c>
      <c r="C205" s="93"/>
      <c r="D205" s="133"/>
      <c r="E205" s="133"/>
      <c r="F205" s="133"/>
      <c r="G205" s="133"/>
      <c r="H205" s="133"/>
      <c r="I205" s="133"/>
      <c r="J205" s="133"/>
    </row>
    <row r="206" spans="1:11">
      <c r="A206" s="78" t="s">
        <v>407</v>
      </c>
      <c r="B206" s="83" t="s">
        <v>408</v>
      </c>
      <c r="C206" s="80" t="s">
        <v>60</v>
      </c>
      <c r="D206" s="133"/>
      <c r="E206" s="133"/>
      <c r="F206" s="133"/>
      <c r="G206" s="133"/>
      <c r="H206" s="133"/>
      <c r="I206" s="133"/>
      <c r="J206" s="133"/>
    </row>
    <row r="207" spans="1:11" ht="28.5">
      <c r="A207" s="78" t="s">
        <v>409</v>
      </c>
      <c r="B207" s="83" t="s">
        <v>410</v>
      </c>
      <c r="C207" s="80" t="s">
        <v>36</v>
      </c>
      <c r="D207" s="133"/>
      <c r="E207" s="133"/>
      <c r="F207" s="133"/>
      <c r="G207" s="133"/>
      <c r="H207" s="133"/>
      <c r="I207" s="133"/>
      <c r="J207" s="133"/>
    </row>
    <row r="208" spans="1:11">
      <c r="A208" s="78" t="s">
        <v>411</v>
      </c>
      <c r="B208" s="83" t="s">
        <v>412</v>
      </c>
      <c r="C208" s="80" t="s">
        <v>36</v>
      </c>
      <c r="D208" s="133"/>
      <c r="E208" s="133"/>
      <c r="F208" s="133"/>
      <c r="G208" s="133"/>
      <c r="H208" s="133"/>
      <c r="I208" s="133"/>
      <c r="J208" s="133"/>
    </row>
    <row r="209" spans="1:10" ht="15">
      <c r="A209" s="91">
        <v>12</v>
      </c>
      <c r="B209" s="92" t="s">
        <v>413</v>
      </c>
      <c r="C209" s="93"/>
      <c r="D209" s="133"/>
      <c r="E209" s="133"/>
      <c r="F209" s="133"/>
      <c r="G209" s="133"/>
      <c r="H209" s="133"/>
      <c r="I209" s="133"/>
      <c r="J209" s="133"/>
    </row>
    <row r="210" spans="1:10" ht="57">
      <c r="A210" s="78" t="s">
        <v>414</v>
      </c>
      <c r="B210" s="84" t="s">
        <v>415</v>
      </c>
      <c r="C210" s="80" t="s">
        <v>36</v>
      </c>
      <c r="D210" s="133"/>
      <c r="E210" s="133"/>
      <c r="F210" s="133"/>
      <c r="G210" s="133"/>
      <c r="H210" s="133"/>
      <c r="I210" s="133"/>
      <c r="J210" s="133"/>
    </row>
    <row r="211" spans="1:10" ht="42.75">
      <c r="A211" s="78" t="s">
        <v>416</v>
      </c>
      <c r="B211" s="84" t="s">
        <v>417</v>
      </c>
      <c r="C211" s="80" t="s">
        <v>36</v>
      </c>
      <c r="D211" s="133"/>
      <c r="E211" s="133"/>
      <c r="F211" s="133"/>
      <c r="G211" s="133"/>
      <c r="H211" s="133"/>
      <c r="I211" s="133"/>
      <c r="J211" s="133"/>
    </row>
    <row r="212" spans="1:10" ht="42.75">
      <c r="A212" s="78" t="s">
        <v>418</v>
      </c>
      <c r="B212" s="84" t="s">
        <v>419</v>
      </c>
      <c r="C212" s="80" t="s">
        <v>36</v>
      </c>
      <c r="D212" s="133"/>
      <c r="E212" s="133"/>
      <c r="F212" s="133"/>
      <c r="G212" s="133"/>
      <c r="H212" s="133"/>
      <c r="I212" s="133"/>
      <c r="J212" s="133"/>
    </row>
    <row r="213" spans="1:10" ht="57">
      <c r="A213" s="78" t="s">
        <v>420</v>
      </c>
      <c r="B213" s="83" t="s">
        <v>421</v>
      </c>
      <c r="C213" s="80" t="s">
        <v>36</v>
      </c>
      <c r="D213" s="133"/>
      <c r="E213" s="133"/>
      <c r="F213" s="133"/>
      <c r="G213" s="133"/>
      <c r="H213" s="133"/>
      <c r="I213" s="133"/>
      <c r="J213" s="133"/>
    </row>
    <row r="214" spans="1:10" ht="42.75">
      <c r="A214" s="78" t="s">
        <v>422</v>
      </c>
      <c r="B214" s="84" t="s">
        <v>473</v>
      </c>
      <c r="C214" s="80" t="s">
        <v>36</v>
      </c>
      <c r="D214" s="133"/>
      <c r="E214" s="133"/>
      <c r="F214" s="133"/>
      <c r="G214" s="133"/>
      <c r="H214" s="133"/>
      <c r="I214" s="133"/>
      <c r="J214" s="133"/>
    </row>
    <row r="215" spans="1:10" ht="42.75">
      <c r="A215" s="78" t="s">
        <v>424</v>
      </c>
      <c r="B215" s="84" t="s">
        <v>425</v>
      </c>
      <c r="C215" s="80" t="s">
        <v>36</v>
      </c>
      <c r="D215" s="133"/>
      <c r="E215" s="133"/>
      <c r="F215" s="133"/>
      <c r="G215" s="133"/>
      <c r="H215" s="133"/>
      <c r="I215" s="133"/>
      <c r="J215" s="133"/>
    </row>
    <row r="216" spans="1:10" ht="15">
      <c r="A216" s="91">
        <v>13</v>
      </c>
      <c r="B216" s="92" t="s">
        <v>426</v>
      </c>
      <c r="C216" s="93"/>
      <c r="D216" s="133"/>
      <c r="E216" s="133"/>
      <c r="F216" s="133"/>
      <c r="G216" s="133"/>
      <c r="H216" s="133"/>
      <c r="I216" s="133"/>
      <c r="J216" s="133"/>
    </row>
    <row r="217" spans="1:10">
      <c r="A217" s="78" t="s">
        <v>427</v>
      </c>
      <c r="B217" s="83" t="s">
        <v>428</v>
      </c>
      <c r="C217" s="80" t="s">
        <v>351</v>
      </c>
      <c r="D217" s="133"/>
      <c r="E217" s="133"/>
      <c r="F217" s="133"/>
      <c r="G217" s="133"/>
      <c r="H217" s="133"/>
      <c r="I217" s="133"/>
      <c r="J217" s="133"/>
    </row>
    <row r="218" spans="1:10">
      <c r="A218" s="78" t="s">
        <v>429</v>
      </c>
      <c r="B218" s="83" t="s">
        <v>430</v>
      </c>
      <c r="C218" s="80" t="s">
        <v>36</v>
      </c>
      <c r="D218" s="133"/>
      <c r="E218" s="133"/>
      <c r="F218" s="133"/>
      <c r="G218" s="133"/>
      <c r="H218" s="133"/>
      <c r="I218" s="133"/>
      <c r="J218" s="133"/>
    </row>
    <row r="219" spans="1:10">
      <c r="A219" s="78" t="s">
        <v>431</v>
      </c>
      <c r="B219" s="83" t="s">
        <v>432</v>
      </c>
      <c r="C219" s="80" t="s">
        <v>27</v>
      </c>
      <c r="D219" s="133"/>
      <c r="E219" s="133"/>
      <c r="F219" s="133"/>
      <c r="G219" s="133"/>
      <c r="H219" s="133"/>
      <c r="I219" s="133"/>
      <c r="J219" s="133"/>
    </row>
    <row r="220" spans="1:10" ht="28.5">
      <c r="A220" s="78" t="s">
        <v>433</v>
      </c>
      <c r="B220" s="83" t="s">
        <v>434</v>
      </c>
      <c r="C220" s="80" t="s">
        <v>435</v>
      </c>
      <c r="D220" s="133"/>
      <c r="E220" s="133"/>
      <c r="F220" s="133"/>
      <c r="G220" s="133"/>
      <c r="H220" s="133"/>
      <c r="I220" s="133"/>
      <c r="J220" s="133"/>
    </row>
    <row r="221" spans="1:10" ht="28.5">
      <c r="A221" s="78" t="s">
        <v>436</v>
      </c>
      <c r="B221" s="83" t="s">
        <v>437</v>
      </c>
      <c r="C221" s="80" t="s">
        <v>438</v>
      </c>
      <c r="D221" s="133"/>
      <c r="E221" s="133"/>
      <c r="F221" s="133"/>
      <c r="G221" s="133"/>
      <c r="H221" s="133"/>
      <c r="I221" s="133"/>
      <c r="J221" s="133"/>
    </row>
    <row r="222" spans="1:10" ht="15">
      <c r="A222" s="91">
        <f>'[1]BM 05'!B229</f>
        <v>14</v>
      </c>
      <c r="B222" s="92" t="str">
        <f>'[1]BM 05'!C229</f>
        <v>ITENS ADITADOS</v>
      </c>
      <c r="C222" s="93"/>
      <c r="D222" s="133"/>
      <c r="E222" s="133"/>
      <c r="F222" s="133"/>
      <c r="G222" s="133"/>
      <c r="H222" s="133"/>
      <c r="I222" s="133"/>
      <c r="J222" s="133"/>
    </row>
    <row r="223" spans="1:10" ht="15">
      <c r="A223" s="111" t="str">
        <f>'[1]BM 05'!B230</f>
        <v>14.1</v>
      </c>
      <c r="B223" s="82" t="str">
        <f>'[1]BM 05'!C230</f>
        <v>MURO DE ENTORNO</v>
      </c>
      <c r="C223" s="112"/>
      <c r="D223" s="150"/>
      <c r="E223" s="150"/>
      <c r="F223" s="150"/>
      <c r="G223" s="150"/>
      <c r="H223" s="150"/>
      <c r="I223" s="150"/>
      <c r="J223" s="150"/>
    </row>
    <row r="224" spans="1:10" ht="57">
      <c r="A224" s="113" t="str">
        <f>'[1]BM 05'!B231</f>
        <v>14.1.1</v>
      </c>
      <c r="B224" s="83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80" t="str">
        <f>'[1]BM 05'!D231</f>
        <v>m²</v>
      </c>
      <c r="D224" s="133"/>
      <c r="E224" s="133"/>
      <c r="F224" s="133"/>
      <c r="G224" s="133"/>
      <c r="H224" s="133"/>
      <c r="I224" s="133"/>
      <c r="J224" s="133"/>
    </row>
    <row r="225" spans="1:12" ht="71.25">
      <c r="A225" s="113" t="str">
        <f>'[1]BM 05'!B232</f>
        <v>14.1.2</v>
      </c>
      <c r="B225" s="83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80" t="str">
        <f>'[1]BM 05'!D232</f>
        <v>m²</v>
      </c>
      <c r="D225" s="135"/>
      <c r="E225" s="135"/>
      <c r="F225" s="135"/>
      <c r="G225" s="135"/>
      <c r="H225" s="135"/>
      <c r="I225" s="135"/>
      <c r="J225" s="135"/>
      <c r="L225" s="5">
        <f>((0.14+0.6)*28.95/2)+((0.6+1.35)*28.95/2)+((0.6+1.35)*34.65/2)+((0.38+0.45)*5.98/2)</f>
        <v>75.20320000000001</v>
      </c>
    </row>
    <row r="226" spans="1:12" ht="28.5">
      <c r="A226" s="113" t="str">
        <f>'[1]BM 05'!B233</f>
        <v>14.1.3</v>
      </c>
      <c r="B226" s="83" t="str">
        <f>'[1]BM 05'!C233</f>
        <v>CHAPISCO EM PAREDE COM ARGAMASSA TRAÇO T1 - 1:3 (CIMENTO / AREIA) - REVISADO 08/2015</v>
      </c>
      <c r="C226" s="80" t="str">
        <f>'[1]BM 05'!D233</f>
        <v>m²</v>
      </c>
      <c r="D226" s="133"/>
      <c r="E226" s="133"/>
      <c r="F226" s="133"/>
      <c r="G226" s="133"/>
      <c r="H226" s="133"/>
      <c r="I226" s="133"/>
      <c r="J226" s="133"/>
    </row>
    <row r="227" spans="1:12" ht="28.5">
      <c r="A227" s="113" t="str">
        <f>'[1]BM 05'!B234</f>
        <v>14.1.4</v>
      </c>
      <c r="B227" s="83" t="str">
        <f>'[1]BM 05'!C234</f>
        <v>REBOCO OU EMBOÇO EXTERNO, DE PAREDE, COM ARGAMASSA TRAÇO T5 - 1:2:8 (CIMENTO / CAL / AREIA), ESPESSURA 2,0 CM</v>
      </c>
      <c r="C227" s="80" t="str">
        <f>'[1]BM 05'!D234</f>
        <v>m²</v>
      </c>
      <c r="D227" s="133"/>
      <c r="E227" s="133"/>
      <c r="F227" s="133"/>
      <c r="G227" s="133"/>
      <c r="H227" s="133"/>
      <c r="I227" s="133"/>
      <c r="J227" s="133"/>
    </row>
    <row r="228" spans="1:12" ht="15">
      <c r="A228" s="111" t="str">
        <f>'[1]BM 05'!B235</f>
        <v>14.2</v>
      </c>
      <c r="B228" s="82" t="str">
        <f>'[1]BM 05'!C235</f>
        <v>INFRAESTRUTURA</v>
      </c>
      <c r="C228" s="114"/>
      <c r="D228" s="150"/>
      <c r="E228" s="150"/>
      <c r="F228" s="150"/>
      <c r="G228" s="150"/>
      <c r="H228" s="150"/>
      <c r="I228" s="150"/>
      <c r="J228" s="150"/>
    </row>
    <row r="229" spans="1:12" ht="71.25">
      <c r="A229" s="113" t="str">
        <f>'[1]BM 05'!B236</f>
        <v>14.2.1</v>
      </c>
      <c r="B229" s="83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80" t="str">
        <f>'[1]BM 05'!D236</f>
        <v>m²</v>
      </c>
      <c r="D229" s="133"/>
      <c r="E229" s="133"/>
      <c r="F229" s="133"/>
      <c r="G229" s="133"/>
      <c r="H229" s="133"/>
      <c r="I229" s="133"/>
      <c r="J229" s="133"/>
    </row>
    <row r="230" spans="1:12" ht="57">
      <c r="A230" s="113" t="str">
        <f>'[1]BM 05'!B237</f>
        <v>14.2.2</v>
      </c>
      <c r="B230" s="83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80" t="str">
        <f>'[1]BM 05'!D237</f>
        <v>m³</v>
      </c>
      <c r="D230" s="135"/>
      <c r="E230" s="135"/>
      <c r="F230" s="135"/>
      <c r="G230" s="135"/>
      <c r="H230" s="135"/>
      <c r="I230" s="135"/>
      <c r="J230" s="135"/>
    </row>
    <row r="231" spans="1:12" ht="15">
      <c r="A231" s="111" t="str">
        <f>'[1]BM 05'!B238</f>
        <v>14.3</v>
      </c>
      <c r="B231" s="82" t="str">
        <f>'[1]BM 05'!C238</f>
        <v>DIVERSOS</v>
      </c>
      <c r="C231" s="114"/>
      <c r="D231" s="150"/>
      <c r="E231" s="150"/>
      <c r="F231" s="150"/>
      <c r="G231" s="150"/>
      <c r="H231" s="150"/>
      <c r="I231" s="150"/>
      <c r="J231" s="150"/>
    </row>
    <row r="232" spans="1:12" ht="28.5">
      <c r="A232" s="113" t="str">
        <f>'[1]BM 05'!B239</f>
        <v>14.3.1</v>
      </c>
      <c r="B232" s="83" t="str">
        <f>'[1]BM 05'!C239</f>
        <v>GRADIL EM ALUMÍNIO FIXADO EM VÃOS DE JANELAS, FORMADO POR TUBOS DE 3/4". AF_04/2019 (JANELAS DA FACHADA LESTE TERREO)</v>
      </c>
      <c r="C232" s="80" t="str">
        <f>'[1]BM 05'!D239</f>
        <v>m²</v>
      </c>
      <c r="D232" s="133"/>
      <c r="E232" s="133"/>
      <c r="F232" s="133"/>
      <c r="G232" s="133"/>
      <c r="H232" s="133"/>
      <c r="I232" s="133"/>
      <c r="J232" s="133"/>
    </row>
    <row r="233" spans="1:12" ht="109.5" customHeight="1">
      <c r="A233" s="113" t="str">
        <f>'[1]BM 05'!B240</f>
        <v>14.3.2</v>
      </c>
      <c r="B233" s="83" t="str">
        <f>'[1]BM 05'!C240</f>
        <v>FORRO EM PLACAS DE GESSO, PARA AMBIENTES RESIDENCIAIS. AF_05/2017_P</v>
      </c>
      <c r="C233" s="80" t="str">
        <f>'[1]BM 05'!D240</f>
        <v>m²</v>
      </c>
      <c r="D233" s="135"/>
      <c r="E233" s="135"/>
      <c r="F233" s="135"/>
      <c r="G233" s="135"/>
      <c r="H233" s="135"/>
      <c r="I233" s="135"/>
      <c r="J233" s="135"/>
    </row>
    <row r="234" spans="1:12" ht="42.75">
      <c r="A234" s="113" t="str">
        <f>'[1]BM 05'!B241</f>
        <v>14.3.3</v>
      </c>
      <c r="B234" s="83" t="str">
        <f>'[1]BM 05'!C241</f>
        <v>Portão de abrir, 2 folhas, com quadro em tubo galvanizado 2", com barra quadrada de 3/4" na vertical e esticador redondo de 3/4", inclusive fechadura e dobradiças</v>
      </c>
      <c r="C234" s="80" t="str">
        <f>'[1]BM 05'!D241</f>
        <v>m²</v>
      </c>
      <c r="D234" s="133"/>
      <c r="E234" s="133"/>
      <c r="F234" s="133"/>
      <c r="G234" s="133"/>
      <c r="H234" s="133"/>
      <c r="I234" s="133"/>
      <c r="J234" s="133"/>
    </row>
  </sheetData>
  <mergeCells count="234"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</mergeCells>
  <conditionalFormatting sqref="A222">
    <cfRule type="expression" dxfId="4" priority="4">
      <formula>LEN($B222)=1</formula>
    </cfRule>
  </conditionalFormatting>
  <conditionalFormatting sqref="A4:C76 A77:B77 A78:C221">
    <cfRule type="expression" dxfId="3" priority="5">
      <formula>LEN($B4)=1</formula>
    </cfRule>
  </conditionalFormatting>
  <conditionalFormatting sqref="B222:B234">
    <cfRule type="expression" dxfId="2" priority="1">
      <formula>LEN($B222)=1</formula>
    </cfRule>
  </conditionalFormatting>
  <conditionalFormatting sqref="C222">
    <cfRule type="expression" dxfId="1" priority="3">
      <formula>LEN($B222)=1</formula>
    </cfRule>
  </conditionalFormatting>
  <conditionalFormatting sqref="C224:C234">
    <cfRule type="expression" dxfId="0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B82C8-62B5-4085-B3B9-F546C9E26232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A63A-E2C2-401F-B2ED-3538CC037AAE}">
  <dimension ref="A2:L222"/>
  <sheetViews>
    <sheetView view="pageBreakPreview" zoomScale="80" zoomScaleNormal="100" zoomScaleSheetLayoutView="80" workbookViewId="0">
      <selection activeCell="D5" sqref="D5:J6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10" width="9.140625" style="95"/>
    <col min="11" max="16384" width="9.140625" style="5"/>
  </cols>
  <sheetData>
    <row r="2" spans="1:12" ht="15">
      <c r="A2" s="136" t="s">
        <v>440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2" ht="15">
      <c r="A3" s="73" t="s">
        <v>15</v>
      </c>
      <c r="B3" s="74" t="s">
        <v>441</v>
      </c>
      <c r="C3" s="73" t="s">
        <v>17</v>
      </c>
      <c r="D3" s="138" t="s">
        <v>442</v>
      </c>
      <c r="E3" s="138"/>
      <c r="F3" s="138"/>
      <c r="G3" s="138"/>
      <c r="H3" s="138"/>
      <c r="I3" s="138"/>
      <c r="J3" s="138"/>
    </row>
    <row r="4" spans="1:12">
      <c r="A4" s="75">
        <v>1</v>
      </c>
      <c r="B4" s="76" t="s">
        <v>443</v>
      </c>
      <c r="C4" s="77"/>
      <c r="D4" s="133"/>
      <c r="E4" s="133"/>
      <c r="F4" s="133"/>
      <c r="G4" s="133"/>
      <c r="H4" s="133"/>
      <c r="I4" s="133"/>
      <c r="J4" s="133"/>
    </row>
    <row r="5" spans="1:12">
      <c r="A5" s="78" t="s">
        <v>25</v>
      </c>
      <c r="B5" s="79" t="s">
        <v>26</v>
      </c>
      <c r="C5" s="80" t="s">
        <v>27</v>
      </c>
      <c r="D5" s="133" t="s">
        <v>444</v>
      </c>
      <c r="E5" s="133"/>
      <c r="F5" s="133"/>
      <c r="G5" s="133"/>
      <c r="H5" s="133"/>
      <c r="I5" s="133"/>
      <c r="J5" s="133"/>
      <c r="K5" s="5">
        <v>8</v>
      </c>
    </row>
    <row r="6" spans="1:12" ht="42.75">
      <c r="A6" s="78" t="s">
        <v>28</v>
      </c>
      <c r="B6" s="79" t="s">
        <v>29</v>
      </c>
      <c r="C6" s="80" t="s">
        <v>27</v>
      </c>
      <c r="D6" s="133" t="s">
        <v>445</v>
      </c>
      <c r="E6" s="133"/>
      <c r="F6" s="133"/>
      <c r="G6" s="133"/>
      <c r="H6" s="133"/>
      <c r="I6" s="133"/>
      <c r="J6" s="133"/>
      <c r="K6" s="5">
        <v>267.25</v>
      </c>
    </row>
    <row r="7" spans="1:12" ht="28.5">
      <c r="A7" s="78" t="s">
        <v>30</v>
      </c>
      <c r="B7" s="81" t="s">
        <v>446</v>
      </c>
      <c r="C7" s="80" t="s">
        <v>27</v>
      </c>
      <c r="D7" s="133"/>
      <c r="E7" s="133"/>
      <c r="F7" s="133"/>
      <c r="G7" s="133"/>
      <c r="H7" s="133"/>
      <c r="I7" s="133"/>
      <c r="J7" s="133"/>
    </row>
    <row r="8" spans="1:12" ht="28.5">
      <c r="A8" s="78" t="s">
        <v>32</v>
      </c>
      <c r="B8" s="81" t="s">
        <v>447</v>
      </c>
      <c r="C8" s="80" t="s">
        <v>27</v>
      </c>
      <c r="D8" s="133"/>
      <c r="E8" s="133"/>
      <c r="F8" s="133"/>
      <c r="G8" s="133"/>
      <c r="H8" s="133"/>
      <c r="I8" s="133"/>
      <c r="J8" s="133"/>
    </row>
    <row r="9" spans="1:12" ht="28.5">
      <c r="A9" s="78" t="s">
        <v>34</v>
      </c>
      <c r="B9" s="79" t="s">
        <v>35</v>
      </c>
      <c r="C9" s="80" t="s">
        <v>36</v>
      </c>
      <c r="D9" s="133"/>
      <c r="E9" s="133"/>
      <c r="F9" s="133"/>
      <c r="G9" s="133"/>
      <c r="H9" s="133"/>
      <c r="I9" s="133"/>
      <c r="J9" s="133"/>
    </row>
    <row r="10" spans="1:12">
      <c r="A10" s="78" t="s">
        <v>37</v>
      </c>
      <c r="B10" s="79" t="s">
        <v>38</v>
      </c>
      <c r="C10" s="80" t="s">
        <v>36</v>
      </c>
      <c r="D10" s="133"/>
      <c r="E10" s="133"/>
      <c r="F10" s="133"/>
      <c r="G10" s="133"/>
      <c r="H10" s="133"/>
      <c r="I10" s="133"/>
      <c r="J10" s="133"/>
    </row>
    <row r="11" spans="1:12" ht="28.5">
      <c r="A11" s="78" t="s">
        <v>39</v>
      </c>
      <c r="B11" s="81" t="s">
        <v>40</v>
      </c>
      <c r="C11" s="80" t="s">
        <v>27</v>
      </c>
      <c r="D11" s="133"/>
      <c r="E11" s="133"/>
      <c r="F11" s="133"/>
      <c r="G11" s="133"/>
      <c r="H11" s="133"/>
      <c r="I11" s="133"/>
      <c r="J11" s="133"/>
    </row>
    <row r="12" spans="1:12" ht="42.75">
      <c r="A12" s="78" t="s">
        <v>41</v>
      </c>
      <c r="B12" s="81" t="s">
        <v>448</v>
      </c>
      <c r="C12" s="80" t="s">
        <v>27</v>
      </c>
      <c r="D12" s="133"/>
      <c r="E12" s="133"/>
      <c r="F12" s="133"/>
      <c r="G12" s="133"/>
      <c r="H12" s="133"/>
      <c r="I12" s="133"/>
      <c r="J12" s="133"/>
    </row>
    <row r="13" spans="1:12">
      <c r="A13" s="75">
        <v>2</v>
      </c>
      <c r="B13" s="76" t="str">
        <f>[3]Planilha!$B$21</f>
        <v>MOVIMENTO DE TERRA</v>
      </c>
      <c r="C13" s="77"/>
      <c r="D13" s="133"/>
      <c r="E13" s="133"/>
      <c r="F13" s="133"/>
      <c r="G13" s="133"/>
      <c r="H13" s="133"/>
      <c r="I13" s="133"/>
      <c r="J13" s="133"/>
    </row>
    <row r="14" spans="1:12" ht="42.75">
      <c r="A14" s="78" t="s">
        <v>43</v>
      </c>
      <c r="B14" s="81" t="s">
        <v>44</v>
      </c>
      <c r="C14" s="80" t="s">
        <v>45</v>
      </c>
      <c r="D14" s="135"/>
      <c r="E14" s="135"/>
      <c r="F14" s="135"/>
      <c r="G14" s="135"/>
      <c r="H14" s="135"/>
      <c r="I14" s="135"/>
      <c r="J14" s="135"/>
    </row>
    <row r="15" spans="1:12" ht="44.25" customHeight="1">
      <c r="A15" s="78" t="s">
        <v>46</v>
      </c>
      <c r="B15" s="81" t="s">
        <v>47</v>
      </c>
      <c r="C15" s="80" t="s">
        <v>45</v>
      </c>
      <c r="D15" s="135"/>
      <c r="E15" s="135"/>
      <c r="F15" s="135"/>
      <c r="G15" s="135"/>
      <c r="H15" s="135"/>
      <c r="I15" s="135"/>
      <c r="J15" s="135"/>
      <c r="L15" s="5">
        <f>58.32-3.24-20</f>
        <v>35.08</v>
      </c>
    </row>
    <row r="16" spans="1:12" ht="28.5">
      <c r="A16" s="78" t="s">
        <v>48</v>
      </c>
      <c r="B16" s="81" t="s">
        <v>49</v>
      </c>
      <c r="C16" s="80" t="s">
        <v>45</v>
      </c>
      <c r="D16" s="135"/>
      <c r="E16" s="135"/>
      <c r="F16" s="135"/>
      <c r="G16" s="135"/>
      <c r="H16" s="135"/>
      <c r="I16" s="135"/>
      <c r="J16" s="135"/>
      <c r="L16" s="5">
        <f>58.32-35.08</f>
        <v>23.240000000000002</v>
      </c>
    </row>
    <row r="17" spans="1:10" ht="28.5">
      <c r="A17" s="78" t="s">
        <v>50</v>
      </c>
      <c r="B17" s="81" t="s">
        <v>449</v>
      </c>
      <c r="C17" s="80" t="s">
        <v>45</v>
      </c>
      <c r="D17" s="133"/>
      <c r="E17" s="133"/>
      <c r="F17" s="133"/>
      <c r="G17" s="133"/>
      <c r="H17" s="133"/>
      <c r="I17" s="133"/>
      <c r="J17" s="133"/>
    </row>
    <row r="18" spans="1:10">
      <c r="A18" s="75">
        <v>3</v>
      </c>
      <c r="B18" s="76" t="str">
        <f>[3]Planilha!$B$26</f>
        <v>COBERTURA</v>
      </c>
      <c r="C18" s="77"/>
      <c r="D18" s="133"/>
      <c r="E18" s="133"/>
      <c r="F18" s="133"/>
      <c r="G18" s="133"/>
      <c r="H18" s="133"/>
      <c r="I18" s="133"/>
      <c r="J18" s="133"/>
    </row>
    <row r="19" spans="1:10" ht="28.5">
      <c r="A19" s="78" t="s">
        <v>52</v>
      </c>
      <c r="B19" s="81" t="s">
        <v>53</v>
      </c>
      <c r="C19" s="80" t="s">
        <v>27</v>
      </c>
      <c r="D19" s="133"/>
      <c r="E19" s="133"/>
      <c r="F19" s="133"/>
      <c r="G19" s="133"/>
      <c r="H19" s="133"/>
      <c r="I19" s="133"/>
      <c r="J19" s="133"/>
    </row>
    <row r="20" spans="1:10" ht="28.5">
      <c r="A20" s="78" t="s">
        <v>54</v>
      </c>
      <c r="B20" s="81" t="s">
        <v>55</v>
      </c>
      <c r="C20" s="80" t="s">
        <v>27</v>
      </c>
      <c r="D20" s="133"/>
      <c r="E20" s="133"/>
      <c r="F20" s="133"/>
      <c r="G20" s="133"/>
      <c r="H20" s="133"/>
      <c r="I20" s="133"/>
      <c r="J20" s="133"/>
    </row>
    <row r="21" spans="1:10">
      <c r="A21" s="78" t="s">
        <v>56</v>
      </c>
      <c r="B21" s="79" t="s">
        <v>57</v>
      </c>
      <c r="C21" s="80" t="s">
        <v>27</v>
      </c>
      <c r="D21" s="133"/>
      <c r="E21" s="133"/>
      <c r="F21" s="133"/>
      <c r="G21" s="133"/>
      <c r="H21" s="133"/>
      <c r="I21" s="133"/>
      <c r="J21" s="133"/>
    </row>
    <row r="22" spans="1:10" ht="28.5">
      <c r="A22" s="78" t="s">
        <v>58</v>
      </c>
      <c r="B22" s="81" t="s">
        <v>450</v>
      </c>
      <c r="C22" s="80" t="s">
        <v>60</v>
      </c>
      <c r="D22" s="133"/>
      <c r="E22" s="133"/>
      <c r="F22" s="133"/>
      <c r="G22" s="133"/>
      <c r="H22" s="133"/>
      <c r="I22" s="133"/>
      <c r="J22" s="133"/>
    </row>
    <row r="23" spans="1:10" ht="28.5">
      <c r="A23" s="78" t="s">
        <v>61</v>
      </c>
      <c r="B23" s="81" t="s">
        <v>62</v>
      </c>
      <c r="C23" s="80" t="s">
        <v>60</v>
      </c>
      <c r="D23" s="133"/>
      <c r="E23" s="133"/>
      <c r="F23" s="133"/>
      <c r="G23" s="133"/>
      <c r="H23" s="133"/>
      <c r="I23" s="133"/>
      <c r="J23" s="133"/>
    </row>
    <row r="24" spans="1:10" ht="28.5">
      <c r="A24" s="78" t="s">
        <v>63</v>
      </c>
      <c r="B24" s="81" t="s">
        <v>64</v>
      </c>
      <c r="C24" s="80" t="s">
        <v>60</v>
      </c>
      <c r="D24" s="133"/>
      <c r="E24" s="133"/>
      <c r="F24" s="133"/>
      <c r="G24" s="133"/>
      <c r="H24" s="133"/>
      <c r="I24" s="133"/>
      <c r="J24" s="133"/>
    </row>
    <row r="25" spans="1:10">
      <c r="A25" s="75">
        <v>4</v>
      </c>
      <c r="B25" s="76" t="s">
        <v>65</v>
      </c>
      <c r="C25" s="77"/>
      <c r="D25" s="133"/>
      <c r="E25" s="133"/>
      <c r="F25" s="133"/>
      <c r="G25" s="133"/>
      <c r="H25" s="133"/>
      <c r="I25" s="133"/>
      <c r="J25" s="133"/>
    </row>
    <row r="26" spans="1:10" ht="15">
      <c r="A26" s="73" t="s">
        <v>66</v>
      </c>
      <c r="B26" s="82" t="s">
        <v>451</v>
      </c>
      <c r="C26" s="74"/>
      <c r="D26" s="133"/>
      <c r="E26" s="133"/>
      <c r="F26" s="133"/>
      <c r="G26" s="133"/>
      <c r="H26" s="133"/>
      <c r="I26" s="133"/>
      <c r="J26" s="133"/>
    </row>
    <row r="27" spans="1:10" ht="29.25" customHeight="1">
      <c r="A27" s="78" t="s">
        <v>67</v>
      </c>
      <c r="B27" s="79" t="s">
        <v>68</v>
      </c>
      <c r="C27" s="80" t="s">
        <v>45</v>
      </c>
      <c r="D27" s="135"/>
      <c r="E27" s="135"/>
      <c r="F27" s="135"/>
      <c r="G27" s="135"/>
      <c r="H27" s="135"/>
      <c r="I27" s="135"/>
      <c r="J27" s="135"/>
    </row>
    <row r="28" spans="1:10" ht="47.25" customHeight="1">
      <c r="A28" s="78" t="s">
        <v>69</v>
      </c>
      <c r="B28" s="79" t="s">
        <v>70</v>
      </c>
      <c r="C28" s="80" t="s">
        <v>27</v>
      </c>
      <c r="D28" s="135"/>
      <c r="E28" s="135"/>
      <c r="F28" s="135"/>
      <c r="G28" s="135"/>
      <c r="H28" s="135"/>
      <c r="I28" s="135"/>
      <c r="J28" s="135"/>
    </row>
    <row r="29" spans="1:10" ht="71.25" customHeight="1">
      <c r="A29" s="78" t="s">
        <v>71</v>
      </c>
      <c r="B29" s="79" t="s">
        <v>72</v>
      </c>
      <c r="C29" s="80" t="s">
        <v>73</v>
      </c>
      <c r="D29" s="135"/>
      <c r="E29" s="135"/>
      <c r="F29" s="135"/>
      <c r="G29" s="135"/>
      <c r="H29" s="135"/>
      <c r="I29" s="135"/>
      <c r="J29" s="135"/>
    </row>
    <row r="30" spans="1:10" ht="46.5" customHeight="1">
      <c r="A30" s="78" t="s">
        <v>74</v>
      </c>
      <c r="B30" s="81" t="s">
        <v>75</v>
      </c>
      <c r="C30" s="80" t="s">
        <v>73</v>
      </c>
      <c r="D30" s="135"/>
      <c r="E30" s="135"/>
      <c r="F30" s="135"/>
      <c r="G30" s="135"/>
      <c r="H30" s="135"/>
      <c r="I30" s="135"/>
      <c r="J30" s="135"/>
    </row>
    <row r="31" spans="1:10" ht="28.5">
      <c r="A31" s="78" t="s">
        <v>76</v>
      </c>
      <c r="B31" s="79" t="s">
        <v>77</v>
      </c>
      <c r="C31" s="80" t="s">
        <v>45</v>
      </c>
      <c r="D31" s="135"/>
      <c r="E31" s="135"/>
      <c r="F31" s="135"/>
      <c r="G31" s="135"/>
      <c r="H31" s="135"/>
      <c r="I31" s="135"/>
      <c r="J31" s="135"/>
    </row>
    <row r="32" spans="1:10" ht="15">
      <c r="A32" s="73" t="s">
        <v>78</v>
      </c>
      <c r="B32" s="82" t="s">
        <v>65</v>
      </c>
      <c r="C32" s="74"/>
      <c r="D32" s="133"/>
      <c r="E32" s="133"/>
      <c r="F32" s="133"/>
      <c r="G32" s="133"/>
      <c r="H32" s="133"/>
      <c r="I32" s="133"/>
      <c r="J32" s="133"/>
    </row>
    <row r="33" spans="1:10" ht="57">
      <c r="A33" s="78" t="s">
        <v>79</v>
      </c>
      <c r="B33" s="83" t="s">
        <v>80</v>
      </c>
      <c r="C33" s="80" t="s">
        <v>27</v>
      </c>
      <c r="D33" s="133"/>
      <c r="E33" s="133"/>
      <c r="F33" s="133"/>
      <c r="G33" s="133"/>
      <c r="H33" s="133"/>
      <c r="I33" s="133"/>
      <c r="J33" s="133"/>
    </row>
    <row r="34" spans="1:10" ht="28.5">
      <c r="A34" s="78" t="s">
        <v>81</v>
      </c>
      <c r="B34" s="83" t="s">
        <v>72</v>
      </c>
      <c r="C34" s="80" t="s">
        <v>73</v>
      </c>
      <c r="D34" s="133"/>
      <c r="E34" s="133"/>
      <c r="F34" s="133"/>
      <c r="G34" s="133"/>
      <c r="H34" s="133"/>
      <c r="I34" s="133"/>
      <c r="J34" s="133"/>
    </row>
    <row r="35" spans="1:10" ht="28.5">
      <c r="A35" s="78" t="s">
        <v>82</v>
      </c>
      <c r="B35" s="84" t="s">
        <v>452</v>
      </c>
      <c r="C35" s="80" t="s">
        <v>73</v>
      </c>
      <c r="D35" s="133"/>
      <c r="E35" s="133"/>
      <c r="F35" s="133"/>
      <c r="G35" s="133"/>
      <c r="H35" s="133"/>
      <c r="I35" s="133"/>
      <c r="J35" s="133"/>
    </row>
    <row r="36" spans="1:10" ht="28.5">
      <c r="A36" s="78" t="s">
        <v>83</v>
      </c>
      <c r="B36" s="83" t="s">
        <v>84</v>
      </c>
      <c r="C36" s="80" t="s">
        <v>45</v>
      </c>
      <c r="D36" s="133"/>
      <c r="E36" s="133"/>
      <c r="F36" s="133"/>
      <c r="G36" s="133"/>
      <c r="H36" s="133"/>
      <c r="I36" s="133"/>
      <c r="J36" s="133"/>
    </row>
    <row r="37" spans="1:10" ht="28.5">
      <c r="A37" s="78" t="s">
        <v>85</v>
      </c>
      <c r="B37" s="84" t="s">
        <v>453</v>
      </c>
      <c r="C37" s="80" t="s">
        <v>45</v>
      </c>
      <c r="D37" s="133"/>
      <c r="E37" s="133"/>
      <c r="F37" s="133"/>
      <c r="G37" s="133"/>
      <c r="H37" s="133"/>
      <c r="I37" s="133"/>
      <c r="J37" s="133"/>
    </row>
    <row r="38" spans="1:10" ht="42.75">
      <c r="A38" s="78" t="s">
        <v>87</v>
      </c>
      <c r="B38" s="84" t="s">
        <v>88</v>
      </c>
      <c r="C38" s="80" t="s">
        <v>27</v>
      </c>
      <c r="D38" s="133"/>
      <c r="E38" s="133"/>
      <c r="F38" s="133"/>
      <c r="G38" s="133"/>
      <c r="H38" s="133"/>
      <c r="I38" s="133"/>
      <c r="J38" s="133"/>
    </row>
    <row r="39" spans="1:10" ht="42.75">
      <c r="A39" s="78" t="s">
        <v>89</v>
      </c>
      <c r="B39" s="84" t="s">
        <v>90</v>
      </c>
      <c r="C39" s="80" t="s">
        <v>27</v>
      </c>
      <c r="D39" s="133"/>
      <c r="E39" s="133"/>
      <c r="F39" s="133"/>
      <c r="G39" s="133"/>
      <c r="H39" s="133"/>
      <c r="I39" s="133"/>
      <c r="J39" s="133"/>
    </row>
    <row r="40" spans="1:10" ht="42.75">
      <c r="A40" s="78" t="s">
        <v>91</v>
      </c>
      <c r="B40" s="83" t="s">
        <v>92</v>
      </c>
      <c r="C40" s="80" t="s">
        <v>60</v>
      </c>
      <c r="D40" s="133"/>
      <c r="E40" s="133"/>
      <c r="F40" s="133"/>
      <c r="G40" s="133"/>
      <c r="H40" s="133"/>
      <c r="I40" s="133"/>
      <c r="J40" s="133"/>
    </row>
    <row r="41" spans="1:10" ht="15">
      <c r="A41" s="75">
        <v>5</v>
      </c>
      <c r="B41" s="85" t="s">
        <v>93</v>
      </c>
      <c r="C41" s="77"/>
      <c r="D41" s="133"/>
      <c r="E41" s="133"/>
      <c r="F41" s="133"/>
      <c r="G41" s="133"/>
      <c r="H41" s="133"/>
      <c r="I41" s="133"/>
      <c r="J41" s="133"/>
    </row>
    <row r="42" spans="1:10" ht="57">
      <c r="A42" s="86" t="s">
        <v>94</v>
      </c>
      <c r="B42" s="79" t="s">
        <v>95</v>
      </c>
      <c r="C42" s="80" t="s">
        <v>27</v>
      </c>
      <c r="D42" s="133"/>
      <c r="E42" s="133"/>
      <c r="F42" s="133"/>
      <c r="G42" s="133"/>
      <c r="H42" s="133"/>
      <c r="I42" s="133"/>
      <c r="J42" s="133"/>
    </row>
    <row r="43" spans="1:10" ht="15">
      <c r="A43" s="73" t="s">
        <v>96</v>
      </c>
      <c r="B43" s="82" t="s">
        <v>97</v>
      </c>
      <c r="C43" s="74"/>
      <c r="D43" s="133"/>
      <c r="E43" s="133"/>
      <c r="F43" s="133"/>
      <c r="G43" s="133"/>
      <c r="H43" s="133"/>
      <c r="I43" s="133"/>
      <c r="J43" s="133"/>
    </row>
    <row r="44" spans="1:10" ht="28.5">
      <c r="A44" s="86" t="s">
        <v>98</v>
      </c>
      <c r="B44" s="83" t="s">
        <v>99</v>
      </c>
      <c r="C44" s="80" t="s">
        <v>27</v>
      </c>
      <c r="D44" s="133"/>
      <c r="E44" s="133"/>
      <c r="F44" s="133"/>
      <c r="G44" s="133"/>
      <c r="H44" s="133"/>
      <c r="I44" s="133"/>
      <c r="J44" s="133"/>
    </row>
    <row r="45" spans="1:10">
      <c r="A45" s="75">
        <v>6</v>
      </c>
      <c r="B45" s="76" t="s">
        <v>100</v>
      </c>
      <c r="C45" s="77"/>
      <c r="D45" s="133"/>
      <c r="E45" s="133"/>
      <c r="F45" s="133"/>
      <c r="G45" s="133"/>
      <c r="H45" s="133"/>
      <c r="I45" s="133"/>
      <c r="J45" s="133"/>
    </row>
    <row r="46" spans="1:10" ht="28.5">
      <c r="A46" s="86" t="s">
        <v>101</v>
      </c>
      <c r="B46" s="81" t="s">
        <v>102</v>
      </c>
      <c r="C46" s="87" t="s">
        <v>27</v>
      </c>
      <c r="D46" s="135"/>
      <c r="E46" s="135"/>
      <c r="F46" s="135"/>
      <c r="G46" s="135"/>
      <c r="H46" s="135"/>
      <c r="I46" s="135"/>
      <c r="J46" s="135"/>
    </row>
    <row r="47" spans="1:10" ht="28.5">
      <c r="A47" s="86" t="s">
        <v>103</v>
      </c>
      <c r="B47" s="81" t="s">
        <v>104</v>
      </c>
      <c r="C47" s="87" t="s">
        <v>27</v>
      </c>
      <c r="D47" s="133"/>
      <c r="E47" s="133"/>
      <c r="F47" s="133"/>
      <c r="G47" s="133"/>
      <c r="H47" s="133"/>
      <c r="I47" s="133"/>
      <c r="J47" s="133"/>
    </row>
    <row r="48" spans="1:10" ht="28.5">
      <c r="A48" s="78" t="s">
        <v>105</v>
      </c>
      <c r="B48" s="81" t="s">
        <v>106</v>
      </c>
      <c r="C48" s="87" t="s">
        <v>27</v>
      </c>
      <c r="D48" s="133"/>
      <c r="E48" s="133"/>
      <c r="F48" s="133"/>
      <c r="G48" s="133"/>
      <c r="H48" s="133"/>
      <c r="I48" s="133"/>
      <c r="J48" s="133"/>
    </row>
    <row r="49" spans="1:10">
      <c r="A49" s="75">
        <v>7</v>
      </c>
      <c r="B49" s="76" t="s">
        <v>107</v>
      </c>
      <c r="C49" s="77"/>
      <c r="D49" s="133"/>
      <c r="E49" s="133"/>
      <c r="F49" s="133"/>
      <c r="G49" s="133"/>
      <c r="H49" s="133"/>
      <c r="I49" s="133"/>
      <c r="J49" s="133"/>
    </row>
    <row r="50" spans="1:10" ht="15">
      <c r="A50" s="73" t="s">
        <v>108</v>
      </c>
      <c r="B50" s="82" t="s">
        <v>109</v>
      </c>
      <c r="C50" s="74"/>
      <c r="D50" s="133"/>
      <c r="E50" s="133"/>
      <c r="F50" s="133"/>
      <c r="G50" s="133"/>
      <c r="H50" s="133"/>
      <c r="I50" s="133"/>
      <c r="J50" s="133"/>
    </row>
    <row r="51" spans="1:10" ht="28.5">
      <c r="A51" s="86" t="s">
        <v>110</v>
      </c>
      <c r="B51" s="81" t="s">
        <v>454</v>
      </c>
      <c r="C51" s="80" t="s">
        <v>27</v>
      </c>
      <c r="D51" s="133"/>
      <c r="E51" s="133"/>
      <c r="F51" s="133"/>
      <c r="G51" s="133"/>
      <c r="H51" s="133"/>
      <c r="I51" s="133"/>
      <c r="J51" s="133"/>
    </row>
    <row r="52" spans="1:10" ht="28.5">
      <c r="A52" s="86" t="s">
        <v>112</v>
      </c>
      <c r="B52" s="79" t="s">
        <v>113</v>
      </c>
      <c r="C52" s="80" t="s">
        <v>27</v>
      </c>
      <c r="D52" s="133"/>
      <c r="E52" s="133"/>
      <c r="F52" s="133"/>
      <c r="G52" s="133"/>
      <c r="H52" s="133"/>
      <c r="I52" s="133"/>
      <c r="J52" s="133"/>
    </row>
    <row r="53" spans="1:10" ht="57">
      <c r="A53" s="86" t="s">
        <v>114</v>
      </c>
      <c r="B53" s="79" t="s">
        <v>115</v>
      </c>
      <c r="C53" s="80" t="s">
        <v>27</v>
      </c>
      <c r="D53" s="133"/>
      <c r="E53" s="133"/>
      <c r="F53" s="133"/>
      <c r="G53" s="133"/>
      <c r="H53" s="133"/>
      <c r="I53" s="133"/>
      <c r="J53" s="133"/>
    </row>
    <row r="54" spans="1:10" ht="42.75">
      <c r="A54" s="86" t="s">
        <v>116</v>
      </c>
      <c r="B54" s="79" t="s">
        <v>117</v>
      </c>
      <c r="C54" s="80" t="s">
        <v>27</v>
      </c>
      <c r="D54" s="133"/>
      <c r="E54" s="133"/>
      <c r="F54" s="133"/>
      <c r="G54" s="133"/>
      <c r="H54" s="133"/>
      <c r="I54" s="133"/>
      <c r="J54" s="133"/>
    </row>
    <row r="55" spans="1:10" ht="57">
      <c r="A55" s="86" t="s">
        <v>118</v>
      </c>
      <c r="B55" s="81" t="s">
        <v>119</v>
      </c>
      <c r="C55" s="80" t="s">
        <v>60</v>
      </c>
      <c r="D55" s="133"/>
      <c r="E55" s="133"/>
      <c r="F55" s="133"/>
      <c r="G55" s="133"/>
      <c r="H55" s="133"/>
      <c r="I55" s="133"/>
      <c r="J55" s="133"/>
    </row>
    <row r="56" spans="1:10">
      <c r="A56" s="86" t="s">
        <v>120</v>
      </c>
      <c r="B56" s="79" t="s">
        <v>121</v>
      </c>
      <c r="C56" s="80" t="s">
        <v>27</v>
      </c>
      <c r="D56" s="133"/>
      <c r="E56" s="133"/>
      <c r="F56" s="133"/>
      <c r="G56" s="133"/>
      <c r="H56" s="133"/>
      <c r="I56" s="133"/>
      <c r="J56" s="133"/>
    </row>
    <row r="57" spans="1:10" ht="28.5">
      <c r="A57" s="86" t="s">
        <v>122</v>
      </c>
      <c r="B57" s="81" t="s">
        <v>455</v>
      </c>
      <c r="C57" s="80" t="s">
        <v>60</v>
      </c>
      <c r="D57" s="133"/>
      <c r="E57" s="133"/>
      <c r="F57" s="133"/>
      <c r="G57" s="133"/>
      <c r="H57" s="133"/>
      <c r="I57" s="133"/>
      <c r="J57" s="133"/>
    </row>
    <row r="58" spans="1:10" ht="57">
      <c r="A58" s="86" t="s">
        <v>124</v>
      </c>
      <c r="B58" s="79" t="s">
        <v>125</v>
      </c>
      <c r="C58" s="80" t="s">
        <v>27</v>
      </c>
      <c r="D58" s="133"/>
      <c r="E58" s="133"/>
      <c r="F58" s="133"/>
      <c r="G58" s="133"/>
      <c r="H58" s="133"/>
      <c r="I58" s="133"/>
      <c r="J58" s="133"/>
    </row>
    <row r="59" spans="1:10" ht="42.75">
      <c r="A59" s="86" t="s">
        <v>126</v>
      </c>
      <c r="B59" s="81" t="s">
        <v>127</v>
      </c>
      <c r="C59" s="80" t="s">
        <v>60</v>
      </c>
      <c r="D59" s="133"/>
      <c r="E59" s="133"/>
      <c r="F59" s="133"/>
      <c r="G59" s="133"/>
      <c r="H59" s="133"/>
      <c r="I59" s="133"/>
      <c r="J59" s="133"/>
    </row>
    <row r="60" spans="1:10" ht="28.5">
      <c r="A60" s="86" t="s">
        <v>128</v>
      </c>
      <c r="B60" s="79" t="s">
        <v>129</v>
      </c>
      <c r="C60" s="80" t="s">
        <v>60</v>
      </c>
      <c r="D60" s="133"/>
      <c r="E60" s="133"/>
      <c r="F60" s="133"/>
      <c r="G60" s="133"/>
      <c r="H60" s="133"/>
      <c r="I60" s="133"/>
      <c r="J60" s="133"/>
    </row>
    <row r="61" spans="1:10" ht="15">
      <c r="A61" s="73" t="s">
        <v>130</v>
      </c>
      <c r="B61" s="82" t="s">
        <v>131</v>
      </c>
      <c r="C61" s="74"/>
      <c r="D61" s="133"/>
      <c r="E61" s="133"/>
      <c r="F61" s="133"/>
      <c r="G61" s="133"/>
      <c r="H61" s="133"/>
      <c r="I61" s="133"/>
      <c r="J61" s="133"/>
    </row>
    <row r="62" spans="1:10" ht="28.5">
      <c r="A62" s="86" t="s">
        <v>132</v>
      </c>
      <c r="B62" s="81" t="s">
        <v>133</v>
      </c>
      <c r="C62" s="80" t="s">
        <v>27</v>
      </c>
      <c r="D62" s="133"/>
      <c r="E62" s="133"/>
      <c r="F62" s="133"/>
      <c r="G62" s="133"/>
      <c r="H62" s="133"/>
      <c r="I62" s="133"/>
      <c r="J62" s="133"/>
    </row>
    <row r="63" spans="1:10" ht="42.75">
      <c r="A63" s="86" t="s">
        <v>134</v>
      </c>
      <c r="B63" s="81" t="s">
        <v>456</v>
      </c>
      <c r="C63" s="80" t="s">
        <v>27</v>
      </c>
      <c r="D63" s="133"/>
      <c r="E63" s="133"/>
      <c r="F63" s="133"/>
      <c r="G63" s="133"/>
      <c r="H63" s="133"/>
      <c r="I63" s="133"/>
      <c r="J63" s="133"/>
    </row>
    <row r="64" spans="1:10" ht="28.5">
      <c r="A64" s="86" t="s">
        <v>136</v>
      </c>
      <c r="B64" s="79" t="s">
        <v>137</v>
      </c>
      <c r="C64" s="80" t="s">
        <v>27</v>
      </c>
      <c r="D64" s="133"/>
      <c r="E64" s="133"/>
      <c r="F64" s="133"/>
      <c r="G64" s="133"/>
      <c r="H64" s="133"/>
      <c r="I64" s="133"/>
      <c r="J64" s="133"/>
    </row>
    <row r="65" spans="1:10" ht="57">
      <c r="A65" s="86" t="s">
        <v>138</v>
      </c>
      <c r="B65" s="79" t="s">
        <v>139</v>
      </c>
      <c r="C65" s="80" t="s">
        <v>27</v>
      </c>
      <c r="D65" s="133"/>
      <c r="E65" s="133"/>
      <c r="F65" s="133"/>
      <c r="G65" s="133"/>
      <c r="H65" s="133"/>
      <c r="I65" s="133"/>
      <c r="J65" s="133"/>
    </row>
    <row r="66" spans="1:10" ht="28.5">
      <c r="A66" s="86" t="s">
        <v>140</v>
      </c>
      <c r="B66" s="81" t="s">
        <v>141</v>
      </c>
      <c r="C66" s="80" t="s">
        <v>27</v>
      </c>
      <c r="D66" s="133"/>
      <c r="E66" s="133"/>
      <c r="F66" s="133"/>
      <c r="G66" s="133"/>
      <c r="H66" s="133"/>
      <c r="I66" s="133"/>
      <c r="J66" s="133"/>
    </row>
    <row r="67" spans="1:10" ht="28.5">
      <c r="A67" s="86" t="s">
        <v>142</v>
      </c>
      <c r="B67" s="81" t="s">
        <v>143</v>
      </c>
      <c r="C67" s="80" t="s">
        <v>27</v>
      </c>
      <c r="D67" s="133"/>
      <c r="E67" s="133"/>
      <c r="F67" s="133"/>
      <c r="G67" s="133"/>
      <c r="H67" s="133"/>
      <c r="I67" s="133"/>
      <c r="J67" s="133"/>
    </row>
    <row r="68" spans="1:10">
      <c r="A68" s="86" t="s">
        <v>144</v>
      </c>
      <c r="B68" s="79" t="s">
        <v>145</v>
      </c>
      <c r="C68" s="80" t="s">
        <v>60</v>
      </c>
      <c r="D68" s="133"/>
      <c r="E68" s="133"/>
      <c r="F68" s="133"/>
      <c r="G68" s="133"/>
      <c r="H68" s="133"/>
      <c r="I68" s="133"/>
      <c r="J68" s="133"/>
    </row>
    <row r="69" spans="1:10" ht="28.5">
      <c r="A69" s="86" t="s">
        <v>146</v>
      </c>
      <c r="B69" s="79" t="s">
        <v>147</v>
      </c>
      <c r="C69" s="80" t="s">
        <v>27</v>
      </c>
      <c r="D69" s="133"/>
      <c r="E69" s="133"/>
      <c r="F69" s="133"/>
      <c r="G69" s="133"/>
      <c r="H69" s="133"/>
      <c r="I69" s="133"/>
      <c r="J69" s="133"/>
    </row>
    <row r="70" spans="1:10" ht="15">
      <c r="A70" s="73" t="s">
        <v>148</v>
      </c>
      <c r="B70" s="82" t="s">
        <v>149</v>
      </c>
      <c r="C70" s="74"/>
      <c r="D70" s="133"/>
      <c r="E70" s="133"/>
      <c r="F70" s="133"/>
      <c r="G70" s="133"/>
      <c r="H70" s="133"/>
      <c r="I70" s="133"/>
      <c r="J70" s="133"/>
    </row>
    <row r="71" spans="1:10" ht="28.5">
      <c r="A71" s="86" t="s">
        <v>150</v>
      </c>
      <c r="B71" s="81" t="s">
        <v>457</v>
      </c>
      <c r="C71" s="80" t="s">
        <v>27</v>
      </c>
      <c r="D71" s="133"/>
      <c r="E71" s="133"/>
      <c r="F71" s="133"/>
      <c r="G71" s="133"/>
      <c r="H71" s="133"/>
      <c r="I71" s="133"/>
      <c r="J71" s="133"/>
    </row>
    <row r="72" spans="1:10" ht="28.5">
      <c r="A72" s="86" t="s">
        <v>152</v>
      </c>
      <c r="B72" s="81" t="s">
        <v>153</v>
      </c>
      <c r="C72" s="80" t="s">
        <v>27</v>
      </c>
      <c r="D72" s="133"/>
      <c r="E72" s="133"/>
      <c r="F72" s="133"/>
      <c r="G72" s="133"/>
      <c r="H72" s="133"/>
      <c r="I72" s="133"/>
      <c r="J72" s="133"/>
    </row>
    <row r="73" spans="1:10" ht="28.5">
      <c r="A73" s="86" t="s">
        <v>154</v>
      </c>
      <c r="B73" s="81" t="s">
        <v>155</v>
      </c>
      <c r="C73" s="80" t="s">
        <v>27</v>
      </c>
      <c r="D73" s="133"/>
      <c r="E73" s="133"/>
      <c r="F73" s="133"/>
      <c r="G73" s="133"/>
      <c r="H73" s="133"/>
      <c r="I73" s="133"/>
      <c r="J73" s="133"/>
    </row>
    <row r="74" spans="1:10" ht="28.5">
      <c r="A74" s="86" t="s">
        <v>156</v>
      </c>
      <c r="B74" s="81" t="s">
        <v>143</v>
      </c>
      <c r="C74" s="80" t="s">
        <v>27</v>
      </c>
      <c r="D74" s="133"/>
      <c r="E74" s="133"/>
      <c r="F74" s="133"/>
      <c r="G74" s="133"/>
      <c r="H74" s="133"/>
      <c r="I74" s="133"/>
      <c r="J74" s="133"/>
    </row>
    <row r="75" spans="1:10" ht="28.5">
      <c r="A75" s="86" t="s">
        <v>157</v>
      </c>
      <c r="B75" s="79" t="s">
        <v>147</v>
      </c>
      <c r="C75" s="80" t="s">
        <v>27</v>
      </c>
      <c r="D75" s="133"/>
      <c r="E75" s="133"/>
      <c r="F75" s="133"/>
      <c r="G75" s="133"/>
      <c r="H75" s="133"/>
      <c r="I75" s="133"/>
      <c r="J75" s="133"/>
    </row>
    <row r="76" spans="1:10" ht="42.75">
      <c r="A76" s="86" t="s">
        <v>158</v>
      </c>
      <c r="B76" s="88" t="s">
        <v>159</v>
      </c>
      <c r="C76" s="89" t="s">
        <v>27</v>
      </c>
      <c r="D76" s="133"/>
      <c r="E76" s="133"/>
      <c r="F76" s="133"/>
      <c r="G76" s="133"/>
      <c r="H76" s="133"/>
      <c r="I76" s="133"/>
      <c r="J76" s="133"/>
    </row>
    <row r="77" spans="1:10" ht="15">
      <c r="A77" s="73" t="s">
        <v>160</v>
      </c>
      <c r="B77" s="134" t="s">
        <v>161</v>
      </c>
      <c r="C77" s="134"/>
      <c r="D77" s="133"/>
      <c r="E77" s="133"/>
      <c r="F77" s="133"/>
      <c r="G77" s="133"/>
      <c r="H77" s="133"/>
      <c r="I77" s="133"/>
      <c r="J77" s="133"/>
    </row>
    <row r="78" spans="1:10" ht="28.5">
      <c r="A78" s="86" t="s">
        <v>162</v>
      </c>
      <c r="B78" s="79" t="s">
        <v>147</v>
      </c>
      <c r="C78" s="80" t="s">
        <v>27</v>
      </c>
      <c r="D78" s="133"/>
      <c r="E78" s="133"/>
      <c r="F78" s="133"/>
      <c r="G78" s="133"/>
      <c r="H78" s="133"/>
      <c r="I78" s="133"/>
      <c r="J78" s="133"/>
    </row>
    <row r="79" spans="1:10">
      <c r="A79" s="75">
        <v>8</v>
      </c>
      <c r="B79" s="76" t="s">
        <v>163</v>
      </c>
      <c r="C79" s="77"/>
      <c r="D79" s="133"/>
      <c r="E79" s="133"/>
      <c r="F79" s="133"/>
      <c r="G79" s="133"/>
      <c r="H79" s="133"/>
      <c r="I79" s="133"/>
      <c r="J79" s="133"/>
    </row>
    <row r="80" spans="1:10" ht="15">
      <c r="A80" s="73" t="s">
        <v>164</v>
      </c>
      <c r="B80" s="90" t="s">
        <v>165</v>
      </c>
      <c r="C80" s="74"/>
      <c r="D80" s="133"/>
      <c r="E80" s="133"/>
      <c r="F80" s="133"/>
      <c r="G80" s="133"/>
      <c r="H80" s="133"/>
      <c r="I80" s="133"/>
      <c r="J80" s="133"/>
    </row>
    <row r="81" spans="1:10" ht="28.5">
      <c r="A81" s="86" t="s">
        <v>166</v>
      </c>
      <c r="B81" s="81" t="s">
        <v>167</v>
      </c>
      <c r="C81" s="80" t="s">
        <v>36</v>
      </c>
      <c r="D81" s="133"/>
      <c r="E81" s="133"/>
      <c r="F81" s="133"/>
      <c r="G81" s="133"/>
      <c r="H81" s="133"/>
      <c r="I81" s="133"/>
      <c r="J81" s="133"/>
    </row>
    <row r="82" spans="1:10" ht="28.5">
      <c r="A82" s="86" t="s">
        <v>168</v>
      </c>
      <c r="B82" s="81" t="s">
        <v>169</v>
      </c>
      <c r="C82" s="80" t="s">
        <v>36</v>
      </c>
      <c r="D82" s="133"/>
      <c r="E82" s="133"/>
      <c r="F82" s="133"/>
      <c r="G82" s="133"/>
      <c r="H82" s="133"/>
      <c r="I82" s="133"/>
      <c r="J82" s="133"/>
    </row>
    <row r="83" spans="1:10" ht="28.5">
      <c r="A83" s="86" t="s">
        <v>170</v>
      </c>
      <c r="B83" s="81" t="s">
        <v>171</v>
      </c>
      <c r="C83" s="80" t="s">
        <v>36</v>
      </c>
      <c r="D83" s="133"/>
      <c r="E83" s="133"/>
      <c r="F83" s="133"/>
      <c r="G83" s="133"/>
      <c r="H83" s="133"/>
      <c r="I83" s="133"/>
      <c r="J83" s="133"/>
    </row>
    <row r="84" spans="1:10" ht="28.5">
      <c r="A84" s="86" t="s">
        <v>172</v>
      </c>
      <c r="B84" s="81" t="s">
        <v>173</v>
      </c>
      <c r="C84" s="80" t="s">
        <v>36</v>
      </c>
      <c r="D84" s="133"/>
      <c r="E84" s="133"/>
      <c r="F84" s="133"/>
      <c r="G84" s="133"/>
      <c r="H84" s="133"/>
      <c r="I84" s="133"/>
      <c r="J84" s="133"/>
    </row>
    <row r="85" spans="1:10" ht="42.75">
      <c r="A85" s="86" t="s">
        <v>174</v>
      </c>
      <c r="B85" s="81" t="s">
        <v>175</v>
      </c>
      <c r="C85" s="80" t="s">
        <v>36</v>
      </c>
      <c r="D85" s="133"/>
      <c r="E85" s="133"/>
      <c r="F85" s="133"/>
      <c r="G85" s="133"/>
      <c r="H85" s="133"/>
      <c r="I85" s="133"/>
      <c r="J85" s="133"/>
    </row>
    <row r="86" spans="1:10" ht="42.75">
      <c r="A86" s="86" t="s">
        <v>176</v>
      </c>
      <c r="B86" s="81" t="s">
        <v>177</v>
      </c>
      <c r="C86" s="80" t="s">
        <v>36</v>
      </c>
      <c r="D86" s="133"/>
      <c r="E86" s="133"/>
      <c r="F86" s="133"/>
      <c r="G86" s="133"/>
      <c r="H86" s="133"/>
      <c r="I86" s="133"/>
      <c r="J86" s="133"/>
    </row>
    <row r="87" spans="1:10" ht="42.75">
      <c r="A87" s="86" t="s">
        <v>178</v>
      </c>
      <c r="B87" s="81" t="s">
        <v>179</v>
      </c>
      <c r="C87" s="80" t="s">
        <v>36</v>
      </c>
      <c r="D87" s="133"/>
      <c r="E87" s="133"/>
      <c r="F87" s="133"/>
      <c r="G87" s="133"/>
      <c r="H87" s="133"/>
      <c r="I87" s="133"/>
      <c r="J87" s="133"/>
    </row>
    <row r="88" spans="1:10" ht="28.5">
      <c r="A88" s="86" t="s">
        <v>180</v>
      </c>
      <c r="B88" s="81" t="s">
        <v>458</v>
      </c>
      <c r="C88" s="80" t="s">
        <v>27</v>
      </c>
      <c r="D88" s="133"/>
      <c r="E88" s="133"/>
      <c r="F88" s="133"/>
      <c r="G88" s="133"/>
      <c r="H88" s="133"/>
      <c r="I88" s="133"/>
      <c r="J88" s="133"/>
    </row>
    <row r="89" spans="1:10" ht="15">
      <c r="A89" s="73" t="s">
        <v>182</v>
      </c>
      <c r="B89" s="82" t="s">
        <v>183</v>
      </c>
      <c r="C89" s="74"/>
      <c r="D89" s="133"/>
      <c r="E89" s="133"/>
      <c r="F89" s="133"/>
      <c r="G89" s="133"/>
      <c r="H89" s="133"/>
      <c r="I89" s="133"/>
      <c r="J89" s="133"/>
    </row>
    <row r="90" spans="1:10" ht="28.5">
      <c r="A90" s="86" t="s">
        <v>184</v>
      </c>
      <c r="B90" s="81" t="s">
        <v>185</v>
      </c>
      <c r="C90" s="80" t="s">
        <v>27</v>
      </c>
      <c r="D90" s="133"/>
      <c r="E90" s="133"/>
      <c r="F90" s="133"/>
      <c r="G90" s="133"/>
      <c r="H90" s="133"/>
      <c r="I90" s="133"/>
      <c r="J90" s="133"/>
    </row>
    <row r="91" spans="1:10" ht="28.5">
      <c r="A91" s="86" t="s">
        <v>186</v>
      </c>
      <c r="B91" s="79" t="s">
        <v>187</v>
      </c>
      <c r="C91" s="80" t="s">
        <v>27</v>
      </c>
      <c r="D91" s="133"/>
      <c r="E91" s="133"/>
      <c r="F91" s="133"/>
      <c r="G91" s="133"/>
      <c r="H91" s="133"/>
      <c r="I91" s="133"/>
      <c r="J91" s="133"/>
    </row>
    <row r="92" spans="1:10">
      <c r="A92" s="86" t="s">
        <v>188</v>
      </c>
      <c r="B92" s="79" t="s">
        <v>189</v>
      </c>
      <c r="C92" s="80" t="s">
        <v>27</v>
      </c>
      <c r="D92" s="133"/>
      <c r="E92" s="133"/>
      <c r="F92" s="133"/>
      <c r="G92" s="133"/>
      <c r="H92" s="133"/>
      <c r="I92" s="133"/>
      <c r="J92" s="133"/>
    </row>
    <row r="93" spans="1:10" ht="28.5">
      <c r="A93" s="86" t="s">
        <v>190</v>
      </c>
      <c r="B93" s="81" t="s">
        <v>459</v>
      </c>
      <c r="C93" s="80" t="s">
        <v>60</v>
      </c>
      <c r="D93" s="133"/>
      <c r="E93" s="133"/>
      <c r="F93" s="133"/>
      <c r="G93" s="133"/>
      <c r="H93" s="133"/>
      <c r="I93" s="133"/>
      <c r="J93" s="133"/>
    </row>
    <row r="94" spans="1:10" ht="15">
      <c r="A94" s="73" t="s">
        <v>192</v>
      </c>
      <c r="B94" s="82" t="s">
        <v>193</v>
      </c>
      <c r="C94" s="74"/>
      <c r="D94" s="133"/>
      <c r="E94" s="133"/>
      <c r="F94" s="133"/>
      <c r="G94" s="133"/>
      <c r="H94" s="133"/>
      <c r="I94" s="133"/>
      <c r="J94" s="133"/>
    </row>
    <row r="95" spans="1:10">
      <c r="A95" s="86" t="s">
        <v>194</v>
      </c>
      <c r="B95" s="83" t="s">
        <v>195</v>
      </c>
      <c r="C95" s="80" t="s">
        <v>27</v>
      </c>
      <c r="D95" s="133"/>
      <c r="E95" s="133"/>
      <c r="F95" s="133"/>
      <c r="G95" s="133"/>
      <c r="H95" s="133"/>
      <c r="I95" s="133"/>
      <c r="J95" s="133"/>
    </row>
    <row r="96" spans="1:10">
      <c r="A96" s="86" t="s">
        <v>196</v>
      </c>
      <c r="B96" s="83" t="s">
        <v>197</v>
      </c>
      <c r="C96" s="80" t="s">
        <v>27</v>
      </c>
      <c r="D96" s="133"/>
      <c r="E96" s="133"/>
      <c r="F96" s="133"/>
      <c r="G96" s="133"/>
      <c r="H96" s="133"/>
      <c r="I96" s="133"/>
      <c r="J96" s="133"/>
    </row>
    <row r="97" spans="1:10" ht="28.5">
      <c r="A97" s="86" t="s">
        <v>198</v>
      </c>
      <c r="B97" s="84" t="s">
        <v>460</v>
      </c>
      <c r="C97" s="80" t="s">
        <v>27</v>
      </c>
      <c r="D97" s="133"/>
      <c r="E97" s="133"/>
      <c r="F97" s="133"/>
      <c r="G97" s="133"/>
      <c r="H97" s="133"/>
      <c r="I97" s="133"/>
      <c r="J97" s="133"/>
    </row>
    <row r="98" spans="1:10">
      <c r="A98" s="75">
        <v>9</v>
      </c>
      <c r="B98" s="76" t="s">
        <v>200</v>
      </c>
      <c r="C98" s="77"/>
      <c r="D98" s="133"/>
      <c r="E98" s="133"/>
      <c r="F98" s="133"/>
      <c r="G98" s="133"/>
      <c r="H98" s="133"/>
      <c r="I98" s="133"/>
      <c r="J98" s="133"/>
    </row>
    <row r="99" spans="1:10" ht="15">
      <c r="A99" s="73" t="s">
        <v>201</v>
      </c>
      <c r="B99" s="82" t="s">
        <v>202</v>
      </c>
      <c r="C99" s="74"/>
      <c r="D99" s="133"/>
      <c r="E99" s="133"/>
      <c r="F99" s="133"/>
      <c r="G99" s="133"/>
      <c r="H99" s="133"/>
      <c r="I99" s="133"/>
      <c r="J99" s="133"/>
    </row>
    <row r="100" spans="1:10" ht="28.5">
      <c r="A100" s="86" t="s">
        <v>203</v>
      </c>
      <c r="B100" s="81" t="s">
        <v>204</v>
      </c>
      <c r="C100" s="80" t="s">
        <v>36</v>
      </c>
      <c r="D100" s="133"/>
      <c r="E100" s="133"/>
      <c r="F100" s="133"/>
      <c r="G100" s="133"/>
      <c r="H100" s="133"/>
      <c r="I100" s="133"/>
      <c r="J100" s="133"/>
    </row>
    <row r="101" spans="1:10" ht="15">
      <c r="A101" s="73" t="s">
        <v>205</v>
      </c>
      <c r="B101" s="82" t="s">
        <v>206</v>
      </c>
      <c r="C101" s="74"/>
      <c r="D101" s="133"/>
      <c r="E101" s="133"/>
      <c r="F101" s="133"/>
      <c r="G101" s="133"/>
      <c r="H101" s="133"/>
      <c r="I101" s="133"/>
      <c r="J101" s="133"/>
    </row>
    <row r="102" spans="1:10" ht="42.75">
      <c r="A102" s="86" t="s">
        <v>207</v>
      </c>
      <c r="B102" s="81" t="s">
        <v>461</v>
      </c>
      <c r="C102" s="80" t="s">
        <v>36</v>
      </c>
      <c r="D102" s="133"/>
      <c r="E102" s="133"/>
      <c r="F102" s="133"/>
      <c r="G102" s="133"/>
      <c r="H102" s="133"/>
      <c r="I102" s="133"/>
      <c r="J102" s="133"/>
    </row>
    <row r="103" spans="1:10" ht="28.5">
      <c r="A103" s="86" t="s">
        <v>209</v>
      </c>
      <c r="B103" s="81" t="s">
        <v>462</v>
      </c>
      <c r="C103" s="80" t="s">
        <v>36</v>
      </c>
      <c r="D103" s="133"/>
      <c r="E103" s="133"/>
      <c r="F103" s="133"/>
      <c r="G103" s="133"/>
      <c r="H103" s="133"/>
      <c r="I103" s="133"/>
      <c r="J103" s="133"/>
    </row>
    <row r="104" spans="1:10" ht="28.5">
      <c r="A104" s="86" t="s">
        <v>211</v>
      </c>
      <c r="B104" s="79" t="s">
        <v>212</v>
      </c>
      <c r="C104" s="80" t="s">
        <v>36</v>
      </c>
      <c r="D104" s="133"/>
      <c r="E104" s="133"/>
      <c r="F104" s="133"/>
      <c r="G104" s="133"/>
      <c r="H104" s="133"/>
      <c r="I104" s="133"/>
      <c r="J104" s="133"/>
    </row>
    <row r="105" spans="1:10" ht="28.5">
      <c r="A105" s="86" t="s">
        <v>213</v>
      </c>
      <c r="B105" s="79" t="s">
        <v>214</v>
      </c>
      <c r="C105" s="80" t="s">
        <v>36</v>
      </c>
      <c r="D105" s="133"/>
      <c r="E105" s="133"/>
      <c r="F105" s="133"/>
      <c r="G105" s="133"/>
      <c r="H105" s="133"/>
      <c r="I105" s="133"/>
      <c r="J105" s="133"/>
    </row>
    <row r="106" spans="1:10" ht="42.75">
      <c r="A106" s="86" t="s">
        <v>215</v>
      </c>
      <c r="B106" s="79" t="s">
        <v>216</v>
      </c>
      <c r="C106" s="80" t="s">
        <v>36</v>
      </c>
      <c r="D106" s="133"/>
      <c r="E106" s="133"/>
      <c r="F106" s="133"/>
      <c r="G106" s="133"/>
      <c r="H106" s="133"/>
      <c r="I106" s="133"/>
      <c r="J106" s="133"/>
    </row>
    <row r="107" spans="1:10" ht="28.5">
      <c r="A107" s="86" t="s">
        <v>217</v>
      </c>
      <c r="B107" s="81" t="s">
        <v>463</v>
      </c>
      <c r="C107" s="80" t="s">
        <v>36</v>
      </c>
      <c r="D107" s="133"/>
      <c r="E107" s="133"/>
      <c r="F107" s="133"/>
      <c r="G107" s="133"/>
      <c r="H107" s="133"/>
      <c r="I107" s="133"/>
      <c r="J107" s="133"/>
    </row>
    <row r="108" spans="1:10" ht="28.5">
      <c r="A108" s="86" t="s">
        <v>219</v>
      </c>
      <c r="B108" s="81" t="s">
        <v>220</v>
      </c>
      <c r="C108" s="80" t="s">
        <v>36</v>
      </c>
      <c r="D108" s="133"/>
      <c r="E108" s="133"/>
      <c r="F108" s="133"/>
      <c r="G108" s="133"/>
      <c r="H108" s="133"/>
      <c r="I108" s="133"/>
      <c r="J108" s="133"/>
    </row>
    <row r="109" spans="1:10">
      <c r="A109" s="86" t="s">
        <v>221</v>
      </c>
      <c r="B109" s="79" t="s">
        <v>222</v>
      </c>
      <c r="C109" s="80" t="s">
        <v>36</v>
      </c>
      <c r="D109" s="133"/>
      <c r="E109" s="133"/>
      <c r="F109" s="133"/>
      <c r="G109" s="133"/>
      <c r="H109" s="133"/>
      <c r="I109" s="133"/>
      <c r="J109" s="133"/>
    </row>
    <row r="110" spans="1:10">
      <c r="A110" s="86" t="s">
        <v>223</v>
      </c>
      <c r="B110" s="79" t="s">
        <v>224</v>
      </c>
      <c r="C110" s="80" t="s">
        <v>36</v>
      </c>
      <c r="D110" s="133"/>
      <c r="E110" s="133"/>
      <c r="F110" s="133"/>
      <c r="G110" s="133"/>
      <c r="H110" s="133"/>
      <c r="I110" s="133"/>
      <c r="J110" s="133"/>
    </row>
    <row r="111" spans="1:10" ht="28.5">
      <c r="A111" s="86" t="s">
        <v>225</v>
      </c>
      <c r="B111" s="81" t="s">
        <v>226</v>
      </c>
      <c r="C111" s="80" t="s">
        <v>36</v>
      </c>
      <c r="D111" s="133"/>
      <c r="E111" s="133"/>
      <c r="F111" s="133"/>
      <c r="G111" s="133"/>
      <c r="H111" s="133"/>
      <c r="I111" s="133"/>
      <c r="J111" s="133"/>
    </row>
    <row r="112" spans="1:10">
      <c r="A112" s="86" t="s">
        <v>227</v>
      </c>
      <c r="B112" s="79" t="s">
        <v>224</v>
      </c>
      <c r="C112" s="80" t="s">
        <v>36</v>
      </c>
      <c r="D112" s="133"/>
      <c r="E112" s="133"/>
      <c r="F112" s="133"/>
      <c r="G112" s="133"/>
      <c r="H112" s="133"/>
      <c r="I112" s="133"/>
      <c r="J112" s="133"/>
    </row>
    <row r="113" spans="1:10">
      <c r="A113" s="86" t="s">
        <v>228</v>
      </c>
      <c r="B113" s="79" t="s">
        <v>229</v>
      </c>
      <c r="C113" s="80" t="s">
        <v>36</v>
      </c>
      <c r="D113" s="133"/>
      <c r="E113" s="133"/>
      <c r="F113" s="133"/>
      <c r="G113" s="133"/>
      <c r="H113" s="133"/>
      <c r="I113" s="133"/>
      <c r="J113" s="133"/>
    </row>
    <row r="114" spans="1:10" ht="28.5">
      <c r="A114" s="86" t="s">
        <v>230</v>
      </c>
      <c r="B114" s="81" t="s">
        <v>220</v>
      </c>
      <c r="C114" s="80" t="s">
        <v>36</v>
      </c>
      <c r="D114" s="133"/>
      <c r="E114" s="133"/>
      <c r="F114" s="133"/>
      <c r="G114" s="133"/>
      <c r="H114" s="133"/>
      <c r="I114" s="133"/>
      <c r="J114" s="133"/>
    </row>
    <row r="115" spans="1:10" ht="28.5">
      <c r="A115" s="86" t="s">
        <v>231</v>
      </c>
      <c r="B115" s="81" t="s">
        <v>232</v>
      </c>
      <c r="C115" s="80" t="s">
        <v>36</v>
      </c>
      <c r="D115" s="133"/>
      <c r="E115" s="133"/>
      <c r="F115" s="133"/>
      <c r="G115" s="133"/>
      <c r="H115" s="133"/>
      <c r="I115" s="133"/>
      <c r="J115" s="133"/>
    </row>
    <row r="116" spans="1:10" ht="28.5">
      <c r="A116" s="86" t="s">
        <v>233</v>
      </c>
      <c r="B116" s="81" t="s">
        <v>234</v>
      </c>
      <c r="C116" s="80" t="s">
        <v>36</v>
      </c>
      <c r="D116" s="133"/>
      <c r="E116" s="133"/>
      <c r="F116" s="133"/>
      <c r="G116" s="133"/>
      <c r="H116" s="133"/>
      <c r="I116" s="133"/>
      <c r="J116" s="133"/>
    </row>
    <row r="117" spans="1:10" ht="28.5">
      <c r="A117" s="86" t="s">
        <v>235</v>
      </c>
      <c r="B117" s="81" t="s">
        <v>236</v>
      </c>
      <c r="C117" s="80" t="s">
        <v>36</v>
      </c>
      <c r="D117" s="133"/>
      <c r="E117" s="133"/>
      <c r="F117" s="133"/>
      <c r="G117" s="133"/>
      <c r="H117" s="133"/>
      <c r="I117" s="133"/>
      <c r="J117" s="133"/>
    </row>
    <row r="118" spans="1:10" ht="28.5">
      <c r="A118" s="86" t="s">
        <v>237</v>
      </c>
      <c r="B118" s="81" t="s">
        <v>238</v>
      </c>
      <c r="C118" s="80" t="s">
        <v>36</v>
      </c>
      <c r="D118" s="133"/>
      <c r="E118" s="133"/>
      <c r="F118" s="133"/>
      <c r="G118" s="133"/>
      <c r="H118" s="133"/>
      <c r="I118" s="133"/>
      <c r="J118" s="133"/>
    </row>
    <row r="119" spans="1:10" ht="28.5">
      <c r="A119" s="86" t="s">
        <v>239</v>
      </c>
      <c r="B119" s="81" t="s">
        <v>240</v>
      </c>
      <c r="C119" s="80" t="s">
        <v>36</v>
      </c>
      <c r="D119" s="133"/>
      <c r="E119" s="133"/>
      <c r="F119" s="133"/>
      <c r="G119" s="133"/>
      <c r="H119" s="133"/>
      <c r="I119" s="133"/>
      <c r="J119" s="133"/>
    </row>
    <row r="120" spans="1:10">
      <c r="A120" s="86" t="s">
        <v>241</v>
      </c>
      <c r="B120" s="79" t="s">
        <v>242</v>
      </c>
      <c r="C120" s="80" t="s">
        <v>36</v>
      </c>
      <c r="D120" s="133"/>
      <c r="E120" s="133"/>
      <c r="F120" s="133"/>
      <c r="G120" s="133"/>
      <c r="H120" s="133"/>
      <c r="I120" s="133"/>
      <c r="J120" s="133"/>
    </row>
    <row r="121" spans="1:10">
      <c r="A121" s="86" t="s">
        <v>243</v>
      </c>
      <c r="B121" s="79" t="s">
        <v>244</v>
      </c>
      <c r="C121" s="80" t="s">
        <v>36</v>
      </c>
      <c r="D121" s="133"/>
      <c r="E121" s="133"/>
      <c r="F121" s="133"/>
      <c r="G121" s="133"/>
      <c r="H121" s="133"/>
      <c r="I121" s="133"/>
      <c r="J121" s="133"/>
    </row>
    <row r="122" spans="1:10" ht="28.5">
      <c r="A122" s="86" t="s">
        <v>245</v>
      </c>
      <c r="B122" s="81" t="s">
        <v>220</v>
      </c>
      <c r="C122" s="80" t="s">
        <v>36</v>
      </c>
      <c r="D122" s="133"/>
      <c r="E122" s="133"/>
      <c r="F122" s="133"/>
      <c r="G122" s="133"/>
      <c r="H122" s="133"/>
      <c r="I122" s="133"/>
      <c r="J122" s="133"/>
    </row>
    <row r="123" spans="1:10" ht="15">
      <c r="A123" s="73" t="s">
        <v>246</v>
      </c>
      <c r="B123" s="82" t="s">
        <v>247</v>
      </c>
      <c r="C123" s="74"/>
      <c r="D123" s="133"/>
      <c r="E123" s="133"/>
      <c r="F123" s="133"/>
      <c r="G123" s="133"/>
      <c r="H123" s="133"/>
      <c r="I123" s="133"/>
      <c r="J123" s="133"/>
    </row>
    <row r="124" spans="1:10" ht="57">
      <c r="A124" s="86" t="s">
        <v>248</v>
      </c>
      <c r="B124" s="79" t="s">
        <v>249</v>
      </c>
      <c r="C124" s="80" t="s">
        <v>36</v>
      </c>
      <c r="D124" s="133"/>
      <c r="E124" s="133"/>
      <c r="F124" s="133"/>
      <c r="G124" s="133"/>
      <c r="H124" s="133"/>
      <c r="I124" s="133"/>
      <c r="J124" s="133"/>
    </row>
    <row r="125" spans="1:10" ht="28.5">
      <c r="A125" s="86" t="s">
        <v>250</v>
      </c>
      <c r="B125" s="79" t="s">
        <v>251</v>
      </c>
      <c r="C125" s="80" t="s">
        <v>36</v>
      </c>
      <c r="D125" s="133"/>
      <c r="E125" s="133"/>
      <c r="F125" s="133"/>
      <c r="G125" s="133"/>
      <c r="H125" s="133"/>
      <c r="I125" s="133"/>
      <c r="J125" s="133"/>
    </row>
    <row r="126" spans="1:10" ht="28.5">
      <c r="A126" s="86" t="s">
        <v>252</v>
      </c>
      <c r="B126" s="81" t="s">
        <v>253</v>
      </c>
      <c r="C126" s="80" t="s">
        <v>36</v>
      </c>
      <c r="D126" s="133"/>
      <c r="E126" s="133"/>
      <c r="F126" s="133"/>
      <c r="G126" s="133"/>
      <c r="H126" s="133"/>
      <c r="I126" s="133"/>
      <c r="J126" s="133"/>
    </row>
    <row r="127" spans="1:10">
      <c r="A127" s="86" t="s">
        <v>254</v>
      </c>
      <c r="B127" s="79" t="s">
        <v>255</v>
      </c>
      <c r="C127" s="80" t="s">
        <v>36</v>
      </c>
      <c r="D127" s="133"/>
      <c r="E127" s="133"/>
      <c r="F127" s="133"/>
      <c r="G127" s="133"/>
      <c r="H127" s="133"/>
      <c r="I127" s="133"/>
      <c r="J127" s="133"/>
    </row>
    <row r="128" spans="1:10" ht="15">
      <c r="A128" s="73" t="s">
        <v>256</v>
      </c>
      <c r="B128" s="82" t="s">
        <v>257</v>
      </c>
      <c r="C128" s="74"/>
      <c r="D128" s="133"/>
      <c r="E128" s="133"/>
      <c r="F128" s="133"/>
      <c r="G128" s="133"/>
      <c r="H128" s="133"/>
      <c r="I128" s="133"/>
      <c r="J128" s="133"/>
    </row>
    <row r="129" spans="1:10" ht="57">
      <c r="A129" s="86" t="s">
        <v>258</v>
      </c>
      <c r="B129" s="79" t="s">
        <v>249</v>
      </c>
      <c r="C129" s="80" t="s">
        <v>36</v>
      </c>
      <c r="D129" s="133"/>
      <c r="E129" s="133"/>
      <c r="F129" s="133"/>
      <c r="G129" s="133"/>
      <c r="H129" s="133"/>
      <c r="I129" s="133"/>
      <c r="J129" s="133"/>
    </row>
    <row r="130" spans="1:10" ht="28.5">
      <c r="A130" s="86" t="s">
        <v>259</v>
      </c>
      <c r="B130" s="79" t="s">
        <v>260</v>
      </c>
      <c r="C130" s="80" t="s">
        <v>36</v>
      </c>
      <c r="D130" s="133"/>
      <c r="E130" s="133"/>
      <c r="F130" s="133"/>
      <c r="G130" s="133"/>
      <c r="H130" s="133"/>
      <c r="I130" s="133"/>
      <c r="J130" s="133"/>
    </row>
    <row r="131" spans="1:10">
      <c r="A131" s="86" t="s">
        <v>261</v>
      </c>
      <c r="B131" s="79" t="s">
        <v>255</v>
      </c>
      <c r="C131" s="80" t="s">
        <v>36</v>
      </c>
      <c r="D131" s="133"/>
      <c r="E131" s="133"/>
      <c r="F131" s="133"/>
      <c r="G131" s="133"/>
      <c r="H131" s="133"/>
      <c r="I131" s="133"/>
      <c r="J131" s="133"/>
    </row>
    <row r="132" spans="1:10" ht="28.5">
      <c r="A132" s="86" t="s">
        <v>262</v>
      </c>
      <c r="B132" s="81" t="s">
        <v>253</v>
      </c>
      <c r="C132" s="80" t="s">
        <v>36</v>
      </c>
      <c r="D132" s="133"/>
      <c r="E132" s="133"/>
      <c r="F132" s="133"/>
      <c r="G132" s="133"/>
      <c r="H132" s="133"/>
      <c r="I132" s="133"/>
      <c r="J132" s="133"/>
    </row>
    <row r="133" spans="1:10" ht="28.5">
      <c r="A133" s="86" t="s">
        <v>263</v>
      </c>
      <c r="B133" s="81" t="s">
        <v>264</v>
      </c>
      <c r="C133" s="80" t="s">
        <v>36</v>
      </c>
      <c r="D133" s="133"/>
      <c r="E133" s="133"/>
      <c r="F133" s="133"/>
      <c r="G133" s="133"/>
      <c r="H133" s="133"/>
      <c r="I133" s="133"/>
      <c r="J133" s="133"/>
    </row>
    <row r="134" spans="1:10" ht="28.5">
      <c r="A134" s="86" t="s">
        <v>265</v>
      </c>
      <c r="B134" s="81" t="s">
        <v>266</v>
      </c>
      <c r="C134" s="80" t="s">
        <v>36</v>
      </c>
      <c r="D134" s="133"/>
      <c r="E134" s="133"/>
      <c r="F134" s="133"/>
      <c r="G134" s="133"/>
      <c r="H134" s="133"/>
      <c r="I134" s="133"/>
      <c r="J134" s="133"/>
    </row>
    <row r="135" spans="1:10" ht="28.5">
      <c r="A135" s="86" t="s">
        <v>267</v>
      </c>
      <c r="B135" s="81" t="s">
        <v>268</v>
      </c>
      <c r="C135" s="80" t="s">
        <v>36</v>
      </c>
      <c r="D135" s="133"/>
      <c r="E135" s="133"/>
      <c r="F135" s="133"/>
      <c r="G135" s="133"/>
      <c r="H135" s="133"/>
      <c r="I135" s="133"/>
      <c r="J135" s="133"/>
    </row>
    <row r="136" spans="1:10" ht="15">
      <c r="A136" s="73" t="s">
        <v>269</v>
      </c>
      <c r="B136" s="82" t="s">
        <v>270</v>
      </c>
      <c r="C136" s="74"/>
      <c r="D136" s="133"/>
      <c r="E136" s="133"/>
      <c r="F136" s="133"/>
      <c r="G136" s="133"/>
      <c r="H136" s="133"/>
      <c r="I136" s="133"/>
      <c r="J136" s="133"/>
    </row>
    <row r="137" spans="1:10">
      <c r="A137" s="86" t="s">
        <v>271</v>
      </c>
      <c r="B137" s="79" t="s">
        <v>272</v>
      </c>
      <c r="C137" s="80" t="s">
        <v>36</v>
      </c>
      <c r="D137" s="133"/>
      <c r="E137" s="133"/>
      <c r="F137" s="133"/>
      <c r="G137" s="133"/>
      <c r="H137" s="133"/>
      <c r="I137" s="133"/>
      <c r="J137" s="133"/>
    </row>
    <row r="138" spans="1:10" ht="28.5">
      <c r="A138" s="86" t="s">
        <v>273</v>
      </c>
      <c r="B138" s="79" t="s">
        <v>274</v>
      </c>
      <c r="C138" s="80" t="s">
        <v>36</v>
      </c>
      <c r="D138" s="133"/>
      <c r="E138" s="133"/>
      <c r="F138" s="133"/>
      <c r="G138" s="133"/>
      <c r="H138" s="133"/>
      <c r="I138" s="133"/>
      <c r="J138" s="133"/>
    </row>
    <row r="139" spans="1:10" ht="28.5">
      <c r="A139" s="86" t="s">
        <v>275</v>
      </c>
      <c r="B139" s="81" t="s">
        <v>276</v>
      </c>
      <c r="C139" s="80" t="s">
        <v>36</v>
      </c>
      <c r="D139" s="133"/>
      <c r="E139" s="133"/>
      <c r="F139" s="133"/>
      <c r="G139" s="133"/>
      <c r="H139" s="133"/>
      <c r="I139" s="133"/>
      <c r="J139" s="133"/>
    </row>
    <row r="140" spans="1:10" ht="28.5">
      <c r="A140" s="86" t="s">
        <v>277</v>
      </c>
      <c r="B140" s="81" t="s">
        <v>278</v>
      </c>
      <c r="C140" s="80" t="s">
        <v>279</v>
      </c>
      <c r="D140" s="133"/>
      <c r="E140" s="133"/>
      <c r="F140" s="133"/>
      <c r="G140" s="133"/>
      <c r="H140" s="133"/>
      <c r="I140" s="133"/>
      <c r="J140" s="133"/>
    </row>
    <row r="141" spans="1:10">
      <c r="A141" s="86" t="s">
        <v>280</v>
      </c>
      <c r="B141" s="79" t="s">
        <v>281</v>
      </c>
      <c r="C141" s="80" t="s">
        <v>36</v>
      </c>
      <c r="D141" s="133"/>
      <c r="E141" s="133"/>
      <c r="F141" s="133"/>
      <c r="G141" s="133"/>
      <c r="H141" s="133"/>
      <c r="I141" s="133"/>
      <c r="J141" s="133"/>
    </row>
    <row r="142" spans="1:10">
      <c r="A142" s="86" t="s">
        <v>282</v>
      </c>
      <c r="B142" s="79" t="s">
        <v>283</v>
      </c>
      <c r="C142" s="80" t="s">
        <v>36</v>
      </c>
      <c r="D142" s="133"/>
      <c r="E142" s="133"/>
      <c r="F142" s="133"/>
      <c r="G142" s="133"/>
      <c r="H142" s="133"/>
      <c r="I142" s="133"/>
      <c r="J142" s="133"/>
    </row>
    <row r="143" spans="1:10">
      <c r="A143" s="86" t="s">
        <v>284</v>
      </c>
      <c r="B143" s="79" t="s">
        <v>285</v>
      </c>
      <c r="C143" s="80" t="s">
        <v>36</v>
      </c>
      <c r="D143" s="133"/>
      <c r="E143" s="133"/>
      <c r="F143" s="133"/>
      <c r="G143" s="133"/>
      <c r="H143" s="133"/>
      <c r="I143" s="133"/>
      <c r="J143" s="133"/>
    </row>
    <row r="144" spans="1:10">
      <c r="A144" s="86" t="s">
        <v>286</v>
      </c>
      <c r="B144" s="79" t="s">
        <v>287</v>
      </c>
      <c r="C144" s="80" t="s">
        <v>36</v>
      </c>
      <c r="D144" s="133"/>
      <c r="E144" s="133"/>
      <c r="F144" s="133"/>
      <c r="G144" s="133"/>
      <c r="H144" s="133"/>
      <c r="I144" s="133"/>
      <c r="J144" s="133"/>
    </row>
    <row r="145" spans="1:10" ht="28.5">
      <c r="A145" s="86" t="s">
        <v>288</v>
      </c>
      <c r="B145" s="79" t="s">
        <v>289</v>
      </c>
      <c r="C145" s="80" t="s">
        <v>279</v>
      </c>
      <c r="D145" s="133"/>
      <c r="E145" s="133"/>
      <c r="F145" s="133"/>
      <c r="G145" s="133"/>
      <c r="H145" s="133"/>
      <c r="I145" s="133"/>
      <c r="J145" s="133"/>
    </row>
    <row r="146" spans="1:10" ht="42.75">
      <c r="A146" s="86" t="s">
        <v>290</v>
      </c>
      <c r="B146" s="81" t="s">
        <v>291</v>
      </c>
      <c r="C146" s="80" t="s">
        <v>36</v>
      </c>
      <c r="D146" s="133"/>
      <c r="E146" s="133"/>
      <c r="F146" s="133"/>
      <c r="G146" s="133"/>
      <c r="H146" s="133"/>
      <c r="I146" s="133"/>
      <c r="J146" s="133"/>
    </row>
    <row r="147" spans="1:10" ht="28.5">
      <c r="A147" s="86" t="s">
        <v>292</v>
      </c>
      <c r="B147" s="79" t="s">
        <v>293</v>
      </c>
      <c r="C147" s="80" t="s">
        <v>36</v>
      </c>
      <c r="D147" s="133"/>
      <c r="E147" s="133"/>
      <c r="F147" s="133"/>
      <c r="G147" s="133"/>
      <c r="H147" s="133"/>
      <c r="I147" s="133"/>
      <c r="J147" s="133"/>
    </row>
    <row r="148" spans="1:10" ht="15">
      <c r="A148" s="91">
        <v>10</v>
      </c>
      <c r="B148" s="92" t="s">
        <v>294</v>
      </c>
      <c r="C148" s="93"/>
      <c r="D148" s="133"/>
      <c r="E148" s="133"/>
      <c r="F148" s="133"/>
      <c r="G148" s="133"/>
      <c r="H148" s="133"/>
      <c r="I148" s="133"/>
      <c r="J148" s="133"/>
    </row>
    <row r="149" spans="1:10" ht="15">
      <c r="A149" s="73" t="s">
        <v>295</v>
      </c>
      <c r="B149" s="82" t="s">
        <v>296</v>
      </c>
      <c r="C149" s="74"/>
      <c r="D149" s="133"/>
      <c r="E149" s="133"/>
      <c r="F149" s="133"/>
      <c r="G149" s="133"/>
      <c r="H149" s="133"/>
      <c r="I149" s="133"/>
      <c r="J149" s="133"/>
    </row>
    <row r="150" spans="1:10" ht="28.5">
      <c r="A150" s="86" t="s">
        <v>297</v>
      </c>
      <c r="B150" s="84" t="s">
        <v>298</v>
      </c>
      <c r="C150" s="80" t="s">
        <v>36</v>
      </c>
      <c r="D150" s="133"/>
      <c r="E150" s="133"/>
      <c r="F150" s="133"/>
      <c r="G150" s="133"/>
      <c r="H150" s="133"/>
      <c r="I150" s="133"/>
      <c r="J150" s="133"/>
    </row>
    <row r="151" spans="1:10" ht="28.5">
      <c r="A151" s="86" t="s">
        <v>299</v>
      </c>
      <c r="B151" s="83" t="s">
        <v>300</v>
      </c>
      <c r="C151" s="80" t="s">
        <v>36</v>
      </c>
      <c r="D151" s="133"/>
      <c r="E151" s="133"/>
      <c r="F151" s="133"/>
      <c r="G151" s="133"/>
      <c r="H151" s="133"/>
      <c r="I151" s="133"/>
      <c r="J151" s="133"/>
    </row>
    <row r="152" spans="1:10" ht="71.25">
      <c r="A152" s="86" t="s">
        <v>301</v>
      </c>
      <c r="B152" s="83" t="s">
        <v>302</v>
      </c>
      <c r="C152" s="80" t="s">
        <v>36</v>
      </c>
      <c r="D152" s="133"/>
      <c r="E152" s="133"/>
      <c r="F152" s="133"/>
      <c r="G152" s="133"/>
      <c r="H152" s="133"/>
      <c r="I152" s="133"/>
      <c r="J152" s="133"/>
    </row>
    <row r="153" spans="1:10" ht="28.5">
      <c r="A153" s="86" t="s">
        <v>303</v>
      </c>
      <c r="B153" s="83" t="s">
        <v>304</v>
      </c>
      <c r="C153" s="80" t="s">
        <v>36</v>
      </c>
      <c r="D153" s="133"/>
      <c r="E153" s="133"/>
      <c r="F153" s="133"/>
      <c r="G153" s="133"/>
      <c r="H153" s="133"/>
      <c r="I153" s="133"/>
      <c r="J153" s="133"/>
    </row>
    <row r="154" spans="1:10" ht="42.75">
      <c r="A154" s="86" t="s">
        <v>305</v>
      </c>
      <c r="B154" s="83" t="s">
        <v>306</v>
      </c>
      <c r="C154" s="80" t="s">
        <v>36</v>
      </c>
      <c r="D154" s="133"/>
      <c r="E154" s="133"/>
      <c r="F154" s="133"/>
      <c r="G154" s="133"/>
      <c r="H154" s="133"/>
      <c r="I154" s="133"/>
      <c r="J154" s="133"/>
    </row>
    <row r="155" spans="1:10">
      <c r="A155" s="86" t="s">
        <v>307</v>
      </c>
      <c r="B155" s="83" t="s">
        <v>308</v>
      </c>
      <c r="C155" s="80" t="s">
        <v>36</v>
      </c>
      <c r="D155" s="133"/>
      <c r="E155" s="133"/>
      <c r="F155" s="133"/>
      <c r="G155" s="133"/>
      <c r="H155" s="133"/>
      <c r="I155" s="133"/>
      <c r="J155" s="133"/>
    </row>
    <row r="156" spans="1:10">
      <c r="A156" s="86" t="s">
        <v>309</v>
      </c>
      <c r="B156" s="83" t="s">
        <v>310</v>
      </c>
      <c r="C156" s="80" t="s">
        <v>36</v>
      </c>
      <c r="D156" s="133"/>
      <c r="E156" s="133"/>
      <c r="F156" s="133"/>
      <c r="G156" s="133"/>
      <c r="H156" s="133"/>
      <c r="I156" s="133"/>
      <c r="J156" s="133"/>
    </row>
    <row r="157" spans="1:10">
      <c r="A157" s="86" t="s">
        <v>311</v>
      </c>
      <c r="B157" s="83" t="s">
        <v>312</v>
      </c>
      <c r="C157" s="80" t="s">
        <v>36</v>
      </c>
      <c r="D157" s="133"/>
      <c r="E157" s="133"/>
      <c r="F157" s="133"/>
      <c r="G157" s="133"/>
      <c r="H157" s="133"/>
      <c r="I157" s="133"/>
      <c r="J157" s="133"/>
    </row>
    <row r="158" spans="1:10" ht="42.75">
      <c r="A158" s="86" t="s">
        <v>313</v>
      </c>
      <c r="B158" s="83" t="s">
        <v>314</v>
      </c>
      <c r="C158" s="80" t="s">
        <v>36</v>
      </c>
      <c r="D158" s="133"/>
      <c r="E158" s="133"/>
      <c r="F158" s="133"/>
      <c r="G158" s="133"/>
      <c r="H158" s="133"/>
      <c r="I158" s="133"/>
      <c r="J158" s="133"/>
    </row>
    <row r="159" spans="1:10" ht="28.5">
      <c r="A159" s="86" t="s">
        <v>315</v>
      </c>
      <c r="B159" s="83" t="s">
        <v>316</v>
      </c>
      <c r="C159" s="80" t="s">
        <v>36</v>
      </c>
      <c r="D159" s="133"/>
      <c r="E159" s="133"/>
      <c r="F159" s="133"/>
      <c r="G159" s="133"/>
      <c r="H159" s="133"/>
      <c r="I159" s="133"/>
      <c r="J159" s="133"/>
    </row>
    <row r="160" spans="1:10" ht="28.5">
      <c r="A160" s="86" t="s">
        <v>317</v>
      </c>
      <c r="B160" s="84" t="s">
        <v>318</v>
      </c>
      <c r="C160" s="80" t="s">
        <v>60</v>
      </c>
      <c r="D160" s="133"/>
      <c r="E160" s="133"/>
      <c r="F160" s="133"/>
      <c r="G160" s="133"/>
      <c r="H160" s="133"/>
      <c r="I160" s="133"/>
      <c r="J160" s="133"/>
    </row>
    <row r="161" spans="1:10">
      <c r="A161" s="86" t="s">
        <v>319</v>
      </c>
      <c r="B161" s="83" t="s">
        <v>320</v>
      </c>
      <c r="C161" s="80" t="s">
        <v>60</v>
      </c>
      <c r="D161" s="133"/>
      <c r="E161" s="133"/>
      <c r="F161" s="133"/>
      <c r="G161" s="133"/>
      <c r="H161" s="133"/>
      <c r="I161" s="133"/>
      <c r="J161" s="133"/>
    </row>
    <row r="162" spans="1:10">
      <c r="A162" s="86" t="s">
        <v>321</v>
      </c>
      <c r="B162" s="83" t="s">
        <v>322</v>
      </c>
      <c r="C162" s="80" t="s">
        <v>60</v>
      </c>
      <c r="D162" s="133"/>
      <c r="E162" s="133"/>
      <c r="F162" s="133"/>
      <c r="G162" s="133"/>
      <c r="H162" s="133"/>
      <c r="I162" s="133"/>
      <c r="J162" s="133"/>
    </row>
    <row r="163" spans="1:10" ht="28.5">
      <c r="A163" s="86" t="s">
        <v>323</v>
      </c>
      <c r="B163" s="83" t="s">
        <v>324</v>
      </c>
      <c r="C163" s="80" t="s">
        <v>36</v>
      </c>
      <c r="D163" s="133"/>
      <c r="E163" s="133"/>
      <c r="F163" s="133"/>
      <c r="G163" s="133"/>
      <c r="H163" s="133"/>
      <c r="I163" s="133"/>
      <c r="J163" s="133"/>
    </row>
    <row r="164" spans="1:10" ht="28.5">
      <c r="A164" s="86" t="s">
        <v>325</v>
      </c>
      <c r="B164" s="84" t="s">
        <v>464</v>
      </c>
      <c r="C164" s="80" t="s">
        <v>36</v>
      </c>
      <c r="D164" s="133"/>
      <c r="E164" s="133"/>
      <c r="F164" s="133"/>
      <c r="G164" s="133"/>
      <c r="H164" s="133"/>
      <c r="I164" s="133"/>
      <c r="J164" s="133"/>
    </row>
    <row r="165" spans="1:10">
      <c r="A165" s="86" t="s">
        <v>327</v>
      </c>
      <c r="B165" s="83" t="s">
        <v>328</v>
      </c>
      <c r="C165" s="80" t="s">
        <v>36</v>
      </c>
      <c r="D165" s="133"/>
      <c r="E165" s="133"/>
      <c r="F165" s="133"/>
      <c r="G165" s="133"/>
      <c r="H165" s="133"/>
      <c r="I165" s="133"/>
      <c r="J165" s="133"/>
    </row>
    <row r="166" spans="1:10" ht="28.5">
      <c r="A166" s="86" t="s">
        <v>329</v>
      </c>
      <c r="B166" s="83" t="s">
        <v>330</v>
      </c>
      <c r="C166" s="80" t="s">
        <v>36</v>
      </c>
      <c r="D166" s="133"/>
      <c r="E166" s="133"/>
      <c r="F166" s="133"/>
      <c r="G166" s="133"/>
      <c r="H166" s="133"/>
      <c r="I166" s="133"/>
      <c r="J166" s="133"/>
    </row>
    <row r="167" spans="1:10" ht="28.5">
      <c r="A167" s="86" t="s">
        <v>331</v>
      </c>
      <c r="B167" s="83" t="s">
        <v>332</v>
      </c>
      <c r="C167" s="80" t="s">
        <v>36</v>
      </c>
      <c r="D167" s="133"/>
      <c r="E167" s="133"/>
      <c r="F167" s="133"/>
      <c r="G167" s="133"/>
      <c r="H167" s="133"/>
      <c r="I167" s="133"/>
      <c r="J167" s="133"/>
    </row>
    <row r="168" spans="1:10" ht="28.5">
      <c r="A168" s="86" t="s">
        <v>333</v>
      </c>
      <c r="B168" s="84" t="s">
        <v>334</v>
      </c>
      <c r="C168" s="80" t="s">
        <v>36</v>
      </c>
      <c r="D168" s="133"/>
      <c r="E168" s="133"/>
      <c r="F168" s="133"/>
      <c r="G168" s="133"/>
      <c r="H168" s="133"/>
      <c r="I168" s="133"/>
      <c r="J168" s="133"/>
    </row>
    <row r="169" spans="1:10" ht="42.75">
      <c r="A169" s="86" t="s">
        <v>335</v>
      </c>
      <c r="B169" s="83" t="s">
        <v>336</v>
      </c>
      <c r="C169" s="80" t="s">
        <v>36</v>
      </c>
      <c r="D169" s="133"/>
      <c r="E169" s="133"/>
      <c r="F169" s="133"/>
      <c r="G169" s="133"/>
      <c r="H169" s="133"/>
      <c r="I169" s="133"/>
      <c r="J169" s="133"/>
    </row>
    <row r="170" spans="1:10" ht="15">
      <c r="A170" s="73" t="s">
        <v>337</v>
      </c>
      <c r="B170" s="82" t="s">
        <v>338</v>
      </c>
      <c r="C170" s="74"/>
      <c r="D170" s="133"/>
      <c r="E170" s="133"/>
      <c r="F170" s="133"/>
      <c r="G170" s="133"/>
      <c r="H170" s="133"/>
      <c r="I170" s="133"/>
      <c r="J170" s="133"/>
    </row>
    <row r="171" spans="1:10" ht="28.5">
      <c r="A171" s="86" t="s">
        <v>339</v>
      </c>
      <c r="B171" s="84" t="s">
        <v>340</v>
      </c>
      <c r="C171" s="80" t="s">
        <v>36</v>
      </c>
      <c r="D171" s="133"/>
      <c r="E171" s="133"/>
      <c r="F171" s="133"/>
      <c r="G171" s="133"/>
      <c r="H171" s="133"/>
      <c r="I171" s="133"/>
      <c r="J171" s="133"/>
    </row>
    <row r="172" spans="1:10" ht="28.5">
      <c r="A172" s="86" t="s">
        <v>341</v>
      </c>
      <c r="B172" s="84" t="s">
        <v>342</v>
      </c>
      <c r="C172" s="80" t="s">
        <v>36</v>
      </c>
      <c r="D172" s="133"/>
      <c r="E172" s="133"/>
      <c r="F172" s="133"/>
      <c r="G172" s="133"/>
      <c r="H172" s="133"/>
      <c r="I172" s="133"/>
      <c r="J172" s="133"/>
    </row>
    <row r="173" spans="1:10" ht="28.5">
      <c r="A173" s="86" t="s">
        <v>343</v>
      </c>
      <c r="B173" s="84" t="s">
        <v>344</v>
      </c>
      <c r="C173" s="80" t="s">
        <v>36</v>
      </c>
      <c r="D173" s="133"/>
      <c r="E173" s="133"/>
      <c r="F173" s="133"/>
      <c r="G173" s="133"/>
      <c r="H173" s="133"/>
      <c r="I173" s="133"/>
      <c r="J173" s="133"/>
    </row>
    <row r="174" spans="1:10">
      <c r="A174" s="86" t="s">
        <v>345</v>
      </c>
      <c r="B174" s="83" t="s">
        <v>346</v>
      </c>
      <c r="C174" s="80" t="s">
        <v>36</v>
      </c>
      <c r="D174" s="133"/>
      <c r="E174" s="133"/>
      <c r="F174" s="133"/>
      <c r="G174" s="133"/>
      <c r="H174" s="133"/>
      <c r="I174" s="133"/>
      <c r="J174" s="133"/>
    </row>
    <row r="175" spans="1:10">
      <c r="A175" s="86" t="s">
        <v>347</v>
      </c>
      <c r="B175" s="83" t="s">
        <v>348</v>
      </c>
      <c r="C175" s="80" t="s">
        <v>36</v>
      </c>
      <c r="D175" s="133"/>
      <c r="E175" s="133"/>
      <c r="F175" s="133"/>
      <c r="G175" s="133"/>
      <c r="H175" s="133"/>
      <c r="I175" s="133"/>
      <c r="J175" s="133"/>
    </row>
    <row r="176" spans="1:10">
      <c r="A176" s="86" t="s">
        <v>349</v>
      </c>
      <c r="B176" s="83" t="s">
        <v>350</v>
      </c>
      <c r="C176" s="80" t="s">
        <v>351</v>
      </c>
      <c r="D176" s="133"/>
      <c r="E176" s="133"/>
      <c r="F176" s="133"/>
      <c r="G176" s="133"/>
      <c r="H176" s="133"/>
      <c r="I176" s="133"/>
      <c r="J176" s="133"/>
    </row>
    <row r="177" spans="1:10" ht="28.5">
      <c r="A177" s="86" t="s">
        <v>352</v>
      </c>
      <c r="B177" s="83" t="s">
        <v>353</v>
      </c>
      <c r="C177" s="80" t="s">
        <v>36</v>
      </c>
      <c r="D177" s="133"/>
      <c r="E177" s="133"/>
      <c r="F177" s="133"/>
      <c r="G177" s="133"/>
      <c r="H177" s="133"/>
      <c r="I177" s="133"/>
      <c r="J177" s="133"/>
    </row>
    <row r="178" spans="1:10" ht="28.5">
      <c r="A178" s="86" t="s">
        <v>354</v>
      </c>
      <c r="B178" s="84" t="s">
        <v>465</v>
      </c>
      <c r="C178" s="80" t="s">
        <v>351</v>
      </c>
      <c r="D178" s="133"/>
      <c r="E178" s="133"/>
      <c r="F178" s="133"/>
      <c r="G178" s="133"/>
      <c r="H178" s="133"/>
      <c r="I178" s="133"/>
      <c r="J178" s="133"/>
    </row>
    <row r="179" spans="1:10">
      <c r="A179" s="86" t="s">
        <v>356</v>
      </c>
      <c r="B179" s="83" t="s">
        <v>357</v>
      </c>
      <c r="C179" s="80" t="s">
        <v>36</v>
      </c>
      <c r="D179" s="133"/>
      <c r="E179" s="133"/>
      <c r="F179" s="133"/>
      <c r="G179" s="133"/>
      <c r="H179" s="133"/>
      <c r="I179" s="133"/>
      <c r="J179" s="133"/>
    </row>
    <row r="180" spans="1:10" ht="28.5">
      <c r="A180" s="86" t="s">
        <v>358</v>
      </c>
      <c r="B180" s="84" t="s">
        <v>466</v>
      </c>
      <c r="C180" s="80" t="s">
        <v>36</v>
      </c>
      <c r="D180" s="133"/>
      <c r="E180" s="133"/>
      <c r="F180" s="133"/>
      <c r="G180" s="133"/>
      <c r="H180" s="133"/>
      <c r="I180" s="133"/>
      <c r="J180" s="133"/>
    </row>
    <row r="181" spans="1:10" ht="28.5">
      <c r="A181" s="86" t="s">
        <v>360</v>
      </c>
      <c r="B181" s="84" t="s">
        <v>467</v>
      </c>
      <c r="C181" s="80" t="s">
        <v>36</v>
      </c>
      <c r="D181" s="133"/>
      <c r="E181" s="133"/>
      <c r="F181" s="133"/>
      <c r="G181" s="133"/>
      <c r="H181" s="133"/>
      <c r="I181" s="133"/>
      <c r="J181" s="133"/>
    </row>
    <row r="182" spans="1:10" ht="28.5">
      <c r="A182" s="86" t="s">
        <v>362</v>
      </c>
      <c r="B182" s="83" t="s">
        <v>363</v>
      </c>
      <c r="C182" s="80" t="s">
        <v>36</v>
      </c>
      <c r="D182" s="133"/>
      <c r="E182" s="133"/>
      <c r="F182" s="133"/>
      <c r="G182" s="133"/>
      <c r="H182" s="133"/>
      <c r="I182" s="133"/>
      <c r="J182" s="133"/>
    </row>
    <row r="183" spans="1:10" ht="28.5">
      <c r="A183" s="86" t="s">
        <v>364</v>
      </c>
      <c r="B183" s="83" t="s">
        <v>365</v>
      </c>
      <c r="C183" s="80" t="s">
        <v>36</v>
      </c>
      <c r="D183" s="133"/>
      <c r="E183" s="133"/>
      <c r="F183" s="133"/>
      <c r="G183" s="133"/>
      <c r="H183" s="133"/>
      <c r="I183" s="133"/>
      <c r="J183" s="133"/>
    </row>
    <row r="184" spans="1:10">
      <c r="A184" s="86" t="s">
        <v>366</v>
      </c>
      <c r="B184" s="83" t="s">
        <v>367</v>
      </c>
      <c r="C184" s="80" t="s">
        <v>36</v>
      </c>
      <c r="D184" s="133"/>
      <c r="E184" s="133"/>
      <c r="F184" s="133"/>
      <c r="G184" s="133"/>
      <c r="H184" s="133"/>
      <c r="I184" s="133"/>
      <c r="J184" s="133"/>
    </row>
    <row r="185" spans="1:10" ht="15">
      <c r="A185" s="73" t="s">
        <v>368</v>
      </c>
      <c r="B185" s="82" t="s">
        <v>369</v>
      </c>
      <c r="C185" s="74"/>
      <c r="D185" s="133"/>
      <c r="E185" s="133"/>
      <c r="F185" s="133"/>
      <c r="G185" s="133"/>
      <c r="H185" s="133"/>
      <c r="I185" s="133"/>
      <c r="J185" s="133"/>
    </row>
    <row r="186" spans="1:10" ht="42.75">
      <c r="A186" s="86" t="s">
        <v>370</v>
      </c>
      <c r="B186" s="84" t="s">
        <v>468</v>
      </c>
      <c r="C186" s="80" t="s">
        <v>36</v>
      </c>
      <c r="D186" s="133"/>
      <c r="E186" s="133"/>
      <c r="F186" s="133"/>
      <c r="G186" s="133"/>
      <c r="H186" s="133"/>
      <c r="I186" s="133"/>
      <c r="J186" s="133"/>
    </row>
    <row r="187" spans="1:10" ht="28.5">
      <c r="A187" s="86" t="s">
        <v>372</v>
      </c>
      <c r="B187" s="84" t="s">
        <v>469</v>
      </c>
      <c r="C187" s="80" t="s">
        <v>36</v>
      </c>
      <c r="D187" s="133"/>
      <c r="E187" s="133"/>
      <c r="F187" s="133"/>
      <c r="G187" s="133"/>
      <c r="H187" s="133"/>
      <c r="I187" s="133"/>
      <c r="J187" s="133"/>
    </row>
    <row r="188" spans="1:10" ht="28.5">
      <c r="A188" s="86" t="s">
        <v>374</v>
      </c>
      <c r="B188" s="84" t="s">
        <v>470</v>
      </c>
      <c r="C188" s="80" t="s">
        <v>36</v>
      </c>
      <c r="D188" s="133"/>
      <c r="E188" s="133"/>
      <c r="F188" s="133"/>
      <c r="G188" s="133"/>
      <c r="H188" s="133"/>
      <c r="I188" s="133"/>
      <c r="J188" s="133"/>
    </row>
    <row r="189" spans="1:10">
      <c r="A189" s="86" t="s">
        <v>376</v>
      </c>
      <c r="B189" s="83" t="s">
        <v>377</v>
      </c>
      <c r="C189" s="80" t="s">
        <v>36</v>
      </c>
      <c r="D189" s="133"/>
      <c r="E189" s="133"/>
      <c r="F189" s="133"/>
      <c r="G189" s="133"/>
      <c r="H189" s="133"/>
      <c r="I189" s="133"/>
      <c r="J189" s="133"/>
    </row>
    <row r="190" spans="1:10" ht="28.5">
      <c r="A190" s="86" t="s">
        <v>378</v>
      </c>
      <c r="B190" s="84" t="s">
        <v>379</v>
      </c>
      <c r="C190" s="80" t="s">
        <v>36</v>
      </c>
      <c r="D190" s="133"/>
      <c r="E190" s="133"/>
      <c r="F190" s="133"/>
      <c r="G190" s="133"/>
      <c r="H190" s="133"/>
      <c r="I190" s="133"/>
      <c r="J190" s="133"/>
    </row>
    <row r="191" spans="1:10">
      <c r="A191" s="86" t="s">
        <v>380</v>
      </c>
      <c r="B191" s="83" t="s">
        <v>346</v>
      </c>
      <c r="C191" s="80" t="s">
        <v>36</v>
      </c>
      <c r="D191" s="133"/>
      <c r="E191" s="133"/>
      <c r="F191" s="133"/>
      <c r="G191" s="133"/>
      <c r="H191" s="133"/>
      <c r="I191" s="133"/>
      <c r="J191" s="133"/>
    </row>
    <row r="192" spans="1:10" ht="28.5">
      <c r="A192" s="86" t="s">
        <v>381</v>
      </c>
      <c r="B192" s="83" t="s">
        <v>365</v>
      </c>
      <c r="C192" s="80" t="s">
        <v>36</v>
      </c>
      <c r="D192" s="133"/>
      <c r="E192" s="133"/>
      <c r="F192" s="133"/>
      <c r="G192" s="133"/>
      <c r="H192" s="133"/>
      <c r="I192" s="133"/>
      <c r="J192" s="133"/>
    </row>
    <row r="193" spans="1:10" ht="28.5">
      <c r="A193" s="86" t="s">
        <v>382</v>
      </c>
      <c r="B193" s="84" t="s">
        <v>471</v>
      </c>
      <c r="C193" s="80" t="s">
        <v>36</v>
      </c>
      <c r="D193" s="133"/>
      <c r="E193" s="133"/>
      <c r="F193" s="133"/>
      <c r="G193" s="133"/>
      <c r="H193" s="133"/>
      <c r="I193" s="133"/>
      <c r="J193" s="133"/>
    </row>
    <row r="194" spans="1:10" ht="15">
      <c r="A194" s="73" t="s">
        <v>384</v>
      </c>
      <c r="B194" s="82" t="s">
        <v>385</v>
      </c>
      <c r="C194" s="74"/>
      <c r="D194" s="133"/>
      <c r="E194" s="133"/>
      <c r="F194" s="133"/>
      <c r="G194" s="133"/>
      <c r="H194" s="133"/>
      <c r="I194" s="133"/>
      <c r="J194" s="133"/>
    </row>
    <row r="195" spans="1:10" ht="28.5">
      <c r="A195" s="86" t="s">
        <v>386</v>
      </c>
      <c r="B195" s="83" t="s">
        <v>387</v>
      </c>
      <c r="C195" s="80" t="s">
        <v>36</v>
      </c>
      <c r="D195" s="133"/>
      <c r="E195" s="133"/>
      <c r="F195" s="133"/>
      <c r="G195" s="133"/>
      <c r="H195" s="133"/>
      <c r="I195" s="133"/>
      <c r="J195" s="133"/>
    </row>
    <row r="196" spans="1:10" ht="28.5">
      <c r="A196" s="86" t="s">
        <v>388</v>
      </c>
      <c r="B196" s="83" t="s">
        <v>389</v>
      </c>
      <c r="C196" s="80" t="s">
        <v>36</v>
      </c>
      <c r="D196" s="133"/>
      <c r="E196" s="133"/>
      <c r="F196" s="133"/>
      <c r="G196" s="133"/>
      <c r="H196" s="133"/>
      <c r="I196" s="133"/>
      <c r="J196" s="133"/>
    </row>
    <row r="197" spans="1:10" ht="28.5">
      <c r="A197" s="86" t="s">
        <v>390</v>
      </c>
      <c r="B197" s="83" t="s">
        <v>391</v>
      </c>
      <c r="C197" s="80" t="s">
        <v>36</v>
      </c>
      <c r="D197" s="133"/>
      <c r="E197" s="133"/>
      <c r="F197" s="133"/>
      <c r="G197" s="133"/>
      <c r="H197" s="133"/>
      <c r="I197" s="133"/>
      <c r="J197" s="133"/>
    </row>
    <row r="198" spans="1:10" ht="28.5">
      <c r="A198" s="86" t="s">
        <v>392</v>
      </c>
      <c r="B198" s="83" t="s">
        <v>393</v>
      </c>
      <c r="C198" s="80" t="s">
        <v>279</v>
      </c>
      <c r="D198" s="133"/>
      <c r="E198" s="133"/>
      <c r="F198" s="133"/>
      <c r="G198" s="133"/>
      <c r="H198" s="133"/>
      <c r="I198" s="133"/>
      <c r="J198" s="133"/>
    </row>
    <row r="199" spans="1:10" ht="15">
      <c r="A199" s="73" t="s">
        <v>394</v>
      </c>
      <c r="B199" s="82" t="s">
        <v>395</v>
      </c>
      <c r="C199" s="74"/>
      <c r="D199" s="133"/>
      <c r="E199" s="133"/>
      <c r="F199" s="133"/>
      <c r="G199" s="133"/>
      <c r="H199" s="133"/>
      <c r="I199" s="133"/>
      <c r="J199" s="133"/>
    </row>
    <row r="200" spans="1:10" ht="57">
      <c r="A200" s="86" t="s">
        <v>396</v>
      </c>
      <c r="B200" s="83" t="s">
        <v>397</v>
      </c>
      <c r="C200" s="80" t="s">
        <v>36</v>
      </c>
      <c r="D200" s="133"/>
      <c r="E200" s="133"/>
      <c r="F200" s="133"/>
      <c r="G200" s="133"/>
      <c r="H200" s="133"/>
      <c r="I200" s="133"/>
      <c r="J200" s="133"/>
    </row>
    <row r="201" spans="1:10" ht="28.5">
      <c r="A201" s="86" t="s">
        <v>398</v>
      </c>
      <c r="B201" s="84" t="s">
        <v>399</v>
      </c>
      <c r="C201" s="80" t="s">
        <v>60</v>
      </c>
      <c r="D201" s="133"/>
      <c r="E201" s="133"/>
      <c r="F201" s="133"/>
      <c r="G201" s="133"/>
      <c r="H201" s="133"/>
      <c r="I201" s="133"/>
      <c r="J201" s="133"/>
    </row>
    <row r="202" spans="1:10" ht="28.5">
      <c r="A202" s="86" t="s">
        <v>400</v>
      </c>
      <c r="B202" s="84" t="s">
        <v>472</v>
      </c>
      <c r="C202" s="80" t="s">
        <v>60</v>
      </c>
      <c r="D202" s="133"/>
      <c r="E202" s="133"/>
      <c r="F202" s="133"/>
      <c r="G202" s="133"/>
      <c r="H202" s="133"/>
      <c r="I202" s="133"/>
      <c r="J202" s="133"/>
    </row>
    <row r="203" spans="1:10" ht="42.75">
      <c r="A203" s="86" t="s">
        <v>402</v>
      </c>
      <c r="B203" s="83" t="s">
        <v>403</v>
      </c>
      <c r="C203" s="80" t="s">
        <v>36</v>
      </c>
      <c r="D203" s="133"/>
      <c r="E203" s="133"/>
      <c r="F203" s="133"/>
      <c r="G203" s="133"/>
      <c r="H203" s="133"/>
      <c r="I203" s="133"/>
      <c r="J203" s="133"/>
    </row>
    <row r="204" spans="1:10" ht="42.75">
      <c r="A204" s="86" t="s">
        <v>404</v>
      </c>
      <c r="B204" s="83" t="s">
        <v>405</v>
      </c>
      <c r="C204" s="80" t="s">
        <v>36</v>
      </c>
      <c r="D204" s="133"/>
      <c r="E204" s="133"/>
      <c r="F204" s="133"/>
      <c r="G204" s="133"/>
      <c r="H204" s="133"/>
      <c r="I204" s="133"/>
      <c r="J204" s="133"/>
    </row>
    <row r="205" spans="1:10" ht="15">
      <c r="A205" s="91">
        <v>11</v>
      </c>
      <c r="B205" s="92" t="s">
        <v>406</v>
      </c>
      <c r="C205" s="93"/>
      <c r="D205" s="133"/>
      <c r="E205" s="133"/>
      <c r="F205" s="133"/>
      <c r="G205" s="133"/>
      <c r="H205" s="133"/>
      <c r="I205" s="133"/>
      <c r="J205" s="133"/>
    </row>
    <row r="206" spans="1:10">
      <c r="A206" s="78" t="s">
        <v>407</v>
      </c>
      <c r="B206" s="83" t="s">
        <v>408</v>
      </c>
      <c r="C206" s="80" t="s">
        <v>60</v>
      </c>
      <c r="D206" s="133"/>
      <c r="E206" s="133"/>
      <c r="F206" s="133"/>
      <c r="G206" s="133"/>
      <c r="H206" s="133"/>
      <c r="I206" s="133"/>
      <c r="J206" s="133"/>
    </row>
    <row r="207" spans="1:10" ht="28.5">
      <c r="A207" s="78" t="s">
        <v>409</v>
      </c>
      <c r="B207" s="83" t="s">
        <v>410</v>
      </c>
      <c r="C207" s="80" t="s">
        <v>36</v>
      </c>
      <c r="D207" s="133"/>
      <c r="E207" s="133"/>
      <c r="F207" s="133"/>
      <c r="G207" s="133"/>
      <c r="H207" s="133"/>
      <c r="I207" s="133"/>
      <c r="J207" s="133"/>
    </row>
    <row r="208" spans="1:10">
      <c r="A208" s="78" t="s">
        <v>411</v>
      </c>
      <c r="B208" s="83" t="s">
        <v>412</v>
      </c>
      <c r="C208" s="80" t="s">
        <v>36</v>
      </c>
      <c r="D208" s="133"/>
      <c r="E208" s="133"/>
      <c r="F208" s="133"/>
      <c r="G208" s="133"/>
      <c r="H208" s="133"/>
      <c r="I208" s="133"/>
      <c r="J208" s="133"/>
    </row>
    <row r="209" spans="1:10" ht="15">
      <c r="A209" s="91">
        <v>12</v>
      </c>
      <c r="B209" s="92" t="s">
        <v>413</v>
      </c>
      <c r="C209" s="93"/>
      <c r="D209" s="133"/>
      <c r="E209" s="133"/>
      <c r="F209" s="133"/>
      <c r="G209" s="133"/>
      <c r="H209" s="133"/>
      <c r="I209" s="133"/>
      <c r="J209" s="133"/>
    </row>
    <row r="210" spans="1:10" ht="57">
      <c r="A210" s="78" t="s">
        <v>414</v>
      </c>
      <c r="B210" s="84" t="s">
        <v>415</v>
      </c>
      <c r="C210" s="80" t="s">
        <v>36</v>
      </c>
      <c r="D210" s="133"/>
      <c r="E210" s="133"/>
      <c r="F210" s="133"/>
      <c r="G210" s="133"/>
      <c r="H210" s="133"/>
      <c r="I210" s="133"/>
      <c r="J210" s="133"/>
    </row>
    <row r="211" spans="1:10" ht="42.75">
      <c r="A211" s="78" t="s">
        <v>416</v>
      </c>
      <c r="B211" s="84" t="s">
        <v>417</v>
      </c>
      <c r="C211" s="80" t="s">
        <v>36</v>
      </c>
      <c r="D211" s="133"/>
      <c r="E211" s="133"/>
      <c r="F211" s="133"/>
      <c r="G211" s="133"/>
      <c r="H211" s="133"/>
      <c r="I211" s="133"/>
      <c r="J211" s="133"/>
    </row>
    <row r="212" spans="1:10" ht="42.75">
      <c r="A212" s="78" t="s">
        <v>418</v>
      </c>
      <c r="B212" s="84" t="s">
        <v>419</v>
      </c>
      <c r="C212" s="80" t="s">
        <v>36</v>
      </c>
      <c r="D212" s="133"/>
      <c r="E212" s="133"/>
      <c r="F212" s="133"/>
      <c r="G212" s="133"/>
      <c r="H212" s="133"/>
      <c r="I212" s="133"/>
      <c r="J212" s="133"/>
    </row>
    <row r="213" spans="1:10" ht="57">
      <c r="A213" s="78" t="s">
        <v>420</v>
      </c>
      <c r="B213" s="83" t="s">
        <v>421</v>
      </c>
      <c r="C213" s="80" t="s">
        <v>36</v>
      </c>
      <c r="D213" s="133"/>
      <c r="E213" s="133"/>
      <c r="F213" s="133"/>
      <c r="G213" s="133"/>
      <c r="H213" s="133"/>
      <c r="I213" s="133"/>
      <c r="J213" s="133"/>
    </row>
    <row r="214" spans="1:10" ht="42.75">
      <c r="A214" s="78" t="s">
        <v>422</v>
      </c>
      <c r="B214" s="84" t="s">
        <v>473</v>
      </c>
      <c r="C214" s="80" t="s">
        <v>36</v>
      </c>
      <c r="D214" s="133"/>
      <c r="E214" s="133"/>
      <c r="F214" s="133"/>
      <c r="G214" s="133"/>
      <c r="H214" s="133"/>
      <c r="I214" s="133"/>
      <c r="J214" s="133"/>
    </row>
    <row r="215" spans="1:10" ht="42.75">
      <c r="A215" s="78" t="s">
        <v>424</v>
      </c>
      <c r="B215" s="84" t="s">
        <v>425</v>
      </c>
      <c r="C215" s="80" t="s">
        <v>36</v>
      </c>
      <c r="D215" s="133"/>
      <c r="E215" s="133"/>
      <c r="F215" s="133"/>
      <c r="G215" s="133"/>
      <c r="H215" s="133"/>
      <c r="I215" s="133"/>
      <c r="J215" s="133"/>
    </row>
    <row r="216" spans="1:10" ht="15">
      <c r="A216" s="91">
        <v>13</v>
      </c>
      <c r="B216" s="92" t="s">
        <v>426</v>
      </c>
      <c r="C216" s="93"/>
      <c r="D216" s="133"/>
      <c r="E216" s="133"/>
      <c r="F216" s="133"/>
      <c r="G216" s="133"/>
      <c r="H216" s="133"/>
      <c r="I216" s="133"/>
      <c r="J216" s="133"/>
    </row>
    <row r="217" spans="1:10">
      <c r="A217" s="78" t="s">
        <v>427</v>
      </c>
      <c r="B217" s="83" t="s">
        <v>428</v>
      </c>
      <c r="C217" s="80" t="s">
        <v>351</v>
      </c>
      <c r="D217" s="133"/>
      <c r="E217" s="133"/>
      <c r="F217" s="133"/>
      <c r="G217" s="133"/>
      <c r="H217" s="133"/>
      <c r="I217" s="133"/>
      <c r="J217" s="133"/>
    </row>
    <row r="218" spans="1:10">
      <c r="A218" s="78" t="s">
        <v>429</v>
      </c>
      <c r="B218" s="83" t="s">
        <v>430</v>
      </c>
      <c r="C218" s="80" t="s">
        <v>36</v>
      </c>
      <c r="D218" s="133"/>
      <c r="E218" s="133"/>
      <c r="F218" s="133"/>
      <c r="G218" s="133"/>
      <c r="H218" s="133"/>
      <c r="I218" s="133"/>
      <c r="J218" s="133"/>
    </row>
    <row r="219" spans="1:10">
      <c r="A219" s="78" t="s">
        <v>431</v>
      </c>
      <c r="B219" s="83" t="s">
        <v>432</v>
      </c>
      <c r="C219" s="80" t="s">
        <v>27</v>
      </c>
      <c r="D219" s="133"/>
      <c r="E219" s="133"/>
      <c r="F219" s="133"/>
      <c r="G219" s="133"/>
      <c r="H219" s="133"/>
      <c r="I219" s="133"/>
      <c r="J219" s="133"/>
    </row>
    <row r="220" spans="1:10" ht="28.5">
      <c r="A220" s="78" t="s">
        <v>433</v>
      </c>
      <c r="B220" s="83" t="s">
        <v>434</v>
      </c>
      <c r="C220" s="80" t="s">
        <v>435</v>
      </c>
      <c r="D220" s="133"/>
      <c r="E220" s="133"/>
      <c r="F220" s="133"/>
      <c r="G220" s="133"/>
      <c r="H220" s="133"/>
      <c r="I220" s="133"/>
      <c r="J220" s="133"/>
    </row>
    <row r="221" spans="1:10" ht="28.5">
      <c r="A221" s="78" t="s">
        <v>436</v>
      </c>
      <c r="B221" s="83" t="s">
        <v>437</v>
      </c>
      <c r="C221" s="80" t="s">
        <v>438</v>
      </c>
      <c r="D221" s="133"/>
      <c r="E221" s="133"/>
      <c r="F221" s="133"/>
      <c r="G221" s="133"/>
      <c r="H221" s="133"/>
      <c r="I221" s="133"/>
      <c r="J221" s="133"/>
    </row>
    <row r="222" spans="1:10">
      <c r="A222" s="94"/>
      <c r="B222" s="94"/>
      <c r="C222" s="94"/>
    </row>
  </sheetData>
  <mergeCells count="221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</mergeCells>
  <conditionalFormatting sqref="A4:C76 A77:B77 A78:C221">
    <cfRule type="expression" dxfId="36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0490C-16A2-4CFF-9342-09EFB18FF899}">
  <sheetPr>
    <tabColor theme="5" tint="-0.249977111117893"/>
  </sheetPr>
  <dimension ref="A2:M232"/>
  <sheetViews>
    <sheetView showGridLines="0" view="pageBreakPreview" zoomScale="80" zoomScaleNormal="80" zoomScaleSheetLayoutView="80" zoomScalePageLayoutView="80" workbookViewId="0">
      <selection activeCell="J7" sqref="J7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"/>
      <c r="M2" s="2"/>
    </row>
    <row r="3" spans="2:13" s="3" customFormat="1" ht="18">
      <c r="B3" s="127" t="s">
        <v>1</v>
      </c>
      <c r="C3" s="128"/>
      <c r="D3" s="128"/>
      <c r="E3" s="128"/>
      <c r="F3" s="128"/>
      <c r="G3" s="128"/>
      <c r="H3" s="128"/>
      <c r="I3" s="128"/>
      <c r="J3" s="128"/>
      <c r="K3" s="129"/>
      <c r="L3" s="1"/>
      <c r="M3" s="2"/>
    </row>
    <row r="4" spans="2:13" s="5" customFormat="1" ht="15">
      <c r="B4" s="130" t="s">
        <v>2</v>
      </c>
      <c r="C4" s="131"/>
      <c r="D4" s="131" t="s">
        <v>3</v>
      </c>
      <c r="E4" s="131"/>
      <c r="F4" s="131"/>
      <c r="G4" s="131"/>
      <c r="H4" s="131"/>
      <c r="I4" s="131" t="s">
        <v>474</v>
      </c>
      <c r="J4" s="131"/>
      <c r="K4" s="132"/>
      <c r="L4" s="4"/>
    </row>
    <row r="5" spans="2:13" s="5" customFormat="1" ht="15">
      <c r="B5" s="120" t="s">
        <v>5</v>
      </c>
      <c r="C5" s="121"/>
      <c r="D5" s="121" t="s">
        <v>6</v>
      </c>
      <c r="E5" s="121"/>
      <c r="F5" s="121"/>
      <c r="G5" s="121"/>
      <c r="H5" s="121"/>
      <c r="I5" s="121" t="s">
        <v>475</v>
      </c>
      <c r="J5" s="121"/>
      <c r="K5" s="122"/>
      <c r="L5" s="4"/>
    </row>
    <row r="6" spans="2:13" s="5" customFormat="1" ht="15">
      <c r="B6" s="120" t="s">
        <v>8</v>
      </c>
      <c r="C6" s="121"/>
      <c r="D6" s="121" t="s">
        <v>9</v>
      </c>
      <c r="E6" s="121"/>
      <c r="F6" s="121"/>
      <c r="G6" s="121"/>
      <c r="H6" s="121"/>
      <c r="I6" s="121" t="s">
        <v>476</v>
      </c>
      <c r="J6" s="121"/>
      <c r="K6" s="122"/>
      <c r="L6" s="4"/>
    </row>
    <row r="7" spans="2:13" s="5" customFormat="1" ht="15">
      <c r="B7" s="120" t="s">
        <v>11</v>
      </c>
      <c r="C7" s="121"/>
      <c r="D7" s="121" t="s">
        <v>12</v>
      </c>
      <c r="E7" s="121"/>
      <c r="F7" s="121"/>
      <c r="G7" s="121"/>
      <c r="H7" s="121"/>
      <c r="I7" s="6" t="s">
        <v>13</v>
      </c>
      <c r="J7" s="8">
        <f>J229</f>
        <v>53017.247212500006</v>
      </c>
      <c r="K7" s="7"/>
      <c r="L7" s="4"/>
    </row>
    <row r="8" spans="2:13" s="5" customFormat="1" ht="15">
      <c r="B8" s="120"/>
      <c r="C8" s="121"/>
      <c r="D8" s="123"/>
      <c r="E8" s="123"/>
      <c r="F8" s="123"/>
      <c r="G8" s="123"/>
      <c r="H8" s="123"/>
      <c r="I8" s="124"/>
      <c r="J8" s="124"/>
      <c r="K8" s="125"/>
      <c r="L8" s="4"/>
    </row>
    <row r="9" spans="2:13" s="5" customFormat="1" ht="15.75">
      <c r="B9" s="115" t="s">
        <v>14</v>
      </c>
      <c r="C9" s="115"/>
      <c r="D9" s="115"/>
      <c r="E9" s="115"/>
      <c r="F9" s="115"/>
      <c r="G9" s="115"/>
      <c r="H9" s="115"/>
      <c r="I9" s="115"/>
      <c r="J9" s="115"/>
      <c r="K9" s="115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[3]Planilha!$B$12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17440.293700000002</v>
      </c>
      <c r="K11" s="20">
        <f>SUBTOTAL(9,K12:K19)</f>
        <v>22738.183700000001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02'!K5</f>
        <v>0</v>
      </c>
      <c r="H12" s="27">
        <f>G12+'[2]BM 01'!H12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02'!K6</f>
        <v>0</v>
      </c>
      <c r="H13" s="27">
        <f>G13+'[2]BM 01'!H13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02'!K7</f>
        <v>48.6</v>
      </c>
      <c r="H14" s="27">
        <f>G14+'[2]BM 01'!H14</f>
        <v>48.6</v>
      </c>
      <c r="I14" s="28">
        <f t="shared" si="1"/>
        <v>3456.4199999999996</v>
      </c>
      <c r="J14" s="28">
        <f t="shared" si="0"/>
        <v>2545.1819999999998</v>
      </c>
      <c r="K14" s="28">
        <f t="shared" si="0"/>
        <v>2545.1819999999998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02'!K8</f>
        <v>829.73</v>
      </c>
      <c r="H15" s="27">
        <f>G15+'[2]BM 01'!H15</f>
        <v>829.73</v>
      </c>
      <c r="I15" s="28">
        <f t="shared" si="1"/>
        <v>240.62169999999998</v>
      </c>
      <c r="J15" s="28">
        <f t="shared" si="0"/>
        <v>240.62169999999998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02'!K9</f>
        <v>1</v>
      </c>
      <c r="H16" s="27">
        <f>G16+'[2]BM 01'!H16</f>
        <v>1</v>
      </c>
      <c r="I16" s="28">
        <f t="shared" si="1"/>
        <v>1461.36</v>
      </c>
      <c r="J16" s="28">
        <f t="shared" si="0"/>
        <v>1461.36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02'!K10</f>
        <v>1</v>
      </c>
      <c r="H17" s="27">
        <f>G17+'[2]BM 01'!H17</f>
        <v>1</v>
      </c>
      <c r="I17" s="28">
        <f t="shared" si="1"/>
        <v>2207.33</v>
      </c>
      <c r="J17" s="28">
        <f t="shared" si="0"/>
        <v>2207.33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02'!K11</f>
        <v>10</v>
      </c>
      <c r="H18" s="27">
        <f>G18+'[2]BM 01'!H18</f>
        <v>10</v>
      </c>
      <c r="I18" s="28">
        <f t="shared" si="1"/>
        <v>2512.1999999999998</v>
      </c>
      <c r="J18" s="28">
        <f t="shared" si="0"/>
        <v>2512.1999999999998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02'!K12</f>
        <v>40</v>
      </c>
      <c r="H19" s="27">
        <f>G19+'[2]BM 01'!H19</f>
        <v>40</v>
      </c>
      <c r="I19" s="28">
        <f t="shared" si="1"/>
        <v>8473.6</v>
      </c>
      <c r="J19" s="28">
        <f t="shared" si="0"/>
        <v>8473.6</v>
      </c>
      <c r="K19" s="28">
        <f t="shared" si="0"/>
        <v>8473.6</v>
      </c>
      <c r="L19" s="4"/>
    </row>
    <row r="20" spans="2:12" s="5" customFormat="1" ht="15">
      <c r="B20" s="30">
        <v>2</v>
      </c>
      <c r="C20" s="31" t="str">
        <f>[3]Planilha!$B$21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1858.8669</v>
      </c>
      <c r="K20" s="34">
        <f>SUBTOTAL(9,K21:K24)</f>
        <v>1858.8669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02'!K14</f>
        <v>35.21125</v>
      </c>
      <c r="H21" s="27">
        <f>G21+'[2]BM 01'!H21</f>
        <v>35.21125</v>
      </c>
      <c r="I21" s="28">
        <f>$E21*F21</f>
        <v>1752.5640000000001</v>
      </c>
      <c r="J21" s="28">
        <f t="shared" ref="J21:K24" si="2">$E21*G21</f>
        <v>1580.2809</v>
      </c>
      <c r="K21" s="28">
        <f t="shared" si="2"/>
        <v>1580.2809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F22</f>
        <v>18.09</v>
      </c>
      <c r="H22" s="27">
        <f>G22+'[2]BM 01'!H22</f>
        <v>18.09</v>
      </c>
      <c r="I22" s="28">
        <f t="shared" ref="I22:I24" si="3">$E22*F22</f>
        <v>278.58600000000001</v>
      </c>
      <c r="J22" s="28">
        <f t="shared" si="2"/>
        <v>278.58600000000001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02'!K16</f>
        <v>0</v>
      </c>
      <c r="H23" s="27">
        <f>G23+'[2]BM 01'!H23</f>
        <v>0</v>
      </c>
      <c r="I23" s="28">
        <f t="shared" si="3"/>
        <v>54.450899999999997</v>
      </c>
      <c r="J23" s="28">
        <f t="shared" si="2"/>
        <v>0</v>
      </c>
      <c r="K23" s="28">
        <f t="shared" si="2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02'!K17</f>
        <v>0</v>
      </c>
      <c r="H24" s="27">
        <f>G24+'[2]BM 01'!H24</f>
        <v>0</v>
      </c>
      <c r="I24" s="28">
        <f t="shared" si="3"/>
        <v>74.711699999999993</v>
      </c>
      <c r="J24" s="28">
        <f t="shared" si="2"/>
        <v>0</v>
      </c>
      <c r="K24" s="28">
        <f t="shared" si="2"/>
        <v>0</v>
      </c>
      <c r="L24" s="4"/>
    </row>
    <row r="25" spans="2:12" s="5" customFormat="1" ht="15">
      <c r="B25" s="30">
        <v>3</v>
      </c>
      <c r="C25" s="31" t="str">
        <f>[3]Planilha!$B$26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 t="shared" ref="J25:K25" si="4">SUM(J26:J31)</f>
        <v>0</v>
      </c>
      <c r="K25" s="34">
        <f t="shared" si="4"/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02'!K19</f>
        <v>0</v>
      </c>
      <c r="H26" s="27">
        <f>G26+'[2]BM 01'!H26</f>
        <v>0</v>
      </c>
      <c r="I26" s="28">
        <f>$E26*F26</f>
        <v>26478.823199999999</v>
      </c>
      <c r="J26" s="28">
        <f t="shared" ref="J26:K31" si="5">$E26*G26</f>
        <v>0</v>
      </c>
      <c r="K26" s="28">
        <f t="shared" si="5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02'!K20</f>
        <v>0</v>
      </c>
      <c r="H27" s="27">
        <f>G27+'[2]BM 01'!H27</f>
        <v>0</v>
      </c>
      <c r="I27" s="28">
        <f t="shared" ref="I27:I31" si="6">$E27*F27</f>
        <v>10530.698</v>
      </c>
      <c r="J27" s="28">
        <f t="shared" si="5"/>
        <v>0</v>
      </c>
      <c r="K27" s="28">
        <f t="shared" si="5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02'!K21</f>
        <v>0</v>
      </c>
      <c r="H28" s="27">
        <f>G28+'[2]BM 01'!H28</f>
        <v>0</v>
      </c>
      <c r="I28" s="28">
        <f t="shared" si="6"/>
        <v>2869.9442999999997</v>
      </c>
      <c r="J28" s="28">
        <f t="shared" si="5"/>
        <v>0</v>
      </c>
      <c r="K28" s="28">
        <f t="shared" si="5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02'!K22</f>
        <v>0</v>
      </c>
      <c r="H29" s="27">
        <f>G29+'[2]BM 01'!H29</f>
        <v>0</v>
      </c>
      <c r="I29" s="28">
        <f t="shared" si="6"/>
        <v>548.13689999999997</v>
      </c>
      <c r="J29" s="28">
        <f t="shared" si="5"/>
        <v>0</v>
      </c>
      <c r="K29" s="28">
        <f t="shared" si="5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02'!K23</f>
        <v>0</v>
      </c>
      <c r="H30" s="27">
        <f>G30+'[2]BM 01'!H30</f>
        <v>0</v>
      </c>
      <c r="I30" s="28">
        <f t="shared" si="6"/>
        <v>3374.8368</v>
      </c>
      <c r="J30" s="28">
        <f t="shared" si="5"/>
        <v>0</v>
      </c>
      <c r="K30" s="28">
        <f t="shared" si="5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02'!K24</f>
        <v>0</v>
      </c>
      <c r="H31" s="27">
        <f>G31+'[2]BM 01'!H31</f>
        <v>0</v>
      </c>
      <c r="I31" s="28">
        <f t="shared" si="6"/>
        <v>7407.7850000000008</v>
      </c>
      <c r="J31" s="28">
        <f t="shared" si="5"/>
        <v>0</v>
      </c>
      <c r="K31" s="28">
        <f t="shared" si="5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 t="shared" ref="J32:K32" si="7">SUM(J33+J39)</f>
        <v>32488.182612500001</v>
      </c>
      <c r="K32" s="34">
        <f t="shared" si="7"/>
        <v>32488.182612500001</v>
      </c>
      <c r="L32" s="4"/>
    </row>
    <row r="33" spans="2:12" s="43" customFormat="1" ht="15">
      <c r="B33" s="36" t="s">
        <v>66</v>
      </c>
      <c r="C33" s="37" t="str">
        <f>[3]Planilha!$B$34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8">SUM(J34:J38)</f>
        <v>32488.182612500001</v>
      </c>
      <c r="K33" s="41">
        <f t="shared" si="8"/>
        <v>32488.182612500001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02'!K27</f>
        <v>2.07125</v>
      </c>
      <c r="H34" s="27">
        <f>G34+'[2]BM 01'!H34</f>
        <v>2.07125</v>
      </c>
      <c r="I34" s="28">
        <f t="shared" ref="I34:K38" si="9">$E34*F34</f>
        <v>209.00789999999998</v>
      </c>
      <c r="J34" s="28">
        <f t="shared" si="9"/>
        <v>209.13411250000001</v>
      </c>
      <c r="K34" s="28">
        <f t="shared" si="9"/>
        <v>209.13411250000001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02'!K28</f>
        <v>212.53</v>
      </c>
      <c r="H35" s="27">
        <f>G35+'[2]BM 01'!H35</f>
        <v>212.53</v>
      </c>
      <c r="I35" s="28">
        <f t="shared" si="9"/>
        <v>6110.2375000000002</v>
      </c>
      <c r="J35" s="28">
        <f t="shared" si="9"/>
        <v>6110.2375000000002</v>
      </c>
      <c r="K35" s="28">
        <f t="shared" si="9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02'!K29</f>
        <v>1114.3</v>
      </c>
      <c r="H36" s="27">
        <f>G36+'[2]BM 01'!H36</f>
        <v>1114.3</v>
      </c>
      <c r="I36" s="28">
        <f t="shared" si="9"/>
        <v>14017.894</v>
      </c>
      <c r="J36" s="28">
        <f t="shared" si="9"/>
        <v>14017.894</v>
      </c>
      <c r="K36" s="28">
        <f t="shared" si="9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02'!K30</f>
        <v>225.7</v>
      </c>
      <c r="H37" s="27">
        <f>G37+'[2]BM 01'!H37</f>
        <v>225.7</v>
      </c>
      <c r="I37" s="28">
        <f t="shared" si="9"/>
        <v>1762.7169999999999</v>
      </c>
      <c r="J37" s="28">
        <f t="shared" si="9"/>
        <v>1762.7169999999999</v>
      </c>
      <c r="K37" s="28">
        <f t="shared" si="9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02'!K31</f>
        <v>20</v>
      </c>
      <c r="H38" s="27">
        <f>G38+'[2]BM 01'!H38</f>
        <v>20</v>
      </c>
      <c r="I38" s="28">
        <f t="shared" si="9"/>
        <v>10388.199999999999</v>
      </c>
      <c r="J38" s="28">
        <f t="shared" si="9"/>
        <v>10388.199999999999</v>
      </c>
      <c r="K38" s="28">
        <f t="shared" si="9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10">SUM(J40:J47)</f>
        <v>0</v>
      </c>
      <c r="K39" s="41">
        <f t="shared" si="10"/>
        <v>0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02'!K33</f>
        <v>0</v>
      </c>
      <c r="H40" s="27">
        <f>G40+'[2]BM 01'!H40</f>
        <v>0</v>
      </c>
      <c r="I40" s="28">
        <f t="shared" ref="I40:K47" si="11">$E40*F40</f>
        <v>11300.460999999999</v>
      </c>
      <c r="J40" s="28">
        <f t="shared" si="11"/>
        <v>0</v>
      </c>
      <c r="K40" s="28">
        <f t="shared" si="11"/>
        <v>0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02'!K34</f>
        <v>0</v>
      </c>
      <c r="H41" s="27">
        <f>G41+'[2]BM 01'!H41</f>
        <v>0</v>
      </c>
      <c r="I41" s="28">
        <f t="shared" si="11"/>
        <v>19748.083999999999</v>
      </c>
      <c r="J41" s="28">
        <f t="shared" si="11"/>
        <v>0</v>
      </c>
      <c r="K41" s="28">
        <f t="shared" si="11"/>
        <v>0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02'!K35</f>
        <v>0</v>
      </c>
      <c r="H42" s="27">
        <f>G42+'[2]BM 01'!H42</f>
        <v>0</v>
      </c>
      <c r="I42" s="28">
        <f t="shared" si="11"/>
        <v>2963.895</v>
      </c>
      <c r="J42" s="28">
        <f t="shared" si="11"/>
        <v>0</v>
      </c>
      <c r="K42" s="28">
        <f t="shared" si="11"/>
        <v>0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02'!K36</f>
        <v>0</v>
      </c>
      <c r="H43" s="27">
        <f>G43+'[2]BM 01'!H43</f>
        <v>0</v>
      </c>
      <c r="I43" s="28">
        <f t="shared" si="11"/>
        <v>6276.2776000000013</v>
      </c>
      <c r="J43" s="28">
        <f t="shared" si="11"/>
        <v>0</v>
      </c>
      <c r="K43" s="28">
        <f t="shared" si="11"/>
        <v>0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02'!K37</f>
        <v>0</v>
      </c>
      <c r="H44" s="27">
        <f>G44+'[2]BM 01'!H44</f>
        <v>0</v>
      </c>
      <c r="I44" s="28">
        <f t="shared" si="11"/>
        <v>2396.8963000000003</v>
      </c>
      <c r="J44" s="28">
        <f t="shared" si="11"/>
        <v>0</v>
      </c>
      <c r="K44" s="28">
        <f t="shared" si="11"/>
        <v>0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02'!K38</f>
        <v>0</v>
      </c>
      <c r="H45" s="27">
        <f>G45+'[2]BM 01'!H45</f>
        <v>0</v>
      </c>
      <c r="I45" s="28">
        <f t="shared" si="11"/>
        <v>23502.078600000001</v>
      </c>
      <c r="J45" s="28">
        <f t="shared" si="11"/>
        <v>0</v>
      </c>
      <c r="K45" s="28">
        <f t="shared" si="11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02'!K39</f>
        <v>0</v>
      </c>
      <c r="H46" s="27">
        <f>G46+'[2]BM 01'!H46</f>
        <v>0</v>
      </c>
      <c r="I46" s="28">
        <f t="shared" si="11"/>
        <v>2541.8910000000001</v>
      </c>
      <c r="J46" s="28">
        <f t="shared" si="11"/>
        <v>0</v>
      </c>
      <c r="K46" s="28">
        <f t="shared" si="11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02'!K40</f>
        <v>0</v>
      </c>
      <c r="H47" s="27">
        <f>G47+'[2]BM 01'!H47</f>
        <v>0</v>
      </c>
      <c r="I47" s="28">
        <f t="shared" si="11"/>
        <v>3246.4259999999995</v>
      </c>
      <c r="J47" s="28">
        <f t="shared" si="11"/>
        <v>0</v>
      </c>
      <c r="K47" s="28">
        <f t="shared" si="11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J49+J51</f>
        <v>0</v>
      </c>
      <c r="K48" s="34">
        <f>K49+K51</f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02'!K42</f>
        <v>0</v>
      </c>
      <c r="H49" s="27">
        <f>G49+'[2]BM 01'!H49</f>
        <v>0</v>
      </c>
      <c r="I49" s="28">
        <f>$E49*F49</f>
        <v>46948.417600000001</v>
      </c>
      <c r="J49" s="28">
        <f t="shared" ref="J49:K51" si="12">$E49*G49</f>
        <v>0</v>
      </c>
      <c r="K49" s="28">
        <f t="shared" si="12"/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02'!K44</f>
        <v>0</v>
      </c>
      <c r="H51" s="27">
        <f>G51+'[2]BM 01'!H51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1229.904</v>
      </c>
      <c r="K52" s="34">
        <f t="shared" si="15"/>
        <v>1229.904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F53</f>
        <v>142.35</v>
      </c>
      <c r="H53" s="27">
        <f>G53+'[2]BM 01'!H53</f>
        <v>142.35</v>
      </c>
      <c r="I53" s="28">
        <f>$E53*F53</f>
        <v>1229.904</v>
      </c>
      <c r="J53" s="28">
        <f t="shared" ref="J53:K55" si="16">$E53*G53</f>
        <v>1229.904</v>
      </c>
      <c r="K53" s="28">
        <f t="shared" si="16"/>
        <v>1229.904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02'!K47</f>
        <v>0</v>
      </c>
      <c r="H54" s="27">
        <f>G54+'[2]BM 01'!H54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02'!K48</f>
        <v>0</v>
      </c>
      <c r="H55" s="27">
        <f>G55+'[2]BM 01'!H55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 t="shared" ref="J56:K56" si="18">J57+J68+J77+J84</f>
        <v>0</v>
      </c>
      <c r="K56" s="34">
        <f t="shared" si="18"/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SUM(J58:J67)</f>
        <v>0</v>
      </c>
      <c r="K57" s="41">
        <f t="shared" ref="K57" si="19">SUM(K58:K67)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'[2]Memória 02'!K51</f>
        <v>0</v>
      </c>
      <c r="H58" s="27">
        <f>G58+'[2]BM 01'!H58</f>
        <v>0</v>
      </c>
      <c r="I58" s="28">
        <f t="shared" ref="I58:K67" si="20">$E58*F58</f>
        <v>8975.6049999999996</v>
      </c>
      <c r="J58" s="28">
        <f t="shared" si="20"/>
        <v>0</v>
      </c>
      <c r="K58" s="28">
        <f t="shared" si="20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02'!K52</f>
        <v>0</v>
      </c>
      <c r="H59" s="27">
        <f>G59+'[2]BM 01'!H59</f>
        <v>0</v>
      </c>
      <c r="I59" s="28">
        <f t="shared" si="20"/>
        <v>4586.6959999999999</v>
      </c>
      <c r="J59" s="28">
        <f t="shared" si="20"/>
        <v>0</v>
      </c>
      <c r="K59" s="28">
        <f t="shared" si="20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02'!K53</f>
        <v>0</v>
      </c>
      <c r="H60" s="27">
        <f>G60+'[2]BM 01'!H60</f>
        <v>0</v>
      </c>
      <c r="I60" s="28">
        <f t="shared" si="20"/>
        <v>7814.9655000000002</v>
      </c>
      <c r="J60" s="28">
        <f t="shared" si="20"/>
        <v>0</v>
      </c>
      <c r="K60" s="28">
        <f t="shared" si="20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02'!K54</f>
        <v>0</v>
      </c>
      <c r="H61" s="27">
        <f>G61+'[2]BM 01'!H61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02'!K55</f>
        <v>0</v>
      </c>
      <c r="H62" s="27">
        <f>G62+'[2]BM 01'!H62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02'!K56</f>
        <v>0</v>
      </c>
      <c r="H63" s="27">
        <f>G63+'[2]BM 01'!H63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02'!K57</f>
        <v>0</v>
      </c>
      <c r="H64" s="27">
        <f>G64+'[2]BM 01'!H64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02'!K58</f>
        <v>0</v>
      </c>
      <c r="H65" s="27">
        <f>G65+'[2]BM 01'!H65</f>
        <v>0</v>
      </c>
      <c r="I65" s="28">
        <f t="shared" si="20"/>
        <v>18663.633999999998</v>
      </c>
      <c r="J65" s="28">
        <f t="shared" si="20"/>
        <v>0</v>
      </c>
      <c r="K65" s="28">
        <f t="shared" si="20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02'!K59</f>
        <v>0</v>
      </c>
      <c r="H66" s="27">
        <f>G66+'[2]BM 01'!H66</f>
        <v>0</v>
      </c>
      <c r="I66" s="28">
        <f t="shared" si="20"/>
        <v>3317.0199999999995</v>
      </c>
      <c r="J66" s="28">
        <f t="shared" si="20"/>
        <v>0</v>
      </c>
      <c r="K66" s="28">
        <f t="shared" si="20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02'!K60</f>
        <v>0</v>
      </c>
      <c r="H67" s="27">
        <f>G67+'[2]BM 01'!H67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0</v>
      </c>
      <c r="K68" s="41">
        <f t="shared" si="21"/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02'!K62</f>
        <v>0</v>
      </c>
      <c r="H69" s="27">
        <f>G69+'[2]BM 01'!H69</f>
        <v>0</v>
      </c>
      <c r="I69" s="28">
        <f t="shared" ref="I69:K76" si="22">$E69*F69</f>
        <v>3061.2526999999995</v>
      </c>
      <c r="J69" s="28">
        <f t="shared" si="22"/>
        <v>0</v>
      </c>
      <c r="K69" s="28">
        <f t="shared" si="22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02'!K63</f>
        <v>0</v>
      </c>
      <c r="H70" s="27">
        <f>G70+'[2]BM 01'!H70</f>
        <v>0</v>
      </c>
      <c r="I70" s="28">
        <f t="shared" si="22"/>
        <v>2724.0911999999998</v>
      </c>
      <c r="J70" s="28">
        <f t="shared" si="22"/>
        <v>0</v>
      </c>
      <c r="K70" s="28">
        <f t="shared" si="22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02'!K64</f>
        <v>0</v>
      </c>
      <c r="H71" s="27">
        <f>G71+'[2]BM 01'!H71</f>
        <v>0</v>
      </c>
      <c r="I71" s="28">
        <f t="shared" si="22"/>
        <v>35879.399399999995</v>
      </c>
      <c r="J71" s="28">
        <f t="shared" si="22"/>
        <v>0</v>
      </c>
      <c r="K71" s="28">
        <f t="shared" si="22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02'!K65</f>
        <v>0</v>
      </c>
      <c r="H72" s="27">
        <f>G72+'[2]BM 01'!H72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02'!K66</f>
        <v>0</v>
      </c>
      <c r="H73" s="27">
        <f>G73+'[2]BM 01'!H73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02'!K67</f>
        <v>0</v>
      </c>
      <c r="H74" s="27">
        <f>G74+'[2]BM 01'!H74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02'!K68</f>
        <v>0</v>
      </c>
      <c r="H75" s="27">
        <f>G75+'[2]BM 01'!H75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02'!K69</f>
        <v>0</v>
      </c>
      <c r="H76" s="27">
        <f>G76+'[2]BM 01'!H76</f>
        <v>0</v>
      </c>
      <c r="I76" s="28">
        <f t="shared" si="22"/>
        <v>11697.7035</v>
      </c>
      <c r="J76" s="28">
        <f t="shared" si="22"/>
        <v>0</v>
      </c>
      <c r="K76" s="28">
        <f t="shared" si="22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 t="shared" ref="J77:K77" si="23">SUM(J78:J83)</f>
        <v>0</v>
      </c>
      <c r="K77" s="41">
        <f t="shared" si="23"/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'[2]Memória 02'!K71</f>
        <v>0</v>
      </c>
      <c r="H78" s="27">
        <f>G78+'[2]BM 01'!H78</f>
        <v>0</v>
      </c>
      <c r="I78" s="28">
        <f t="shared" ref="I78:K83" si="24">$E78*F78</f>
        <v>2444.7015000000001</v>
      </c>
      <c r="J78" s="28">
        <f t="shared" si="24"/>
        <v>0</v>
      </c>
      <c r="K78" s="28">
        <f t="shared" si="24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'[2]Memória 02'!K72</f>
        <v>0</v>
      </c>
      <c r="H79" s="27">
        <f>G79+'[2]BM 01'!H79</f>
        <v>0</v>
      </c>
      <c r="I79" s="28">
        <f t="shared" si="24"/>
        <v>6650.7318000000005</v>
      </c>
      <c r="J79" s="28">
        <f t="shared" si="24"/>
        <v>0</v>
      </c>
      <c r="K79" s="28">
        <f t="shared" si="2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02'!K73</f>
        <v>0</v>
      </c>
      <c r="H80" s="27">
        <f>G80+'[2]BM 01'!H80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02'!K74</f>
        <v>0</v>
      </c>
      <c r="H81" s="27">
        <f>G81+'[2]BM 01'!H81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02'!K75</f>
        <v>0</v>
      </c>
      <c r="H82" s="27">
        <f>G82+'[2]BM 01'!H82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02'!K76</f>
        <v>0</v>
      </c>
      <c r="H83" s="27">
        <f>G83+'[2]BM 01'!H83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>
      <c r="B84" s="36" t="s">
        <v>160</v>
      </c>
      <c r="C84" s="116" t="s">
        <v>161</v>
      </c>
      <c r="D84" s="116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02'!K78</f>
        <v>0</v>
      </c>
      <c r="H85" s="27">
        <f>G85+'[2]BM 01'!H85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5">J87+J96+J101</f>
        <v>0</v>
      </c>
      <c r="K86" s="34">
        <f t="shared" si="25"/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6">SUM(J88:J95)</f>
        <v>0</v>
      </c>
      <c r="K87" s="41">
        <f t="shared" si="26"/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02'!K81</f>
        <v>0</v>
      </c>
      <c r="H88" s="27">
        <f>G88+'[2]BM 01'!H88</f>
        <v>0</v>
      </c>
      <c r="I88" s="28">
        <f t="shared" ref="I88:K95" si="27">$E88*F88</f>
        <v>3442.74</v>
      </c>
      <c r="J88" s="28">
        <f t="shared" si="27"/>
        <v>0</v>
      </c>
      <c r="K88" s="28">
        <f t="shared" si="27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02'!K82</f>
        <v>0</v>
      </c>
      <c r="H89" s="27">
        <f>G89+'[2]BM 01'!H89</f>
        <v>0</v>
      </c>
      <c r="I89" s="28">
        <f t="shared" si="27"/>
        <v>7354.2000000000007</v>
      </c>
      <c r="J89" s="28">
        <f t="shared" si="27"/>
        <v>0</v>
      </c>
      <c r="K89" s="28">
        <f t="shared" si="27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02'!K83</f>
        <v>0</v>
      </c>
      <c r="H90" s="27">
        <f>G90+'[2]BM 01'!H90</f>
        <v>0</v>
      </c>
      <c r="I90" s="28">
        <f t="shared" si="27"/>
        <v>741.28</v>
      </c>
      <c r="J90" s="28">
        <f t="shared" si="27"/>
        <v>0</v>
      </c>
      <c r="K90" s="28">
        <f t="shared" si="27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02'!K84</f>
        <v>0</v>
      </c>
      <c r="H91" s="27">
        <f>G91+'[2]BM 01'!H91</f>
        <v>0</v>
      </c>
      <c r="I91" s="28">
        <f t="shared" si="27"/>
        <v>1386.43</v>
      </c>
      <c r="J91" s="28">
        <f t="shared" si="27"/>
        <v>0</v>
      </c>
      <c r="K91" s="28">
        <f t="shared" si="27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02'!K85</f>
        <v>0</v>
      </c>
      <c r="H92" s="27">
        <f>G92+'[2]BM 01'!H92</f>
        <v>0</v>
      </c>
      <c r="I92" s="28">
        <f t="shared" si="27"/>
        <v>374.34</v>
      </c>
      <c r="J92" s="28">
        <f t="shared" si="27"/>
        <v>0</v>
      </c>
      <c r="K92" s="28">
        <f t="shared" si="27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02'!K86</f>
        <v>0</v>
      </c>
      <c r="H93" s="27">
        <f>G93+'[2]BM 01'!H93</f>
        <v>0</v>
      </c>
      <c r="I93" s="28">
        <f t="shared" si="27"/>
        <v>474.3</v>
      </c>
      <c r="J93" s="28">
        <f t="shared" si="27"/>
        <v>0</v>
      </c>
      <c r="K93" s="28">
        <f t="shared" si="27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02'!K87</f>
        <v>0</v>
      </c>
      <c r="H94" s="27">
        <f>G94+'[2]BM 01'!H94</f>
        <v>0</v>
      </c>
      <c r="I94" s="28">
        <f t="shared" si="27"/>
        <v>551.98</v>
      </c>
      <c r="J94" s="28">
        <f t="shared" si="27"/>
        <v>0</v>
      </c>
      <c r="K94" s="28">
        <f t="shared" si="27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02'!K88</f>
        <v>0</v>
      </c>
      <c r="H95" s="27">
        <f>G95+'[2]BM 01'!H95</f>
        <v>0</v>
      </c>
      <c r="I95" s="28">
        <f t="shared" si="27"/>
        <v>2253.069</v>
      </c>
      <c r="J95" s="28">
        <f t="shared" si="27"/>
        <v>0</v>
      </c>
      <c r="K95" s="28">
        <f t="shared" si="27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8">SUM(J97:J100)</f>
        <v>0</v>
      </c>
      <c r="K96" s="41">
        <f t="shared" si="28"/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02'!K90</f>
        <v>0</v>
      </c>
      <c r="H97" s="27">
        <f>G97+'[2]BM 01'!H97</f>
        <v>0</v>
      </c>
      <c r="I97" s="28">
        <f t="shared" ref="I97:K100" si="29">$E97*F97</f>
        <v>18004.346000000001</v>
      </c>
      <c r="J97" s="28">
        <f t="shared" si="29"/>
        <v>0</v>
      </c>
      <c r="K97" s="28">
        <f t="shared" si="29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02'!K91</f>
        <v>0</v>
      </c>
      <c r="H98" s="27">
        <f>G98+'[2]BM 01'!H98</f>
        <v>0</v>
      </c>
      <c r="I98" s="28">
        <f t="shared" si="29"/>
        <v>473.39200000000005</v>
      </c>
      <c r="J98" s="28">
        <f t="shared" si="29"/>
        <v>0</v>
      </c>
      <c r="K98" s="28">
        <f t="shared" si="29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02'!K92</f>
        <v>0</v>
      </c>
      <c r="H99" s="27">
        <f>G99+'[2]BM 01'!H99</f>
        <v>0</v>
      </c>
      <c r="I99" s="28">
        <f t="shared" si="29"/>
        <v>10536.165199999999</v>
      </c>
      <c r="J99" s="28">
        <f t="shared" si="29"/>
        <v>0</v>
      </c>
      <c r="K99" s="28">
        <f t="shared" si="29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02'!K93</f>
        <v>0</v>
      </c>
      <c r="H100" s="27">
        <f>G100+'[2]BM 01'!H100</f>
        <v>0</v>
      </c>
      <c r="I100" s="28">
        <f t="shared" si="29"/>
        <v>149.44999999999999</v>
      </c>
      <c r="J100" s="28">
        <f t="shared" si="29"/>
        <v>0</v>
      </c>
      <c r="K100" s="28">
        <f t="shared" si="29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 t="shared" ref="J101:K101" si="30">SUM(J102:J104)</f>
        <v>0</v>
      </c>
      <c r="K101" s="41">
        <f t="shared" si="30"/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02'!K95</f>
        <v>0</v>
      </c>
      <c r="H102" s="27">
        <f>G102+'[2]BM 01'!H102</f>
        <v>0</v>
      </c>
      <c r="I102" s="28">
        <f t="shared" ref="I102:K104" si="31">$E102*F102</f>
        <v>6197.4107999999997</v>
      </c>
      <c r="J102" s="28">
        <f t="shared" si="31"/>
        <v>0</v>
      </c>
      <c r="K102" s="28">
        <f t="shared" si="31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02'!K96</f>
        <v>0</v>
      </c>
      <c r="H103" s="27">
        <f>G103+'[2]BM 01'!H103</f>
        <v>0</v>
      </c>
      <c r="I103" s="28">
        <f t="shared" si="31"/>
        <v>3777.5155999999997</v>
      </c>
      <c r="J103" s="28">
        <f t="shared" si="31"/>
        <v>0</v>
      </c>
      <c r="K103" s="28">
        <f t="shared" si="31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02'!K97</f>
        <v>0</v>
      </c>
      <c r="H104" s="27">
        <f>G104+'[2]BM 01'!H104</f>
        <v>0</v>
      </c>
      <c r="I104" s="28">
        <f t="shared" si="31"/>
        <v>1274.6487999999999</v>
      </c>
      <c r="J104" s="28">
        <f t="shared" si="31"/>
        <v>0</v>
      </c>
      <c r="K104" s="28">
        <f t="shared" si="31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2">J106+J108+J130+J135+J143</f>
        <v>0</v>
      </c>
      <c r="K105" s="34">
        <f t="shared" si="32"/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 t="shared" ref="J106:K106" si="33">J107</f>
        <v>0</v>
      </c>
      <c r="K106" s="41">
        <f t="shared" si="33"/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02'!K100</f>
        <v>0</v>
      </c>
      <c r="H107" s="27">
        <f>G107+'[2]BM 01'!H107</f>
        <v>0</v>
      </c>
      <c r="I107" s="28">
        <f t="shared" ref="I107:K107" si="34">$E107*F107</f>
        <v>1687.24</v>
      </c>
      <c r="J107" s="28">
        <f t="shared" si="34"/>
        <v>0</v>
      </c>
      <c r="K107" s="28">
        <f t="shared" si="34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5">SUM(J109:J129)</f>
        <v>0</v>
      </c>
      <c r="K108" s="41">
        <f t="shared" si="35"/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02'!K102</f>
        <v>0</v>
      </c>
      <c r="H109" s="27">
        <f>G109+'[2]BM 01'!H109</f>
        <v>0</v>
      </c>
      <c r="I109" s="28">
        <f t="shared" ref="I109:K124" si="36">$E109*F109</f>
        <v>4015.61</v>
      </c>
      <c r="J109" s="28">
        <f t="shared" si="36"/>
        <v>0</v>
      </c>
      <c r="K109" s="28">
        <f t="shared" si="36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02'!K103</f>
        <v>0</v>
      </c>
      <c r="H110" s="27">
        <f>G110+'[2]BM 01'!H110</f>
        <v>0</v>
      </c>
      <c r="I110" s="28">
        <f t="shared" si="36"/>
        <v>616</v>
      </c>
      <c r="J110" s="28">
        <f t="shared" si="36"/>
        <v>0</v>
      </c>
      <c r="K110" s="28">
        <f t="shared" si="36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02'!K104</f>
        <v>0</v>
      </c>
      <c r="H111" s="27">
        <f>G111+'[2]BM 01'!H111</f>
        <v>0</v>
      </c>
      <c r="I111" s="28">
        <f t="shared" si="36"/>
        <v>1205.28</v>
      </c>
      <c r="J111" s="28">
        <f t="shared" si="36"/>
        <v>0</v>
      </c>
      <c r="K111" s="28">
        <f t="shared" si="36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02'!K105</f>
        <v>0</v>
      </c>
      <c r="H112" s="27">
        <f>G112+'[2]BM 01'!H112</f>
        <v>0</v>
      </c>
      <c r="I112" s="28">
        <f t="shared" si="36"/>
        <v>632.93999999999994</v>
      </c>
      <c r="J112" s="28">
        <f t="shared" si="36"/>
        <v>0</v>
      </c>
      <c r="K112" s="28">
        <f t="shared" si="36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02'!K106</f>
        <v>0</v>
      </c>
      <c r="H113" s="27">
        <f>G113+'[2]BM 01'!H113</f>
        <v>0</v>
      </c>
      <c r="I113" s="28">
        <f t="shared" si="36"/>
        <v>240.86</v>
      </c>
      <c r="J113" s="28">
        <f t="shared" si="36"/>
        <v>0</v>
      </c>
      <c r="K113" s="28">
        <f t="shared" si="36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02'!K107</f>
        <v>0</v>
      </c>
      <c r="H114" s="27">
        <f>G114+'[2]BM 01'!H114</f>
        <v>0</v>
      </c>
      <c r="I114" s="28">
        <f t="shared" si="36"/>
        <v>61.56</v>
      </c>
      <c r="J114" s="28">
        <f t="shared" si="36"/>
        <v>0</v>
      </c>
      <c r="K114" s="28">
        <f t="shared" si="36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02'!K108</f>
        <v>0</v>
      </c>
      <c r="H115" s="27">
        <f>G115+'[2]BM 01'!H115</f>
        <v>0</v>
      </c>
      <c r="I115" s="28">
        <f t="shared" si="36"/>
        <v>12512</v>
      </c>
      <c r="J115" s="28">
        <f t="shared" si="36"/>
        <v>0</v>
      </c>
      <c r="K115" s="28">
        <f t="shared" si="36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02'!K109</f>
        <v>0</v>
      </c>
      <c r="H116" s="27">
        <f>G116+'[2]BM 01'!H116</f>
        <v>0</v>
      </c>
      <c r="I116" s="28">
        <f t="shared" si="36"/>
        <v>2.96</v>
      </c>
      <c r="J116" s="28">
        <f t="shared" si="36"/>
        <v>0</v>
      </c>
      <c r="K116" s="28">
        <f t="shared" si="36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02'!K110</f>
        <v>0</v>
      </c>
      <c r="H117" s="27">
        <f>G117+'[2]BM 01'!H117</f>
        <v>0</v>
      </c>
      <c r="I117" s="28">
        <f t="shared" si="36"/>
        <v>738.72</v>
      </c>
      <c r="J117" s="28">
        <f t="shared" si="36"/>
        <v>0</v>
      </c>
      <c r="K117" s="28">
        <f t="shared" si="36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02'!K111</f>
        <v>0</v>
      </c>
      <c r="H118" s="27">
        <f>G118+'[2]BM 01'!H118</f>
        <v>0</v>
      </c>
      <c r="I118" s="28">
        <f t="shared" si="36"/>
        <v>71.25</v>
      </c>
      <c r="J118" s="28">
        <f t="shared" si="36"/>
        <v>0</v>
      </c>
      <c r="K118" s="28">
        <f t="shared" si="36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02'!K112</f>
        <v>0</v>
      </c>
      <c r="H119" s="27">
        <f>G119+'[2]BM 01'!H119</f>
        <v>0</v>
      </c>
      <c r="I119" s="28">
        <f t="shared" si="36"/>
        <v>25.92</v>
      </c>
      <c r="J119" s="28">
        <f t="shared" si="36"/>
        <v>0</v>
      </c>
      <c r="K119" s="28">
        <f t="shared" si="36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02'!K113</f>
        <v>0</v>
      </c>
      <c r="H120" s="27">
        <f>G120+'[2]BM 01'!H120</f>
        <v>0</v>
      </c>
      <c r="I120" s="28">
        <f t="shared" si="36"/>
        <v>15.52</v>
      </c>
      <c r="J120" s="28">
        <f t="shared" si="36"/>
        <v>0</v>
      </c>
      <c r="K120" s="28">
        <f t="shared" si="36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02'!K114</f>
        <v>0</v>
      </c>
      <c r="H121" s="27">
        <f>G121+'[2]BM 01'!H121</f>
        <v>0</v>
      </c>
      <c r="I121" s="28">
        <f t="shared" si="36"/>
        <v>11224</v>
      </c>
      <c r="J121" s="28">
        <f t="shared" si="36"/>
        <v>0</v>
      </c>
      <c r="K121" s="28">
        <f t="shared" si="36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02'!K115</f>
        <v>0</v>
      </c>
      <c r="H122" s="27">
        <f>G122+'[2]BM 01'!H122</f>
        <v>0</v>
      </c>
      <c r="I122" s="28">
        <f t="shared" si="36"/>
        <v>144.60000000000002</v>
      </c>
      <c r="J122" s="28">
        <f t="shared" si="36"/>
        <v>0</v>
      </c>
      <c r="K122" s="28">
        <f t="shared" si="36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02'!K116</f>
        <v>0</v>
      </c>
      <c r="H123" s="27">
        <f>G123+'[2]BM 01'!H123</f>
        <v>0</v>
      </c>
      <c r="I123" s="28">
        <f t="shared" si="36"/>
        <v>162.9</v>
      </c>
      <c r="J123" s="28">
        <f t="shared" si="36"/>
        <v>0</v>
      </c>
      <c r="K123" s="28">
        <f t="shared" si="36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02'!K117</f>
        <v>0</v>
      </c>
      <c r="H124" s="27">
        <f>G124+'[2]BM 01'!H124</f>
        <v>0</v>
      </c>
      <c r="I124" s="28">
        <f t="shared" si="36"/>
        <v>56.16</v>
      </c>
      <c r="J124" s="28">
        <f t="shared" si="36"/>
        <v>0</v>
      </c>
      <c r="K124" s="28">
        <f t="shared" si="36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02'!K118</f>
        <v>0</v>
      </c>
      <c r="H125" s="27">
        <f>G125+'[2]BM 01'!H125</f>
        <v>0</v>
      </c>
      <c r="I125" s="28">
        <f t="shared" ref="I125:K129" si="37">$E125*F125</f>
        <v>34.630000000000003</v>
      </c>
      <c r="J125" s="28">
        <f t="shared" si="37"/>
        <v>0</v>
      </c>
      <c r="K125" s="28">
        <f t="shared" si="37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02'!K119</f>
        <v>0</v>
      </c>
      <c r="H126" s="27">
        <f>G126+'[2]BM 01'!H126</f>
        <v>0</v>
      </c>
      <c r="I126" s="28">
        <f t="shared" si="37"/>
        <v>22.72</v>
      </c>
      <c r="J126" s="28">
        <f t="shared" si="37"/>
        <v>0</v>
      </c>
      <c r="K126" s="28">
        <f t="shared" si="37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02'!K120</f>
        <v>0</v>
      </c>
      <c r="H127" s="27">
        <f>G127+'[2]BM 01'!H127</f>
        <v>0</v>
      </c>
      <c r="I127" s="28">
        <f t="shared" si="37"/>
        <v>5.94</v>
      </c>
      <c r="J127" s="28">
        <f t="shared" si="37"/>
        <v>0</v>
      </c>
      <c r="K127" s="28">
        <f t="shared" si="37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02'!K121</f>
        <v>0</v>
      </c>
      <c r="H128" s="27">
        <f>G128+'[2]BM 01'!H128</f>
        <v>0</v>
      </c>
      <c r="I128" s="28">
        <f t="shared" si="37"/>
        <v>181.98</v>
      </c>
      <c r="J128" s="28">
        <f t="shared" si="37"/>
        <v>0</v>
      </c>
      <c r="K128" s="28">
        <f t="shared" si="37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02'!K122</f>
        <v>0</v>
      </c>
      <c r="H129" s="27">
        <f>G129+'[2]BM 01'!H129</f>
        <v>0</v>
      </c>
      <c r="I129" s="28">
        <f t="shared" si="37"/>
        <v>5336</v>
      </c>
      <c r="J129" s="28">
        <f t="shared" si="37"/>
        <v>0</v>
      </c>
      <c r="K129" s="28">
        <f t="shared" si="37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8">SUM(J131:J134)</f>
        <v>0</v>
      </c>
      <c r="K130" s="41">
        <f t="shared" si="38"/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02'!K124</f>
        <v>0</v>
      </c>
      <c r="H131" s="27">
        <f>G131+'[2]BM 01'!H131</f>
        <v>0</v>
      </c>
      <c r="I131" s="28">
        <f t="shared" ref="I131:K134" si="39">$E131*F131</f>
        <v>408.32</v>
      </c>
      <c r="J131" s="28">
        <f t="shared" si="39"/>
        <v>0</v>
      </c>
      <c r="K131" s="28">
        <f t="shared" si="39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02'!K125</f>
        <v>0</v>
      </c>
      <c r="H132" s="27">
        <f>G132+'[2]BM 01'!H132</f>
        <v>0</v>
      </c>
      <c r="I132" s="28">
        <f t="shared" si="39"/>
        <v>235.01</v>
      </c>
      <c r="J132" s="28">
        <f t="shared" si="39"/>
        <v>0</v>
      </c>
      <c r="K132" s="28">
        <f t="shared" si="39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02'!K126</f>
        <v>0</v>
      </c>
      <c r="H133" s="27">
        <f>G133+'[2]BM 01'!H133</f>
        <v>0</v>
      </c>
      <c r="I133" s="28">
        <f t="shared" si="39"/>
        <v>165.94</v>
      </c>
      <c r="J133" s="28">
        <f t="shared" si="39"/>
        <v>0</v>
      </c>
      <c r="K133" s="28">
        <f t="shared" si="39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02'!K127</f>
        <v>0</v>
      </c>
      <c r="H134" s="27">
        <f>G134+'[2]BM 01'!H134</f>
        <v>0</v>
      </c>
      <c r="I134" s="28">
        <f t="shared" si="39"/>
        <v>61.63</v>
      </c>
      <c r="J134" s="28">
        <f t="shared" si="39"/>
        <v>0</v>
      </c>
      <c r="K134" s="28">
        <f t="shared" si="39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0">SUM(J136:J142)</f>
        <v>0</v>
      </c>
      <c r="K135" s="41">
        <f t="shared" si="40"/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02'!K129</f>
        <v>0</v>
      </c>
      <c r="H136" s="27">
        <f>G136+'[2]BM 01'!H136</f>
        <v>0</v>
      </c>
      <c r="I136" s="28">
        <f t="shared" ref="I136:K142" si="41">$E136*F136</f>
        <v>816.64</v>
      </c>
      <c r="J136" s="28">
        <f t="shared" si="41"/>
        <v>0</v>
      </c>
      <c r="K136" s="28">
        <f t="shared" si="41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02'!K130</f>
        <v>0</v>
      </c>
      <c r="H137" s="27">
        <f>G137+'[2]BM 01'!H137</f>
        <v>0</v>
      </c>
      <c r="I137" s="28">
        <f t="shared" si="41"/>
        <v>352.6</v>
      </c>
      <c r="J137" s="28">
        <f t="shared" si="41"/>
        <v>0</v>
      </c>
      <c r="K137" s="28">
        <f t="shared" si="41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02'!K131</f>
        <v>0</v>
      </c>
      <c r="H138" s="27">
        <f>G138+'[2]BM 01'!H138</f>
        <v>0</v>
      </c>
      <c r="I138" s="28">
        <f t="shared" si="41"/>
        <v>184.89000000000001</v>
      </c>
      <c r="J138" s="28">
        <f t="shared" si="41"/>
        <v>0</v>
      </c>
      <c r="K138" s="28">
        <f t="shared" si="41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02'!K132</f>
        <v>0</v>
      </c>
      <c r="H139" s="27">
        <f>G139+'[2]BM 01'!H139</f>
        <v>0</v>
      </c>
      <c r="I139" s="28">
        <f t="shared" si="41"/>
        <v>165.94</v>
      </c>
      <c r="J139" s="28">
        <f t="shared" si="41"/>
        <v>0</v>
      </c>
      <c r="K139" s="28">
        <f t="shared" si="41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02'!K133</f>
        <v>0</v>
      </c>
      <c r="H140" s="27">
        <f>G140+'[2]BM 01'!H140</f>
        <v>0</v>
      </c>
      <c r="I140" s="28">
        <f t="shared" si="41"/>
        <v>95.9</v>
      </c>
      <c r="J140" s="28">
        <f t="shared" si="41"/>
        <v>0</v>
      </c>
      <c r="K140" s="28">
        <f t="shared" si="41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02'!K134</f>
        <v>0</v>
      </c>
      <c r="H141" s="27">
        <f>G141+'[2]BM 01'!H141</f>
        <v>0</v>
      </c>
      <c r="I141" s="28">
        <f t="shared" si="41"/>
        <v>147</v>
      </c>
      <c r="J141" s="28">
        <f t="shared" si="41"/>
        <v>0</v>
      </c>
      <c r="K141" s="28">
        <f t="shared" si="41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02'!K135</f>
        <v>0</v>
      </c>
      <c r="H142" s="27">
        <f>G142+'[2]BM 01'!H142</f>
        <v>0</v>
      </c>
      <c r="I142" s="28">
        <f t="shared" si="41"/>
        <v>215.45000000000002</v>
      </c>
      <c r="J142" s="28">
        <f t="shared" si="41"/>
        <v>0</v>
      </c>
      <c r="K142" s="28">
        <f t="shared" si="41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2">SUM(J144:J154)</f>
        <v>0</v>
      </c>
      <c r="K143" s="41">
        <f t="shared" si="42"/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02'!K137</f>
        <v>0</v>
      </c>
      <c r="H144" s="27">
        <f>G144+'[2]BM 01'!H144</f>
        <v>0</v>
      </c>
      <c r="I144" s="28">
        <f t="shared" ref="I144:K154" si="43">$E144*F144</f>
        <v>1122.6600000000001</v>
      </c>
      <c r="J144" s="28">
        <f t="shared" si="43"/>
        <v>0</v>
      </c>
      <c r="K144" s="28">
        <f t="shared" si="4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02'!K138</f>
        <v>0</v>
      </c>
      <c r="H145" s="27">
        <f>G145+'[2]BM 01'!H145</f>
        <v>0</v>
      </c>
      <c r="I145" s="28">
        <f t="shared" si="43"/>
        <v>1325.3899999999999</v>
      </c>
      <c r="J145" s="28">
        <f t="shared" si="43"/>
        <v>0</v>
      </c>
      <c r="K145" s="28">
        <f t="shared" si="4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02'!K139</f>
        <v>0</v>
      </c>
      <c r="H146" s="27">
        <f>G146+'[2]BM 01'!H146</f>
        <v>0</v>
      </c>
      <c r="I146" s="28">
        <f t="shared" si="43"/>
        <v>140.57999999999998</v>
      </c>
      <c r="J146" s="28">
        <f t="shared" si="43"/>
        <v>0</v>
      </c>
      <c r="K146" s="28">
        <f t="shared" si="4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02'!K140</f>
        <v>0</v>
      </c>
      <c r="H147" s="27">
        <f>G147+'[2]BM 01'!H147</f>
        <v>0</v>
      </c>
      <c r="I147" s="28">
        <f t="shared" si="43"/>
        <v>835.66</v>
      </c>
      <c r="J147" s="28">
        <f t="shared" si="43"/>
        <v>0</v>
      </c>
      <c r="K147" s="28">
        <f t="shared" si="4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02'!K141</f>
        <v>0</v>
      </c>
      <c r="H148" s="27">
        <f>G148+'[2]BM 01'!H148</f>
        <v>0</v>
      </c>
      <c r="I148" s="28">
        <f t="shared" si="43"/>
        <v>863.64</v>
      </c>
      <c r="J148" s="28">
        <f t="shared" si="43"/>
        <v>0</v>
      </c>
      <c r="K148" s="28">
        <f t="shared" si="4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02'!K142</f>
        <v>0</v>
      </c>
      <c r="H149" s="27">
        <f>G149+'[2]BM 01'!H149</f>
        <v>0</v>
      </c>
      <c r="I149" s="28">
        <f t="shared" si="43"/>
        <v>497.35</v>
      </c>
      <c r="J149" s="28">
        <f t="shared" si="43"/>
        <v>0</v>
      </c>
      <c r="K149" s="28">
        <f t="shared" si="4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02'!K143</f>
        <v>0</v>
      </c>
      <c r="H150" s="27">
        <f>G150+'[2]BM 01'!H150</f>
        <v>0</v>
      </c>
      <c r="I150" s="28">
        <f t="shared" si="43"/>
        <v>284.01</v>
      </c>
      <c r="J150" s="28">
        <f t="shared" si="43"/>
        <v>0</v>
      </c>
      <c r="K150" s="28">
        <f t="shared" si="4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02'!K144</f>
        <v>0</v>
      </c>
      <c r="H151" s="27">
        <f>G151+'[2]BM 01'!H151</f>
        <v>0</v>
      </c>
      <c r="I151" s="28">
        <f t="shared" si="43"/>
        <v>9.86</v>
      </c>
      <c r="J151" s="28">
        <f t="shared" si="43"/>
        <v>0</v>
      </c>
      <c r="K151" s="28">
        <f t="shared" si="4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02'!K145</f>
        <v>0</v>
      </c>
      <c r="H152" s="27">
        <f>G152+'[2]BM 01'!H152</f>
        <v>0</v>
      </c>
      <c r="I152" s="28">
        <f t="shared" si="43"/>
        <v>318.08</v>
      </c>
      <c r="J152" s="28">
        <f t="shared" si="43"/>
        <v>0</v>
      </c>
      <c r="K152" s="28">
        <f t="shared" si="4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02'!K146</f>
        <v>0</v>
      </c>
      <c r="H153" s="27">
        <f>G153+'[2]BM 01'!H153</f>
        <v>0</v>
      </c>
      <c r="I153" s="28">
        <f t="shared" si="43"/>
        <v>161.66999999999999</v>
      </c>
      <c r="J153" s="28">
        <f t="shared" si="43"/>
        <v>0</v>
      </c>
      <c r="K153" s="28">
        <f t="shared" si="4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02'!K147</f>
        <v>0</v>
      </c>
      <c r="H154" s="27">
        <f>G154+'[2]BM 01'!H154</f>
        <v>0</v>
      </c>
      <c r="I154" s="28">
        <f t="shared" si="43"/>
        <v>542.01</v>
      </c>
      <c r="J154" s="28">
        <f t="shared" si="43"/>
        <v>0</v>
      </c>
      <c r="K154" s="28">
        <f t="shared" si="4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4">J156+J177+J192+J201+J206</f>
        <v>0</v>
      </c>
      <c r="K155" s="63">
        <f t="shared" si="44"/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02'!K150</f>
        <v>0</v>
      </c>
      <c r="H157" s="27">
        <f>G157+'[2]BM 01'!H157</f>
        <v>0</v>
      </c>
      <c r="I157" s="28">
        <f t="shared" ref="I157:K172" si="45">$E157*F157</f>
        <v>351.46</v>
      </c>
      <c r="J157" s="28">
        <f t="shared" si="45"/>
        <v>0</v>
      </c>
      <c r="K157" s="28">
        <f t="shared" si="45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02'!K151</f>
        <v>0</v>
      </c>
      <c r="H158" s="27">
        <f>G158+'[2]BM 01'!H158</f>
        <v>0</v>
      </c>
      <c r="I158" s="28">
        <f t="shared" si="45"/>
        <v>9.44</v>
      </c>
      <c r="J158" s="28">
        <f t="shared" si="45"/>
        <v>0</v>
      </c>
      <c r="K158" s="28">
        <f t="shared" si="45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02'!K152</f>
        <v>0</v>
      </c>
      <c r="H159" s="27">
        <f>G159+'[2]BM 01'!H159</f>
        <v>0</v>
      </c>
      <c r="I159" s="28">
        <f t="shared" si="45"/>
        <v>1171.04</v>
      </c>
      <c r="J159" s="28">
        <f t="shared" si="45"/>
        <v>0</v>
      </c>
      <c r="K159" s="28">
        <f t="shared" si="45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02'!K153</f>
        <v>0</v>
      </c>
      <c r="H160" s="27">
        <f>G160+'[2]BM 01'!H160</f>
        <v>0</v>
      </c>
      <c r="I160" s="28">
        <f t="shared" si="45"/>
        <v>305.85000000000002</v>
      </c>
      <c r="J160" s="28">
        <f t="shared" si="45"/>
        <v>0</v>
      </c>
      <c r="K160" s="28">
        <f t="shared" si="45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02'!K154</f>
        <v>0</v>
      </c>
      <c r="H161" s="27">
        <f>G161+'[2]BM 01'!H161</f>
        <v>0</v>
      </c>
      <c r="I161" s="28">
        <f t="shared" si="45"/>
        <v>1438.44</v>
      </c>
      <c r="J161" s="28">
        <f t="shared" si="45"/>
        <v>0</v>
      </c>
      <c r="K161" s="28">
        <f t="shared" si="45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02'!K155</f>
        <v>0</v>
      </c>
      <c r="H162" s="27">
        <f>G162+'[2]BM 01'!H162</f>
        <v>0</v>
      </c>
      <c r="I162" s="28">
        <f t="shared" si="45"/>
        <v>2430.9</v>
      </c>
      <c r="J162" s="28">
        <f t="shared" si="45"/>
        <v>0</v>
      </c>
      <c r="K162" s="28">
        <f t="shared" si="45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02'!K156</f>
        <v>0</v>
      </c>
      <c r="H163" s="27">
        <f>G163+'[2]BM 01'!H163</f>
        <v>0</v>
      </c>
      <c r="I163" s="28">
        <f t="shared" si="45"/>
        <v>1594.6000000000001</v>
      </c>
      <c r="J163" s="28">
        <f t="shared" si="45"/>
        <v>0</v>
      </c>
      <c r="K163" s="28">
        <f t="shared" si="45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02'!K157</f>
        <v>0</v>
      </c>
      <c r="H164" s="27">
        <f>G164+'[2]BM 01'!H164</f>
        <v>0</v>
      </c>
      <c r="I164" s="28">
        <f t="shared" si="45"/>
        <v>594.57999999999993</v>
      </c>
      <c r="J164" s="28">
        <f t="shared" si="45"/>
        <v>0</v>
      </c>
      <c r="K164" s="28">
        <f t="shared" si="45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02'!K158</f>
        <v>0</v>
      </c>
      <c r="H165" s="27">
        <f>G165+'[2]BM 01'!H165</f>
        <v>0</v>
      </c>
      <c r="I165" s="28">
        <f t="shared" si="45"/>
        <v>1009.45</v>
      </c>
      <c r="J165" s="28">
        <f t="shared" si="45"/>
        <v>0</v>
      </c>
      <c r="K165" s="28">
        <f t="shared" si="45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02'!K159</f>
        <v>0</v>
      </c>
      <c r="H166" s="27">
        <f>G166+'[2]BM 01'!H166</f>
        <v>0</v>
      </c>
      <c r="I166" s="28">
        <f t="shared" si="45"/>
        <v>598.77</v>
      </c>
      <c r="J166" s="28">
        <f t="shared" si="45"/>
        <v>0</v>
      </c>
      <c r="K166" s="28">
        <f t="shared" si="45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02'!K160</f>
        <v>0</v>
      </c>
      <c r="H167" s="27">
        <f>G167+'[2]BM 01'!H167</f>
        <v>0</v>
      </c>
      <c r="I167" s="28">
        <f t="shared" si="45"/>
        <v>5320.26</v>
      </c>
      <c r="J167" s="28">
        <f t="shared" si="45"/>
        <v>0</v>
      </c>
      <c r="K167" s="28">
        <f t="shared" si="45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02'!K161</f>
        <v>0</v>
      </c>
      <c r="H168" s="27">
        <f>G168+'[2]BM 01'!H168</f>
        <v>0</v>
      </c>
      <c r="I168" s="28">
        <f t="shared" si="45"/>
        <v>1008.4230000000001</v>
      </c>
      <c r="J168" s="28">
        <f t="shared" si="45"/>
        <v>0</v>
      </c>
      <c r="K168" s="28">
        <f t="shared" si="45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02'!K162</f>
        <v>0</v>
      </c>
      <c r="H169" s="27">
        <f>G169+'[2]BM 01'!H169</f>
        <v>0</v>
      </c>
      <c r="I169" s="28">
        <f t="shared" si="45"/>
        <v>2264.808</v>
      </c>
      <c r="J169" s="28">
        <f t="shared" si="45"/>
        <v>0</v>
      </c>
      <c r="K169" s="28">
        <f t="shared" si="45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02'!K163</f>
        <v>0</v>
      </c>
      <c r="H170" s="27">
        <f>G170+'[2]BM 01'!H170</f>
        <v>0</v>
      </c>
      <c r="I170" s="28">
        <f t="shared" si="45"/>
        <v>715.99</v>
      </c>
      <c r="J170" s="28">
        <f t="shared" si="45"/>
        <v>0</v>
      </c>
      <c r="K170" s="28">
        <f t="shared" si="45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02'!K164</f>
        <v>0</v>
      </c>
      <c r="H171" s="27">
        <f>G171+'[2]BM 01'!H171</f>
        <v>0</v>
      </c>
      <c r="I171" s="28">
        <f t="shared" si="45"/>
        <v>2123.52</v>
      </c>
      <c r="J171" s="28">
        <f t="shared" si="45"/>
        <v>0</v>
      </c>
      <c r="K171" s="28">
        <f t="shared" si="45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02'!K165</f>
        <v>0</v>
      </c>
      <c r="H172" s="27">
        <f>G172+'[2]BM 01'!H172</f>
        <v>0</v>
      </c>
      <c r="I172" s="28">
        <f t="shared" si="45"/>
        <v>550.42000000000007</v>
      </c>
      <c r="J172" s="28">
        <f t="shared" si="45"/>
        <v>0</v>
      </c>
      <c r="K172" s="28">
        <f t="shared" si="45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02'!K166</f>
        <v>0</v>
      </c>
      <c r="H173" s="27">
        <f>G173+'[2]BM 01'!H173</f>
        <v>0</v>
      </c>
      <c r="I173" s="28">
        <f t="shared" ref="I173:K176" si="46">$E173*F173</f>
        <v>181.76</v>
      </c>
      <c r="J173" s="28">
        <f t="shared" si="46"/>
        <v>0</v>
      </c>
      <c r="K173" s="28">
        <f t="shared" si="46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02'!K167</f>
        <v>0</v>
      </c>
      <c r="H174" s="27">
        <f>G174+'[2]BM 01'!H174</f>
        <v>0</v>
      </c>
      <c r="I174" s="28">
        <f t="shared" si="46"/>
        <v>770.40000000000009</v>
      </c>
      <c r="J174" s="28">
        <f t="shared" si="46"/>
        <v>0</v>
      </c>
      <c r="K174" s="28">
        <f t="shared" si="46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02'!K168</f>
        <v>0</v>
      </c>
      <c r="H175" s="27">
        <f>G175+'[2]BM 01'!H175</f>
        <v>0</v>
      </c>
      <c r="I175" s="28">
        <f t="shared" si="46"/>
        <v>152.56</v>
      </c>
      <c r="J175" s="28">
        <f t="shared" si="46"/>
        <v>0</v>
      </c>
      <c r="K175" s="28">
        <f t="shared" si="46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02'!K169</f>
        <v>0</v>
      </c>
      <c r="H176" s="27">
        <f>G176+'[2]BM 01'!H176</f>
        <v>0</v>
      </c>
      <c r="I176" s="28">
        <f t="shared" si="46"/>
        <v>867.48</v>
      </c>
      <c r="J176" s="28">
        <f t="shared" si="46"/>
        <v>0</v>
      </c>
      <c r="K176" s="28">
        <f t="shared" si="46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02'!K171</f>
        <v>0</v>
      </c>
      <c r="H178" s="27">
        <f>G178+'[2]BM 01'!H178</f>
        <v>0</v>
      </c>
      <c r="I178" s="28">
        <f t="shared" ref="I178:K191" si="47">$E178*F178</f>
        <v>1380.75</v>
      </c>
      <c r="J178" s="28">
        <f t="shared" si="47"/>
        <v>0</v>
      </c>
      <c r="K178" s="28">
        <f t="shared" si="47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02'!K172</f>
        <v>0</v>
      </c>
      <c r="H179" s="27">
        <f>G179+'[2]BM 01'!H179</f>
        <v>0</v>
      </c>
      <c r="I179" s="28">
        <f t="shared" si="47"/>
        <v>74.37</v>
      </c>
      <c r="J179" s="28">
        <f t="shared" si="47"/>
        <v>0</v>
      </c>
      <c r="K179" s="28">
        <f t="shared" si="47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02'!K173</f>
        <v>0</v>
      </c>
      <c r="H180" s="27">
        <f>G180+'[2]BM 01'!H180</f>
        <v>0</v>
      </c>
      <c r="I180" s="28">
        <f t="shared" si="47"/>
        <v>45.19</v>
      </c>
      <c r="J180" s="28">
        <f t="shared" si="47"/>
        <v>0</v>
      </c>
      <c r="K180" s="28">
        <f t="shared" si="47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02'!K174</f>
        <v>0</v>
      </c>
      <c r="H181" s="27">
        <f>G181+'[2]BM 01'!H181</f>
        <v>0</v>
      </c>
      <c r="I181" s="28">
        <f t="shared" si="47"/>
        <v>11.73</v>
      </c>
      <c r="J181" s="28">
        <f t="shared" si="47"/>
        <v>0</v>
      </c>
      <c r="K181" s="28">
        <f t="shared" si="47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02'!K175</f>
        <v>0</v>
      </c>
      <c r="H182" s="27">
        <f>G182+'[2]BM 01'!H182</f>
        <v>0</v>
      </c>
      <c r="I182" s="28">
        <f t="shared" si="47"/>
        <v>1438.95</v>
      </c>
      <c r="J182" s="28">
        <f t="shared" si="47"/>
        <v>0</v>
      </c>
      <c r="K182" s="28">
        <f t="shared" si="47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02'!K176</f>
        <v>0</v>
      </c>
      <c r="H183" s="27">
        <f>G183+'[2]BM 01'!H183</f>
        <v>0</v>
      </c>
      <c r="I183" s="28">
        <f t="shared" si="47"/>
        <v>95.64</v>
      </c>
      <c r="J183" s="28">
        <f t="shared" si="47"/>
        <v>0</v>
      </c>
      <c r="K183" s="28">
        <f t="shared" si="47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02'!K177</f>
        <v>0</v>
      </c>
      <c r="H184" s="27">
        <f>G184+'[2]BM 01'!H184</f>
        <v>0</v>
      </c>
      <c r="I184" s="28">
        <f t="shared" si="47"/>
        <v>230.64</v>
      </c>
      <c r="J184" s="28">
        <f t="shared" si="47"/>
        <v>0</v>
      </c>
      <c r="K184" s="28">
        <f t="shared" si="47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02'!K178</f>
        <v>0</v>
      </c>
      <c r="H185" s="27">
        <f>G185+'[2]BM 01'!H185</f>
        <v>0</v>
      </c>
      <c r="I185" s="28">
        <f t="shared" si="47"/>
        <v>307.66000000000003</v>
      </c>
      <c r="J185" s="28">
        <f t="shared" si="47"/>
        <v>0</v>
      </c>
      <c r="K185" s="28">
        <f t="shared" si="47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02'!K179</f>
        <v>0</v>
      </c>
      <c r="H186" s="27">
        <f>G186+'[2]BM 01'!H186</f>
        <v>0</v>
      </c>
      <c r="I186" s="28">
        <f t="shared" si="47"/>
        <v>195.98</v>
      </c>
      <c r="J186" s="28">
        <f t="shared" si="47"/>
        <v>0</v>
      </c>
      <c r="K186" s="28">
        <f t="shared" si="47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02'!K180</f>
        <v>0</v>
      </c>
      <c r="H187" s="27">
        <f>G187+'[2]BM 01'!H187</f>
        <v>0</v>
      </c>
      <c r="I187" s="28">
        <f t="shared" si="47"/>
        <v>65.16</v>
      </c>
      <c r="J187" s="28">
        <f t="shared" si="47"/>
        <v>0</v>
      </c>
      <c r="K187" s="28">
        <f t="shared" si="47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02'!K181</f>
        <v>0</v>
      </c>
      <c r="H188" s="27">
        <f>G188+'[2]BM 01'!H188</f>
        <v>0</v>
      </c>
      <c r="I188" s="28">
        <f t="shared" si="47"/>
        <v>301.19</v>
      </c>
      <c r="J188" s="28">
        <f t="shared" si="47"/>
        <v>0</v>
      </c>
      <c r="K188" s="28">
        <f t="shared" si="47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02'!K182</f>
        <v>0</v>
      </c>
      <c r="H189" s="27">
        <f>G189+'[2]BM 01'!H189</f>
        <v>0</v>
      </c>
      <c r="I189" s="28">
        <f t="shared" si="47"/>
        <v>80.14</v>
      </c>
      <c r="J189" s="28">
        <f t="shared" si="47"/>
        <v>0</v>
      </c>
      <c r="K189" s="28">
        <f t="shared" si="47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02'!K183</f>
        <v>0</v>
      </c>
      <c r="H190" s="27">
        <f>G190+'[2]BM 01'!H190</f>
        <v>0</v>
      </c>
      <c r="I190" s="28">
        <f t="shared" si="47"/>
        <v>41.3</v>
      </c>
      <c r="J190" s="28">
        <f t="shared" si="47"/>
        <v>0</v>
      </c>
      <c r="K190" s="28">
        <f t="shared" si="47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02'!K184</f>
        <v>0</v>
      </c>
      <c r="H191" s="27">
        <f>G191+'[2]BM 01'!H191</f>
        <v>0</v>
      </c>
      <c r="I191" s="28">
        <f t="shared" si="47"/>
        <v>56.5</v>
      </c>
      <c r="J191" s="28">
        <f t="shared" si="47"/>
        <v>0</v>
      </c>
      <c r="K191" s="28">
        <f t="shared" si="47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02'!K186</f>
        <v>0</v>
      </c>
      <c r="H193" s="27">
        <f>G193+'[2]BM 01'!H193</f>
        <v>0</v>
      </c>
      <c r="I193" s="28">
        <f t="shared" ref="I193:K200" si="48">$E193*F193</f>
        <v>135.52000000000001</v>
      </c>
      <c r="J193" s="28">
        <f t="shared" si="48"/>
        <v>0</v>
      </c>
      <c r="K193" s="28">
        <f t="shared" si="48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02'!K187</f>
        <v>0</v>
      </c>
      <c r="H194" s="27">
        <f>G194+'[2]BM 01'!H194</f>
        <v>0</v>
      </c>
      <c r="I194" s="28">
        <f t="shared" si="48"/>
        <v>1265.05</v>
      </c>
      <c r="J194" s="28">
        <f t="shared" si="48"/>
        <v>0</v>
      </c>
      <c r="K194" s="28">
        <f t="shared" si="48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02'!K188</f>
        <v>0</v>
      </c>
      <c r="H195" s="27">
        <f>G195+'[2]BM 01'!H195</f>
        <v>0</v>
      </c>
      <c r="I195" s="28">
        <f t="shared" si="48"/>
        <v>1294.72</v>
      </c>
      <c r="J195" s="28">
        <f t="shared" si="48"/>
        <v>0</v>
      </c>
      <c r="K195" s="28">
        <f t="shared" si="48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02'!K189</f>
        <v>0</v>
      </c>
      <c r="H196" s="27">
        <f>G196+'[2]BM 01'!H196</f>
        <v>0</v>
      </c>
      <c r="I196" s="28">
        <f t="shared" si="48"/>
        <v>6864.26</v>
      </c>
      <c r="J196" s="28">
        <f t="shared" si="48"/>
        <v>0</v>
      </c>
      <c r="K196" s="28">
        <f t="shared" si="48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02'!K190</f>
        <v>0</v>
      </c>
      <c r="H197" s="27">
        <f>G197+'[2]BM 01'!H197</f>
        <v>0</v>
      </c>
      <c r="I197" s="28">
        <f t="shared" si="48"/>
        <v>45.19</v>
      </c>
      <c r="J197" s="28">
        <f t="shared" si="48"/>
        <v>0</v>
      </c>
      <c r="K197" s="28">
        <f t="shared" si="48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02'!K191</f>
        <v>0</v>
      </c>
      <c r="H198" s="27">
        <f>G198+'[2]BM 01'!H198</f>
        <v>0</v>
      </c>
      <c r="I198" s="28">
        <f t="shared" si="48"/>
        <v>11.73</v>
      </c>
      <c r="J198" s="28">
        <f t="shared" si="48"/>
        <v>0</v>
      </c>
      <c r="K198" s="28">
        <f t="shared" si="48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02'!K192</f>
        <v>0</v>
      </c>
      <c r="H199" s="27">
        <f>G199+'[2]BM 01'!H199</f>
        <v>0</v>
      </c>
      <c r="I199" s="28">
        <f t="shared" si="48"/>
        <v>82.6</v>
      </c>
      <c r="J199" s="28">
        <f t="shared" si="48"/>
        <v>0</v>
      </c>
      <c r="K199" s="28">
        <f t="shared" si="48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02'!K193</f>
        <v>0</v>
      </c>
      <c r="H200" s="27">
        <f>G200+'[2]BM 01'!H200</f>
        <v>0</v>
      </c>
      <c r="I200" s="28">
        <f t="shared" si="48"/>
        <v>344.07</v>
      </c>
      <c r="J200" s="28">
        <f t="shared" si="48"/>
        <v>0</v>
      </c>
      <c r="K200" s="28">
        <f t="shared" si="48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02'!K195</f>
        <v>0</v>
      </c>
      <c r="H202" s="27">
        <f>G202+'[2]BM 01'!H202</f>
        <v>0</v>
      </c>
      <c r="I202" s="28">
        <f t="shared" ref="I202:K205" si="49">$E202*F202</f>
        <v>4535.9399999999996</v>
      </c>
      <c r="J202" s="28">
        <f t="shared" si="49"/>
        <v>0</v>
      </c>
      <c r="K202" s="28">
        <f t="shared" si="49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02'!K196</f>
        <v>0</v>
      </c>
      <c r="H203" s="27">
        <f>G203+'[2]BM 01'!H203</f>
        <v>0</v>
      </c>
      <c r="I203" s="28">
        <f t="shared" si="49"/>
        <v>629.15</v>
      </c>
      <c r="J203" s="28">
        <f t="shared" si="49"/>
        <v>0</v>
      </c>
      <c r="K203" s="28">
        <f t="shared" si="49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02'!K197</f>
        <v>0</v>
      </c>
      <c r="H204" s="27">
        <f>G204+'[2]BM 01'!H204</f>
        <v>0</v>
      </c>
      <c r="I204" s="28">
        <f t="shared" si="49"/>
        <v>2589.1000000000004</v>
      </c>
      <c r="J204" s="28">
        <f t="shared" si="49"/>
        <v>0</v>
      </c>
      <c r="K204" s="28">
        <f t="shared" si="49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02'!K198</f>
        <v>0</v>
      </c>
      <c r="H205" s="27">
        <f>G205+'[2]BM 01'!H205</f>
        <v>0</v>
      </c>
      <c r="I205" s="28">
        <f t="shared" si="49"/>
        <v>388.8</v>
      </c>
      <c r="J205" s="28">
        <f t="shared" si="49"/>
        <v>0</v>
      </c>
      <c r="K205" s="28">
        <f t="shared" si="49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02'!K200</f>
        <v>0</v>
      </c>
      <c r="H207" s="27">
        <f>G207+'[2]BM 01'!H207</f>
        <v>0</v>
      </c>
      <c r="I207" s="28">
        <f t="shared" ref="I207:K211" si="50">$E207*F207</f>
        <v>2723.04</v>
      </c>
      <c r="J207" s="28">
        <f t="shared" si="50"/>
        <v>0</v>
      </c>
      <c r="K207" s="28">
        <f t="shared" si="50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02'!K201</f>
        <v>0</v>
      </c>
      <c r="H208" s="27">
        <f>G208+'[2]BM 01'!H208</f>
        <v>0</v>
      </c>
      <c r="I208" s="28">
        <f t="shared" si="50"/>
        <v>1292.912</v>
      </c>
      <c r="J208" s="28">
        <f t="shared" si="50"/>
        <v>0</v>
      </c>
      <c r="K208" s="28">
        <f t="shared" si="50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02'!K202</f>
        <v>0</v>
      </c>
      <c r="H209" s="27">
        <f>G209+'[2]BM 01'!H209</f>
        <v>0</v>
      </c>
      <c r="I209" s="28">
        <f t="shared" si="50"/>
        <v>1579.8999999999999</v>
      </c>
      <c r="J209" s="28">
        <f t="shared" si="50"/>
        <v>0</v>
      </c>
      <c r="K209" s="28">
        <f t="shared" si="50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02'!K203</f>
        <v>0</v>
      </c>
      <c r="H210" s="27">
        <f>G210+'[2]BM 01'!H210</f>
        <v>0</v>
      </c>
      <c r="I210" s="28">
        <f t="shared" si="50"/>
        <v>7371.21</v>
      </c>
      <c r="J210" s="28">
        <f t="shared" si="50"/>
        <v>0</v>
      </c>
      <c r="K210" s="28">
        <f t="shared" si="50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02'!K204</f>
        <v>0</v>
      </c>
      <c r="H211" s="27">
        <f>G211+'[2]BM 01'!H211</f>
        <v>0</v>
      </c>
      <c r="I211" s="28">
        <f t="shared" si="50"/>
        <v>5894.83</v>
      </c>
      <c r="J211" s="28">
        <f t="shared" si="50"/>
        <v>0</v>
      </c>
      <c r="K211" s="28">
        <f t="shared" si="50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02'!K206</f>
        <v>0</v>
      </c>
      <c r="H213" s="27">
        <f>G213+'[2]BM 01'!H213</f>
        <v>0</v>
      </c>
      <c r="I213" s="28">
        <f>$E213*F213</f>
        <v>957.6</v>
      </c>
      <c r="J213" s="28">
        <f t="shared" ref="J213:K215" si="51">$E213*G213</f>
        <v>0</v>
      </c>
      <c r="K213" s="28">
        <f t="shared" si="51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02'!K207</f>
        <v>0</v>
      </c>
      <c r="H214" s="27">
        <f>G214+'[2]BM 01'!H214</f>
        <v>0</v>
      </c>
      <c r="I214" s="28">
        <f t="shared" ref="I214:I215" si="52">$E214*F214</f>
        <v>54.36</v>
      </c>
      <c r="J214" s="28">
        <f t="shared" si="51"/>
        <v>0</v>
      </c>
      <c r="K214" s="28">
        <f t="shared" si="51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02'!K208</f>
        <v>0</v>
      </c>
      <c r="H215" s="27">
        <f>G215+'[2]BM 01'!H215</f>
        <v>0</v>
      </c>
      <c r="I215" s="28">
        <f t="shared" si="52"/>
        <v>489.79999999999995</v>
      </c>
      <c r="J215" s="28">
        <f t="shared" si="51"/>
        <v>0</v>
      </c>
      <c r="K215" s="28">
        <f t="shared" si="51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02'!K210</f>
        <v>0</v>
      </c>
      <c r="H217" s="27">
        <f>G217+'[2]BM 01'!H217</f>
        <v>0</v>
      </c>
      <c r="I217" s="28">
        <f>$E217*F217</f>
        <v>250.53</v>
      </c>
      <c r="J217" s="28">
        <f t="shared" ref="J217:K222" si="53">$E217*G217</f>
        <v>0</v>
      </c>
      <c r="K217" s="28">
        <f t="shared" si="53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02'!K211</f>
        <v>0</v>
      </c>
      <c r="H218" s="27">
        <f>G218+'[2]BM 01'!H218</f>
        <v>0</v>
      </c>
      <c r="I218" s="28">
        <f t="shared" ref="I218:I222" si="54">$E218*F218</f>
        <v>29.96</v>
      </c>
      <c r="J218" s="28">
        <f t="shared" si="53"/>
        <v>0</v>
      </c>
      <c r="K218" s="28">
        <f t="shared" si="53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02'!K212</f>
        <v>0</v>
      </c>
      <c r="H219" s="27">
        <f>G219+'[2]BM 01'!H219</f>
        <v>0</v>
      </c>
      <c r="I219" s="28">
        <f t="shared" si="54"/>
        <v>35.880000000000003</v>
      </c>
      <c r="J219" s="28">
        <f t="shared" si="53"/>
        <v>0</v>
      </c>
      <c r="K219" s="28">
        <f t="shared" si="53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02'!K213</f>
        <v>0</v>
      </c>
      <c r="H220" s="27">
        <f>G220+'[2]BM 01'!H220</f>
        <v>0</v>
      </c>
      <c r="I220" s="28">
        <f t="shared" si="54"/>
        <v>58.95</v>
      </c>
      <c r="J220" s="28">
        <f t="shared" si="53"/>
        <v>0</v>
      </c>
      <c r="K220" s="28">
        <f t="shared" si="53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02'!K214</f>
        <v>0</v>
      </c>
      <c r="H221" s="27">
        <f>G221+'[2]BM 01'!H221</f>
        <v>0</v>
      </c>
      <c r="I221" s="28">
        <f t="shared" si="54"/>
        <v>158.19999999999999</v>
      </c>
      <c r="J221" s="28">
        <f t="shared" si="53"/>
        <v>0</v>
      </c>
      <c r="K221" s="28">
        <f t="shared" si="53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02'!K215</f>
        <v>0</v>
      </c>
      <c r="H222" s="27">
        <f>G222+'[2]BM 01'!H222</f>
        <v>0</v>
      </c>
      <c r="I222" s="28">
        <f t="shared" si="54"/>
        <v>31.64</v>
      </c>
      <c r="J222" s="28">
        <f t="shared" si="53"/>
        <v>0</v>
      </c>
      <c r="K222" s="28">
        <f t="shared" si="53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02'!K217</f>
        <v>0</v>
      </c>
      <c r="H224" s="27">
        <f>G224+'[2]BM 01'!H224</f>
        <v>0</v>
      </c>
      <c r="I224" s="28">
        <f>$E224*F224</f>
        <v>324.92</v>
      </c>
      <c r="J224" s="28">
        <f t="shared" ref="J224:K228" si="55">$E224*G224</f>
        <v>0</v>
      </c>
      <c r="K224" s="28">
        <f t="shared" si="55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02'!K218</f>
        <v>0</v>
      </c>
      <c r="H225" s="27">
        <f>G225+'[2]BM 01'!H225</f>
        <v>0</v>
      </c>
      <c r="I225" s="28">
        <f t="shared" ref="I225:I228" si="56">$E225*F225</f>
        <v>167.37</v>
      </c>
      <c r="J225" s="28">
        <f t="shared" si="55"/>
        <v>0</v>
      </c>
      <c r="K225" s="28">
        <f t="shared" si="55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02'!K219</f>
        <v>0</v>
      </c>
      <c r="H226" s="27">
        <f>G226+'[2]BM 01'!H226</f>
        <v>0</v>
      </c>
      <c r="I226" s="28">
        <f t="shared" si="56"/>
        <v>624.68500000000006</v>
      </c>
      <c r="J226" s="28">
        <f t="shared" si="55"/>
        <v>0</v>
      </c>
      <c r="K226" s="28">
        <f t="shared" si="55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02'!K220</f>
        <v>0</v>
      </c>
      <c r="H227" s="27">
        <f>G227+'[2]BM 01'!H227</f>
        <v>0</v>
      </c>
      <c r="I227" s="28">
        <f t="shared" si="56"/>
        <v>200.67060000000001</v>
      </c>
      <c r="J227" s="28">
        <f t="shared" si="55"/>
        <v>0</v>
      </c>
      <c r="K227" s="28">
        <f t="shared" si="55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02'!K221</f>
        <v>0</v>
      </c>
      <c r="H228" s="27">
        <f>G228+'[2]BM 01'!H228</f>
        <v>0</v>
      </c>
      <c r="I228" s="28">
        <f t="shared" si="56"/>
        <v>40.371600000000001</v>
      </c>
      <c r="J228" s="28">
        <f t="shared" si="55"/>
        <v>0</v>
      </c>
      <c r="K228" s="28">
        <f t="shared" si="55"/>
        <v>0</v>
      </c>
      <c r="L228" s="4"/>
    </row>
    <row r="229" spans="2:12" s="5" customFormat="1" ht="15">
      <c r="B229" s="117" t="s">
        <v>439</v>
      </c>
      <c r="C229" s="118"/>
      <c r="D229" s="118"/>
      <c r="E229" s="118"/>
      <c r="F229" s="118"/>
      <c r="G229" s="118"/>
      <c r="H229" s="119"/>
      <c r="I229" s="66">
        <f>SUM(I223+I216+I212+I155+I105+I86+I56+I52+I48+I32+I25+I20+I11)</f>
        <v>565955.96719999996</v>
      </c>
      <c r="J229" s="66">
        <f>SUM(J223+J216+J212+J155+J105+J86+J56+J52+J48+J32+J20+J11)</f>
        <v>53017.247212500006</v>
      </c>
      <c r="K229" s="66">
        <f>SUM(K223+K216+K212+K155+K105+K86+K56+K52+K48+K32+K25+K20+K11)</f>
        <v>58315.137212500005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  <c r="J232" s="71">
        <f>K229/I229</f>
        <v>0.10303829377576357</v>
      </c>
    </row>
  </sheetData>
  <mergeCells count="19"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  <mergeCell ref="B5:C5"/>
    <mergeCell ref="D5:H5"/>
    <mergeCell ref="I5:K5"/>
    <mergeCell ref="B2:K2"/>
    <mergeCell ref="B3:K3"/>
    <mergeCell ref="B4:C4"/>
    <mergeCell ref="D4:H4"/>
    <mergeCell ref="I4:K4"/>
  </mergeCells>
  <conditionalFormatting sqref="B11:K83 B84:C84">
    <cfRule type="expression" dxfId="35" priority="3">
      <formula>LEN($B11)=1</formula>
    </cfRule>
  </conditionalFormatting>
  <conditionalFormatting sqref="B85:K228">
    <cfRule type="expression" dxfId="34" priority="1">
      <formula>LEN($B85)=1</formula>
    </cfRule>
  </conditionalFormatting>
  <conditionalFormatting sqref="E84:K84">
    <cfRule type="expression" dxfId="33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12DDD-691D-4D36-998A-EBA334DE9AA8}">
  <sheetPr>
    <pageSetUpPr fitToPage="1"/>
  </sheetPr>
  <dimension ref="A2:AN222"/>
  <sheetViews>
    <sheetView view="pageBreakPreview" topLeftCell="A57" zoomScale="70" zoomScaleNormal="100" zoomScaleSheetLayoutView="70" workbookViewId="0">
      <selection activeCell="K46" sqref="K46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9" width="9.140625" style="95"/>
    <col min="10" max="10" width="64.28515625" style="95" customWidth="1"/>
    <col min="11" max="16384" width="9.140625" style="5"/>
  </cols>
  <sheetData>
    <row r="2" spans="1:40" ht="15">
      <c r="A2" s="136" t="s">
        <v>477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40" ht="15">
      <c r="A3" s="73" t="s">
        <v>15</v>
      </c>
      <c r="B3" s="74" t="s">
        <v>441</v>
      </c>
      <c r="C3" s="73" t="s">
        <v>17</v>
      </c>
      <c r="D3" s="138" t="s">
        <v>442</v>
      </c>
      <c r="E3" s="138"/>
      <c r="F3" s="138"/>
      <c r="G3" s="138"/>
      <c r="H3" s="138"/>
      <c r="I3" s="138"/>
      <c r="J3" s="138"/>
    </row>
    <row r="4" spans="1:40">
      <c r="A4" s="75">
        <v>1</v>
      </c>
      <c r="B4" s="76" t="s">
        <v>443</v>
      </c>
      <c r="C4" s="77"/>
      <c r="D4" s="133"/>
      <c r="E4" s="133"/>
      <c r="F4" s="133"/>
      <c r="G4" s="133"/>
      <c r="H4" s="133"/>
      <c r="I4" s="133"/>
      <c r="J4" s="133"/>
    </row>
    <row r="5" spans="1:40">
      <c r="A5" s="78" t="s">
        <v>25</v>
      </c>
      <c r="B5" s="79" t="s">
        <v>26</v>
      </c>
      <c r="C5" s="80" t="s">
        <v>27</v>
      </c>
      <c r="D5" s="133" t="s">
        <v>444</v>
      </c>
      <c r="E5" s="133"/>
      <c r="F5" s="133"/>
      <c r="G5" s="133"/>
      <c r="H5" s="133"/>
      <c r="I5" s="133"/>
      <c r="J5" s="133"/>
    </row>
    <row r="6" spans="1:40" ht="42.75">
      <c r="A6" s="78" t="s">
        <v>28</v>
      </c>
      <c r="B6" s="79" t="s">
        <v>29</v>
      </c>
      <c r="C6" s="80" t="s">
        <v>27</v>
      </c>
      <c r="D6" s="133" t="s">
        <v>445</v>
      </c>
      <c r="E6" s="133"/>
      <c r="F6" s="133"/>
      <c r="G6" s="133"/>
      <c r="H6" s="133"/>
      <c r="I6" s="133"/>
      <c r="J6" s="133"/>
    </row>
    <row r="7" spans="1:40" ht="28.5">
      <c r="A7" s="78" t="s">
        <v>30</v>
      </c>
      <c r="B7" s="81" t="s">
        <v>446</v>
      </c>
      <c r="C7" s="80" t="s">
        <v>27</v>
      </c>
      <c r="D7" s="133" t="s">
        <v>478</v>
      </c>
      <c r="E7" s="133"/>
      <c r="F7" s="133"/>
      <c r="G7" s="133"/>
      <c r="H7" s="133"/>
      <c r="I7" s="133"/>
      <c r="J7" s="133"/>
      <c r="K7" s="5">
        <f>24.3*2</f>
        <v>48.6</v>
      </c>
    </row>
    <row r="8" spans="1:40" ht="28.5">
      <c r="A8" s="78" t="s">
        <v>32</v>
      </c>
      <c r="B8" s="81" t="s">
        <v>447</v>
      </c>
      <c r="C8" s="80" t="s">
        <v>27</v>
      </c>
      <c r="D8" s="133" t="s">
        <v>479</v>
      </c>
      <c r="E8" s="133"/>
      <c r="F8" s="133"/>
      <c r="G8" s="133"/>
      <c r="H8" s="133"/>
      <c r="I8" s="133"/>
      <c r="J8" s="133"/>
      <c r="K8" s="5">
        <f>'[2]BM 02'!F15</f>
        <v>829.73</v>
      </c>
    </row>
    <row r="9" spans="1:40" ht="28.5">
      <c r="A9" s="78" t="s">
        <v>34</v>
      </c>
      <c r="B9" s="79" t="s">
        <v>35</v>
      </c>
      <c r="C9" s="80" t="s">
        <v>36</v>
      </c>
      <c r="D9" s="133" t="s">
        <v>480</v>
      </c>
      <c r="E9" s="133"/>
      <c r="F9" s="133"/>
      <c r="G9" s="133"/>
      <c r="H9" s="133"/>
      <c r="I9" s="133"/>
      <c r="J9" s="133"/>
      <c r="K9" s="5">
        <v>1</v>
      </c>
    </row>
    <row r="10" spans="1:40" ht="15">
      <c r="A10" s="78" t="s">
        <v>37</v>
      </c>
      <c r="B10" s="79" t="s">
        <v>38</v>
      </c>
      <c r="C10" s="80" t="s">
        <v>36</v>
      </c>
      <c r="D10" s="133" t="s">
        <v>480</v>
      </c>
      <c r="E10" s="133"/>
      <c r="F10" s="133"/>
      <c r="G10" s="133"/>
      <c r="H10" s="133"/>
      <c r="I10" s="133"/>
      <c r="J10" s="133"/>
      <c r="K10" s="5">
        <v>1</v>
      </c>
    </row>
    <row r="11" spans="1:40" ht="28.5">
      <c r="A11" s="78" t="s">
        <v>39</v>
      </c>
      <c r="B11" s="81" t="s">
        <v>40</v>
      </c>
      <c r="C11" s="80" t="s">
        <v>27</v>
      </c>
      <c r="D11" s="133" t="s">
        <v>481</v>
      </c>
      <c r="E11" s="133"/>
      <c r="F11" s="133"/>
      <c r="G11" s="133"/>
      <c r="H11" s="133"/>
      <c r="I11" s="133"/>
      <c r="J11" s="133"/>
      <c r="K11" s="5">
        <v>10</v>
      </c>
    </row>
    <row r="12" spans="1:40" ht="42.75">
      <c r="A12" s="78" t="s">
        <v>41</v>
      </c>
      <c r="B12" s="81" t="s">
        <v>448</v>
      </c>
      <c r="C12" s="80" t="s">
        <v>27</v>
      </c>
      <c r="D12" s="133" t="s">
        <v>482</v>
      </c>
      <c r="E12" s="133"/>
      <c r="F12" s="133"/>
      <c r="G12" s="133"/>
      <c r="H12" s="133"/>
      <c r="I12" s="133"/>
      <c r="J12" s="133"/>
      <c r="K12" s="5">
        <v>40</v>
      </c>
    </row>
    <row r="13" spans="1:40">
      <c r="A13" s="75">
        <v>2</v>
      </c>
      <c r="B13" s="76" t="str">
        <f>[3]Planilha!$B$21</f>
        <v>MOVIMENTO DE TERRA</v>
      </c>
      <c r="C13" s="77"/>
      <c r="D13" s="133"/>
      <c r="E13" s="133"/>
      <c r="F13" s="133"/>
      <c r="G13" s="133"/>
      <c r="H13" s="133"/>
      <c r="I13" s="133"/>
      <c r="J13" s="133"/>
    </row>
    <row r="14" spans="1:40" ht="156.75" customHeight="1">
      <c r="A14" s="78" t="s">
        <v>43</v>
      </c>
      <c r="B14" s="81" t="s">
        <v>44</v>
      </c>
      <c r="C14" s="80" t="s">
        <v>45</v>
      </c>
      <c r="D14" s="139" t="s">
        <v>483</v>
      </c>
      <c r="E14" s="140"/>
      <c r="F14" s="140"/>
      <c r="G14" s="140"/>
      <c r="H14" s="140"/>
      <c r="I14" s="140"/>
      <c r="J14" s="141"/>
      <c r="K14" s="97">
        <f>(L14+M14+N14+O14+P14+Q14+R14+S14+T14+U14)</f>
        <v>35.21125</v>
      </c>
      <c r="L14" s="98">
        <f>1.15*1.05*7*0.85</f>
        <v>7.1846250000000005</v>
      </c>
      <c r="M14" s="5">
        <f>1*0.9*6*0.85</f>
        <v>4.59</v>
      </c>
      <c r="N14" s="97">
        <f>1.25*1.15*2*0.85</f>
        <v>2.4437500000000001</v>
      </c>
      <c r="O14" s="99">
        <f>1.05*0.95*3*0.85</f>
        <v>2.5436249999999996</v>
      </c>
      <c r="P14" s="99">
        <f>0.95*0.85*6*0.85</f>
        <v>4.1182499999999997</v>
      </c>
      <c r="Q14" s="99">
        <f>0.7*0.6*2*0.85</f>
        <v>0.71399999999999997</v>
      </c>
      <c r="R14" s="99">
        <f>0.9*0.8*12*0.85</f>
        <v>7.3440000000000003</v>
      </c>
      <c r="S14" s="99">
        <f>1*1.1*5*0.85</f>
        <v>4.6749999999999998</v>
      </c>
      <c r="T14" s="97">
        <f>1.2*1.1*1*0.85</f>
        <v>1.1220000000000001</v>
      </c>
      <c r="U14" s="99">
        <f>0.8*0.7*0.85</f>
        <v>0.47599999999999992</v>
      </c>
    </row>
    <row r="15" spans="1:40" ht="397.5" customHeight="1">
      <c r="A15" s="78" t="s">
        <v>46</v>
      </c>
      <c r="B15" s="81" t="s">
        <v>47</v>
      </c>
      <c r="C15" s="80" t="s">
        <v>45</v>
      </c>
      <c r="D15" s="142" t="s">
        <v>484</v>
      </c>
      <c r="E15" s="143"/>
      <c r="F15" s="143"/>
      <c r="G15" s="143"/>
      <c r="H15" s="143"/>
      <c r="I15" s="143"/>
      <c r="J15" s="144"/>
      <c r="K15" s="97">
        <f>K14-V15-K27-AN15</f>
        <v>21.821000000000002</v>
      </c>
      <c r="L15" s="5">
        <f>7*0.29</f>
        <v>2.0299999999999998</v>
      </c>
      <c r="M15" s="5">
        <f>1*0.9*0.25*6</f>
        <v>1.35</v>
      </c>
      <c r="N15" s="97">
        <f>0.373*2</f>
        <v>0.746</v>
      </c>
      <c r="O15" s="97">
        <f>1.05*0.95*0.25*3</f>
        <v>0.74812499999999993</v>
      </c>
      <c r="P15" s="5">
        <f>0.32</f>
        <v>0.32</v>
      </c>
      <c r="Q15" s="5">
        <f>0.8*0.7*0.25</f>
        <v>0.13999999999999999</v>
      </c>
      <c r="R15" s="97">
        <f>0.95*0.85*0.25*6</f>
        <v>1.2112499999999999</v>
      </c>
      <c r="S15" s="5">
        <f>0.7*0.6*0.25*2</f>
        <v>0.21</v>
      </c>
      <c r="T15" s="5">
        <f>0.9*0.8*0.25*12</f>
        <v>2.16</v>
      </c>
      <c r="U15" s="97">
        <f>0.265*5</f>
        <v>1.3250000000000002</v>
      </c>
      <c r="V15" s="97">
        <f>L15+M15+N15+O15+P15+Q15+R15+S15+T15+U15</f>
        <v>10.240375</v>
      </c>
      <c r="W15" s="97">
        <f>0.25*0.2*0.5</f>
        <v>2.5000000000000001E-2</v>
      </c>
      <c r="X15" s="97">
        <f>0.2*0.3*0.5*2</f>
        <v>0.06</v>
      </c>
      <c r="Y15" s="97">
        <f>0.15*0.25*0.5*4</f>
        <v>7.4999999999999997E-2</v>
      </c>
      <c r="Z15" s="97">
        <f>0.2*0.3*0.5*2</f>
        <v>0.06</v>
      </c>
      <c r="AA15" s="97">
        <f>0.15*0.25*0.55*5</f>
        <v>0.10312500000000001</v>
      </c>
      <c r="AB15" s="97">
        <f>0.2*0.3*0.55</f>
        <v>3.3000000000000002E-2</v>
      </c>
      <c r="AC15" s="99">
        <f>0.15*0.25*0.45</f>
        <v>1.6875000000000001E-2</v>
      </c>
      <c r="AD15" s="99">
        <f>0.2*0.3*0.45</f>
        <v>2.7E-2</v>
      </c>
      <c r="AE15" s="97">
        <f>0.15*0.3*0.55*2</f>
        <v>4.9500000000000002E-2</v>
      </c>
      <c r="AF15" s="97">
        <f>0.2*0.3*0.55</f>
        <v>3.3000000000000002E-2</v>
      </c>
      <c r="AG15" s="99">
        <f>0.2*0.3*0.55</f>
        <v>3.3000000000000002E-2</v>
      </c>
      <c r="AH15" s="5">
        <f>0.2*0.3*0.5</f>
        <v>0.03</v>
      </c>
      <c r="AI15" s="97">
        <f>0.15*0.25*0.55</f>
        <v>2.0625000000000001E-2</v>
      </c>
      <c r="AJ15" s="97">
        <f>0.15*0.25*0.55*8</f>
        <v>0.16500000000000001</v>
      </c>
      <c r="AK15" s="97">
        <f>0.15*0.25*0.55*12</f>
        <v>0.2475</v>
      </c>
      <c r="AL15" s="97">
        <f>0.15*0.25*0.5*4</f>
        <v>7.4999999999999997E-2</v>
      </c>
      <c r="AM15" s="97">
        <f>0.2*0.25*0.5</f>
        <v>2.5000000000000001E-2</v>
      </c>
      <c r="AN15" s="97">
        <f>W15+Y15+Z15+AA15+AB15+AC15+AD15+AF15+AE15+AG15+AH15+AI15+AJ15+AK15+AL15+AM15+X15</f>
        <v>1.0786249999999999</v>
      </c>
    </row>
    <row r="16" spans="1:40" ht="28.5">
      <c r="A16" s="78" t="s">
        <v>48</v>
      </c>
      <c r="B16" s="81" t="s">
        <v>49</v>
      </c>
      <c r="C16" s="80" t="s">
        <v>45</v>
      </c>
      <c r="D16" s="133" t="s">
        <v>485</v>
      </c>
      <c r="E16" s="133"/>
      <c r="F16" s="133"/>
      <c r="G16" s="133"/>
      <c r="H16" s="133"/>
      <c r="I16" s="133"/>
      <c r="J16" s="133"/>
    </row>
    <row r="17" spans="1:22" ht="28.5">
      <c r="A17" s="78" t="s">
        <v>50</v>
      </c>
      <c r="B17" s="81" t="s">
        <v>449</v>
      </c>
      <c r="C17" s="80" t="s">
        <v>45</v>
      </c>
      <c r="D17" s="133" t="s">
        <v>485</v>
      </c>
      <c r="E17" s="133"/>
      <c r="F17" s="133"/>
      <c r="G17" s="133"/>
      <c r="H17" s="133"/>
      <c r="I17" s="133"/>
      <c r="J17" s="133"/>
    </row>
    <row r="18" spans="1:22">
      <c r="A18" s="75">
        <v>3</v>
      </c>
      <c r="B18" s="76" t="str">
        <f>[3]Planilha!$B$26</f>
        <v>COBERTURA</v>
      </c>
      <c r="C18" s="77"/>
      <c r="D18" s="133"/>
      <c r="E18" s="133"/>
      <c r="F18" s="133"/>
      <c r="G18" s="133"/>
      <c r="H18" s="133"/>
      <c r="I18" s="133"/>
      <c r="J18" s="133"/>
    </row>
    <row r="19" spans="1:22" ht="28.5">
      <c r="A19" s="78" t="s">
        <v>52</v>
      </c>
      <c r="B19" s="81" t="s">
        <v>53</v>
      </c>
      <c r="C19" s="80" t="s">
        <v>27</v>
      </c>
      <c r="D19" s="133"/>
      <c r="E19" s="133"/>
      <c r="F19" s="133"/>
      <c r="G19" s="133"/>
      <c r="H19" s="133"/>
      <c r="I19" s="133"/>
      <c r="J19" s="133"/>
    </row>
    <row r="20" spans="1:22" ht="28.5">
      <c r="A20" s="78" t="s">
        <v>54</v>
      </c>
      <c r="B20" s="81" t="s">
        <v>55</v>
      </c>
      <c r="C20" s="80" t="s">
        <v>27</v>
      </c>
      <c r="D20" s="133"/>
      <c r="E20" s="133"/>
      <c r="F20" s="133"/>
      <c r="G20" s="133"/>
      <c r="H20" s="133"/>
      <c r="I20" s="133"/>
      <c r="J20" s="133"/>
    </row>
    <row r="21" spans="1:22">
      <c r="A21" s="78" t="s">
        <v>56</v>
      </c>
      <c r="B21" s="79" t="s">
        <v>57</v>
      </c>
      <c r="C21" s="80" t="s">
        <v>27</v>
      </c>
      <c r="D21" s="133"/>
      <c r="E21" s="133"/>
      <c r="F21" s="133"/>
      <c r="G21" s="133"/>
      <c r="H21" s="133"/>
      <c r="I21" s="133"/>
      <c r="J21" s="133"/>
    </row>
    <row r="22" spans="1:22" ht="28.5">
      <c r="A22" s="78" t="s">
        <v>58</v>
      </c>
      <c r="B22" s="81" t="s">
        <v>450</v>
      </c>
      <c r="C22" s="80" t="s">
        <v>60</v>
      </c>
      <c r="D22" s="133"/>
      <c r="E22" s="133"/>
      <c r="F22" s="133"/>
      <c r="G22" s="133"/>
      <c r="H22" s="133"/>
      <c r="I22" s="133"/>
      <c r="J22" s="133"/>
    </row>
    <row r="23" spans="1:22" ht="28.5">
      <c r="A23" s="78" t="s">
        <v>61</v>
      </c>
      <c r="B23" s="81" t="s">
        <v>62</v>
      </c>
      <c r="C23" s="80" t="s">
        <v>60</v>
      </c>
      <c r="D23" s="133"/>
      <c r="E23" s="133"/>
      <c r="F23" s="133"/>
      <c r="G23" s="133"/>
      <c r="H23" s="133"/>
      <c r="I23" s="133"/>
      <c r="J23" s="133"/>
    </row>
    <row r="24" spans="1:22" ht="28.5">
      <c r="A24" s="78" t="s">
        <v>63</v>
      </c>
      <c r="B24" s="81" t="s">
        <v>64</v>
      </c>
      <c r="C24" s="80" t="s">
        <v>60</v>
      </c>
      <c r="D24" s="133"/>
      <c r="E24" s="133"/>
      <c r="F24" s="133"/>
      <c r="G24" s="133"/>
      <c r="H24" s="133"/>
      <c r="I24" s="133"/>
      <c r="J24" s="133"/>
    </row>
    <row r="25" spans="1:22">
      <c r="A25" s="75">
        <v>4</v>
      </c>
      <c r="B25" s="76" t="s">
        <v>65</v>
      </c>
      <c r="C25" s="77"/>
      <c r="D25" s="133"/>
      <c r="E25" s="133"/>
      <c r="F25" s="133"/>
      <c r="G25" s="133"/>
      <c r="H25" s="133"/>
      <c r="I25" s="133"/>
      <c r="J25" s="133"/>
    </row>
    <row r="26" spans="1:22" ht="15">
      <c r="A26" s="73" t="s">
        <v>66</v>
      </c>
      <c r="B26" s="82" t="s">
        <v>451</v>
      </c>
      <c r="C26" s="74"/>
      <c r="D26" s="133"/>
      <c r="E26" s="133"/>
      <c r="F26" s="133"/>
      <c r="G26" s="133"/>
      <c r="H26" s="133"/>
      <c r="I26" s="133"/>
      <c r="J26" s="133"/>
    </row>
    <row r="27" spans="1:22" ht="186" customHeight="1">
      <c r="A27" s="78" t="s">
        <v>67</v>
      </c>
      <c r="B27" s="100" t="s">
        <v>68</v>
      </c>
      <c r="C27" s="101" t="s">
        <v>45</v>
      </c>
      <c r="D27" s="145" t="s">
        <v>486</v>
      </c>
      <c r="E27" s="146"/>
      <c r="F27" s="146"/>
      <c r="G27" s="146"/>
      <c r="H27" s="146"/>
      <c r="I27" s="146"/>
      <c r="J27" s="147"/>
      <c r="K27" s="97">
        <f>(L27+M27+N27+O27+P27+Q27+R27+S27+T27+U27)</f>
        <v>2.07125</v>
      </c>
      <c r="L27" s="98">
        <f>1.15*1.05*7*0.05</f>
        <v>0.42262500000000003</v>
      </c>
      <c r="M27" s="5">
        <f>1*0.9*6*0.05</f>
        <v>0.27</v>
      </c>
      <c r="N27" s="97">
        <f>1.25*1.15*2*0.05</f>
        <v>0.14375000000000002</v>
      </c>
      <c r="O27" s="99">
        <f>1.05*0.95*3*0.05</f>
        <v>0.14962499999999998</v>
      </c>
      <c r="P27" s="99">
        <f>0.95*0.85*6*0.05</f>
        <v>0.24224999999999999</v>
      </c>
      <c r="Q27" s="99">
        <f>0.7*0.6*2*0.05</f>
        <v>4.2000000000000003E-2</v>
      </c>
      <c r="R27" s="99">
        <f>0.9*0.8*12*0.05</f>
        <v>0.43200000000000005</v>
      </c>
      <c r="S27" s="99">
        <f>1*1.1*5*0.05</f>
        <v>0.27500000000000002</v>
      </c>
      <c r="T27" s="97">
        <f>1.2*1.1*1*0.05</f>
        <v>6.6000000000000003E-2</v>
      </c>
      <c r="U27" s="99">
        <f>0.8*0.7*0.05</f>
        <v>2.7999999999999997E-2</v>
      </c>
      <c r="V27" s="99"/>
    </row>
    <row r="28" spans="1:22" ht="47.25" customHeight="1">
      <c r="A28" s="78" t="s">
        <v>69</v>
      </c>
      <c r="B28" s="100" t="s">
        <v>70</v>
      </c>
      <c r="C28" s="101" t="s">
        <v>27</v>
      </c>
      <c r="D28" s="145" t="s">
        <v>487</v>
      </c>
      <c r="E28" s="146"/>
      <c r="F28" s="146"/>
      <c r="G28" s="146"/>
      <c r="H28" s="146"/>
      <c r="I28" s="146"/>
      <c r="J28" s="147"/>
      <c r="K28" s="5">
        <f>212.53</f>
        <v>212.53</v>
      </c>
    </row>
    <row r="29" spans="1:22" ht="55.5" customHeight="1">
      <c r="A29" s="78" t="s">
        <v>71</v>
      </c>
      <c r="B29" s="100" t="s">
        <v>72</v>
      </c>
      <c r="C29" s="101" t="s">
        <v>73</v>
      </c>
      <c r="D29" s="145" t="s">
        <v>488</v>
      </c>
      <c r="E29" s="146"/>
      <c r="F29" s="146"/>
      <c r="G29" s="146"/>
      <c r="H29" s="146"/>
      <c r="I29" s="146"/>
      <c r="J29" s="147"/>
      <c r="K29" s="5">
        <f xml:space="preserve"> 124.9 + 501.1 + 227 + 159.3 + 102</f>
        <v>1114.3</v>
      </c>
    </row>
    <row r="30" spans="1:22" ht="46.5" customHeight="1">
      <c r="A30" s="78" t="s">
        <v>74</v>
      </c>
      <c r="B30" s="102" t="s">
        <v>75</v>
      </c>
      <c r="C30" s="101" t="s">
        <v>73</v>
      </c>
      <c r="D30" s="148" t="s">
        <v>489</v>
      </c>
      <c r="E30" s="148"/>
      <c r="F30" s="148"/>
      <c r="G30" s="148"/>
      <c r="H30" s="148"/>
      <c r="I30" s="148"/>
      <c r="J30" s="148"/>
      <c r="K30" s="5">
        <f>225.7</f>
        <v>225.7</v>
      </c>
      <c r="M30" s="5">
        <f>K30*0.9</f>
        <v>203.13</v>
      </c>
    </row>
    <row r="31" spans="1:22" ht="45.75" customHeight="1">
      <c r="A31" s="78" t="s">
        <v>76</v>
      </c>
      <c r="B31" s="100" t="s">
        <v>77</v>
      </c>
      <c r="C31" s="101" t="s">
        <v>45</v>
      </c>
      <c r="D31" s="148" t="s">
        <v>490</v>
      </c>
      <c r="E31" s="148"/>
      <c r="F31" s="148"/>
      <c r="G31" s="148"/>
      <c r="H31" s="148"/>
      <c r="I31" s="148"/>
      <c r="J31" s="148"/>
      <c r="K31" s="5">
        <f>20</f>
        <v>20</v>
      </c>
    </row>
    <row r="32" spans="1:22" ht="15">
      <c r="A32" s="73" t="s">
        <v>78</v>
      </c>
      <c r="B32" s="82" t="s">
        <v>65</v>
      </c>
      <c r="C32" s="74"/>
      <c r="D32" s="133"/>
      <c r="E32" s="133"/>
      <c r="F32" s="133"/>
      <c r="G32" s="133"/>
      <c r="H32" s="133"/>
      <c r="I32" s="133"/>
      <c r="J32" s="133"/>
    </row>
    <row r="33" spans="1:12" ht="57">
      <c r="A33" s="78" t="s">
        <v>79</v>
      </c>
      <c r="B33" s="83" t="s">
        <v>80</v>
      </c>
      <c r="C33" s="80" t="s">
        <v>27</v>
      </c>
      <c r="D33" s="133"/>
      <c r="E33" s="133"/>
      <c r="F33" s="133"/>
      <c r="G33" s="133"/>
      <c r="H33" s="133"/>
      <c r="I33" s="133"/>
      <c r="J33" s="133"/>
    </row>
    <row r="34" spans="1:12" ht="28.5">
      <c r="A34" s="78" t="s">
        <v>81</v>
      </c>
      <c r="B34" s="83" t="s">
        <v>72</v>
      </c>
      <c r="C34" s="80" t="s">
        <v>73</v>
      </c>
      <c r="D34" s="133"/>
      <c r="E34" s="133"/>
      <c r="F34" s="133"/>
      <c r="G34" s="133"/>
      <c r="H34" s="133"/>
      <c r="I34" s="133"/>
      <c r="J34" s="133"/>
    </row>
    <row r="35" spans="1:12" ht="28.5">
      <c r="A35" s="78" t="s">
        <v>82</v>
      </c>
      <c r="B35" s="84" t="s">
        <v>452</v>
      </c>
      <c r="C35" s="80" t="s">
        <v>73</v>
      </c>
      <c r="D35" s="133"/>
      <c r="E35" s="133"/>
      <c r="F35" s="133"/>
      <c r="G35" s="133"/>
      <c r="H35" s="133"/>
      <c r="I35" s="133"/>
      <c r="J35" s="133"/>
    </row>
    <row r="36" spans="1:12" ht="28.5">
      <c r="A36" s="78" t="s">
        <v>83</v>
      </c>
      <c r="B36" s="83" t="s">
        <v>84</v>
      </c>
      <c r="C36" s="80" t="s">
        <v>45</v>
      </c>
      <c r="D36" s="133"/>
      <c r="E36" s="133"/>
      <c r="F36" s="133"/>
      <c r="G36" s="133"/>
      <c r="H36" s="133"/>
      <c r="I36" s="133"/>
      <c r="J36" s="133"/>
    </row>
    <row r="37" spans="1:12" ht="28.5">
      <c r="A37" s="78" t="s">
        <v>85</v>
      </c>
      <c r="B37" s="84" t="s">
        <v>453</v>
      </c>
      <c r="C37" s="80" t="s">
        <v>45</v>
      </c>
      <c r="D37" s="133"/>
      <c r="E37" s="133"/>
      <c r="F37" s="133"/>
      <c r="G37" s="133"/>
      <c r="H37" s="133"/>
      <c r="I37" s="133"/>
      <c r="J37" s="133"/>
    </row>
    <row r="38" spans="1:12" ht="42.75">
      <c r="A38" s="78" t="s">
        <v>87</v>
      </c>
      <c r="B38" s="84" t="s">
        <v>88</v>
      </c>
      <c r="C38" s="80" t="s">
        <v>27</v>
      </c>
      <c r="D38" s="133"/>
      <c r="E38" s="133"/>
      <c r="F38" s="133"/>
      <c r="G38" s="133"/>
      <c r="H38" s="133"/>
      <c r="I38" s="133"/>
      <c r="J38" s="133"/>
    </row>
    <row r="39" spans="1:12" ht="42.75">
      <c r="A39" s="78" t="s">
        <v>89</v>
      </c>
      <c r="B39" s="84" t="s">
        <v>90</v>
      </c>
      <c r="C39" s="80" t="s">
        <v>27</v>
      </c>
      <c r="D39" s="133"/>
      <c r="E39" s="133"/>
      <c r="F39" s="133"/>
      <c r="G39" s="133"/>
      <c r="H39" s="133"/>
      <c r="I39" s="133"/>
      <c r="J39" s="133"/>
    </row>
    <row r="40" spans="1:12" ht="42.75">
      <c r="A40" s="78" t="s">
        <v>91</v>
      </c>
      <c r="B40" s="83" t="s">
        <v>92</v>
      </c>
      <c r="C40" s="80" t="s">
        <v>60</v>
      </c>
      <c r="D40" s="133"/>
      <c r="E40" s="133"/>
      <c r="F40" s="133"/>
      <c r="G40" s="133"/>
      <c r="H40" s="133"/>
      <c r="I40" s="133"/>
      <c r="J40" s="133"/>
    </row>
    <row r="41" spans="1:12" ht="15">
      <c r="A41" s="75">
        <v>5</v>
      </c>
      <c r="B41" s="85" t="s">
        <v>93</v>
      </c>
      <c r="C41" s="77"/>
      <c r="D41" s="133"/>
      <c r="E41" s="133"/>
      <c r="F41" s="133"/>
      <c r="G41" s="133"/>
      <c r="H41" s="133"/>
      <c r="I41" s="133"/>
      <c r="J41" s="133"/>
    </row>
    <row r="42" spans="1:12" ht="57">
      <c r="A42" s="86" t="s">
        <v>94</v>
      </c>
      <c r="B42" s="79" t="s">
        <v>95</v>
      </c>
      <c r="C42" s="80" t="s">
        <v>27</v>
      </c>
      <c r="D42" s="133"/>
      <c r="E42" s="133"/>
      <c r="F42" s="133"/>
      <c r="G42" s="133"/>
      <c r="H42" s="133"/>
      <c r="I42" s="133"/>
      <c r="J42" s="133"/>
    </row>
    <row r="43" spans="1:12" ht="15">
      <c r="A43" s="73" t="s">
        <v>96</v>
      </c>
      <c r="B43" s="82" t="s">
        <v>97</v>
      </c>
      <c r="C43" s="74"/>
      <c r="D43" s="133"/>
      <c r="E43" s="133"/>
      <c r="F43" s="133"/>
      <c r="G43" s="133"/>
      <c r="H43" s="133"/>
      <c r="I43" s="133"/>
      <c r="J43" s="133"/>
    </row>
    <row r="44" spans="1:12" ht="28.5">
      <c r="A44" s="86" t="s">
        <v>98</v>
      </c>
      <c r="B44" s="83" t="s">
        <v>99</v>
      </c>
      <c r="C44" s="80" t="s">
        <v>27</v>
      </c>
      <c r="D44" s="133"/>
      <c r="E44" s="133"/>
      <c r="F44" s="133"/>
      <c r="G44" s="133"/>
      <c r="H44" s="133"/>
      <c r="I44" s="133"/>
      <c r="J44" s="133"/>
    </row>
    <row r="45" spans="1:12">
      <c r="A45" s="75">
        <v>6</v>
      </c>
      <c r="B45" s="76" t="s">
        <v>100</v>
      </c>
      <c r="C45" s="77"/>
      <c r="D45" s="133"/>
      <c r="E45" s="133"/>
      <c r="F45" s="133"/>
      <c r="G45" s="133"/>
      <c r="H45" s="133"/>
      <c r="I45" s="133"/>
      <c r="J45" s="133"/>
    </row>
    <row r="46" spans="1:12" ht="89.25" customHeight="1">
      <c r="A46" s="86" t="s">
        <v>101</v>
      </c>
      <c r="B46" s="102" t="s">
        <v>102</v>
      </c>
      <c r="C46" s="87" t="s">
        <v>27</v>
      </c>
      <c r="D46" s="148" t="s">
        <v>491</v>
      </c>
      <c r="E46" s="148"/>
      <c r="F46" s="148"/>
      <c r="G46" s="148"/>
      <c r="H46" s="148"/>
      <c r="I46" s="148"/>
      <c r="J46" s="148"/>
      <c r="K46" s="97">
        <f>L46*0.65</f>
        <v>150.47066666666666</v>
      </c>
      <c r="L46" s="97">
        <f>(20-V15-AN15)/(0.15*0.25)</f>
        <v>231.49333333333331</v>
      </c>
    </row>
    <row r="47" spans="1:12" ht="28.5">
      <c r="A47" s="86" t="s">
        <v>103</v>
      </c>
      <c r="B47" s="81" t="s">
        <v>104</v>
      </c>
      <c r="C47" s="87" t="s">
        <v>27</v>
      </c>
      <c r="D47" s="133"/>
      <c r="E47" s="133"/>
      <c r="F47" s="133"/>
      <c r="G47" s="133"/>
      <c r="H47" s="133"/>
      <c r="I47" s="133"/>
      <c r="J47" s="133"/>
    </row>
    <row r="48" spans="1:12" ht="28.5">
      <c r="A48" s="78" t="s">
        <v>105</v>
      </c>
      <c r="B48" s="81" t="s">
        <v>106</v>
      </c>
      <c r="C48" s="87" t="s">
        <v>27</v>
      </c>
      <c r="D48" s="133"/>
      <c r="E48" s="133"/>
      <c r="F48" s="133"/>
      <c r="G48" s="133"/>
      <c r="H48" s="133"/>
      <c r="I48" s="133"/>
      <c r="J48" s="133"/>
    </row>
    <row r="49" spans="1:10">
      <c r="A49" s="75">
        <v>7</v>
      </c>
      <c r="B49" s="76" t="s">
        <v>107</v>
      </c>
      <c r="C49" s="77"/>
      <c r="D49" s="133"/>
      <c r="E49" s="133"/>
      <c r="F49" s="133"/>
      <c r="G49" s="133"/>
      <c r="H49" s="133"/>
      <c r="I49" s="133"/>
      <c r="J49" s="133"/>
    </row>
    <row r="50" spans="1:10" ht="15">
      <c r="A50" s="73" t="s">
        <v>108</v>
      </c>
      <c r="B50" s="82" t="s">
        <v>109</v>
      </c>
      <c r="C50" s="74"/>
      <c r="D50" s="133"/>
      <c r="E50" s="133"/>
      <c r="F50" s="133"/>
      <c r="G50" s="133"/>
      <c r="H50" s="133"/>
      <c r="I50" s="133"/>
      <c r="J50" s="133"/>
    </row>
    <row r="51" spans="1:10" ht="28.5">
      <c r="A51" s="86" t="s">
        <v>110</v>
      </c>
      <c r="B51" s="81" t="s">
        <v>454</v>
      </c>
      <c r="C51" s="80" t="s">
        <v>27</v>
      </c>
      <c r="D51" s="133"/>
      <c r="E51" s="133"/>
      <c r="F51" s="133"/>
      <c r="G51" s="133"/>
      <c r="H51" s="133"/>
      <c r="I51" s="133"/>
      <c r="J51" s="133"/>
    </row>
    <row r="52" spans="1:10" ht="28.5">
      <c r="A52" s="86" t="s">
        <v>112</v>
      </c>
      <c r="B52" s="79" t="s">
        <v>113</v>
      </c>
      <c r="C52" s="80" t="s">
        <v>27</v>
      </c>
      <c r="D52" s="133"/>
      <c r="E52" s="133"/>
      <c r="F52" s="133"/>
      <c r="G52" s="133"/>
      <c r="H52" s="133"/>
      <c r="I52" s="133"/>
      <c r="J52" s="133"/>
    </row>
    <row r="53" spans="1:10" ht="57">
      <c r="A53" s="86" t="s">
        <v>114</v>
      </c>
      <c r="B53" s="79" t="s">
        <v>115</v>
      </c>
      <c r="C53" s="80" t="s">
        <v>27</v>
      </c>
      <c r="D53" s="133"/>
      <c r="E53" s="133"/>
      <c r="F53" s="133"/>
      <c r="G53" s="133"/>
      <c r="H53" s="133"/>
      <c r="I53" s="133"/>
      <c r="J53" s="133"/>
    </row>
    <row r="54" spans="1:10" ht="42.75">
      <c r="A54" s="86" t="s">
        <v>116</v>
      </c>
      <c r="B54" s="79" t="s">
        <v>117</v>
      </c>
      <c r="C54" s="80" t="s">
        <v>27</v>
      </c>
      <c r="D54" s="133"/>
      <c r="E54" s="133"/>
      <c r="F54" s="133"/>
      <c r="G54" s="133"/>
      <c r="H54" s="133"/>
      <c r="I54" s="133"/>
      <c r="J54" s="133"/>
    </row>
    <row r="55" spans="1:10" ht="57">
      <c r="A55" s="86" t="s">
        <v>118</v>
      </c>
      <c r="B55" s="81" t="s">
        <v>119</v>
      </c>
      <c r="C55" s="80" t="s">
        <v>60</v>
      </c>
      <c r="D55" s="133"/>
      <c r="E55" s="133"/>
      <c r="F55" s="133"/>
      <c r="G55" s="133"/>
      <c r="H55" s="133"/>
      <c r="I55" s="133"/>
      <c r="J55" s="133"/>
    </row>
    <row r="56" spans="1:10">
      <c r="A56" s="86" t="s">
        <v>120</v>
      </c>
      <c r="B56" s="79" t="s">
        <v>121</v>
      </c>
      <c r="C56" s="80" t="s">
        <v>27</v>
      </c>
      <c r="D56" s="133"/>
      <c r="E56" s="133"/>
      <c r="F56" s="133"/>
      <c r="G56" s="133"/>
      <c r="H56" s="133"/>
      <c r="I56" s="133"/>
      <c r="J56" s="133"/>
    </row>
    <row r="57" spans="1:10" ht="28.5">
      <c r="A57" s="86" t="s">
        <v>122</v>
      </c>
      <c r="B57" s="81" t="s">
        <v>455</v>
      </c>
      <c r="C57" s="80" t="s">
        <v>60</v>
      </c>
      <c r="D57" s="133"/>
      <c r="E57" s="133"/>
      <c r="F57" s="133"/>
      <c r="G57" s="133"/>
      <c r="H57" s="133"/>
      <c r="I57" s="133"/>
      <c r="J57" s="133"/>
    </row>
    <row r="58" spans="1:10" ht="57">
      <c r="A58" s="86" t="s">
        <v>124</v>
      </c>
      <c r="B58" s="79" t="s">
        <v>125</v>
      </c>
      <c r="C58" s="80" t="s">
        <v>27</v>
      </c>
      <c r="D58" s="133"/>
      <c r="E58" s="133"/>
      <c r="F58" s="133"/>
      <c r="G58" s="133"/>
      <c r="H58" s="133"/>
      <c r="I58" s="133"/>
      <c r="J58" s="133"/>
    </row>
    <row r="59" spans="1:10" ht="42.75">
      <c r="A59" s="86" t="s">
        <v>126</v>
      </c>
      <c r="B59" s="81" t="s">
        <v>127</v>
      </c>
      <c r="C59" s="80" t="s">
        <v>60</v>
      </c>
      <c r="D59" s="133"/>
      <c r="E59" s="133"/>
      <c r="F59" s="133"/>
      <c r="G59" s="133"/>
      <c r="H59" s="133"/>
      <c r="I59" s="133"/>
      <c r="J59" s="133"/>
    </row>
    <row r="60" spans="1:10" ht="28.5">
      <c r="A60" s="86" t="s">
        <v>128</v>
      </c>
      <c r="B60" s="79" t="s">
        <v>129</v>
      </c>
      <c r="C60" s="80" t="s">
        <v>60</v>
      </c>
      <c r="D60" s="133"/>
      <c r="E60" s="133"/>
      <c r="F60" s="133"/>
      <c r="G60" s="133"/>
      <c r="H60" s="133"/>
      <c r="I60" s="133"/>
      <c r="J60" s="133"/>
    </row>
    <row r="61" spans="1:10" ht="15">
      <c r="A61" s="73" t="s">
        <v>130</v>
      </c>
      <c r="B61" s="82" t="s">
        <v>131</v>
      </c>
      <c r="C61" s="74"/>
      <c r="D61" s="133"/>
      <c r="E61" s="133"/>
      <c r="F61" s="133"/>
      <c r="G61" s="133"/>
      <c r="H61" s="133"/>
      <c r="I61" s="133"/>
      <c r="J61" s="133"/>
    </row>
    <row r="62" spans="1:10" ht="28.5">
      <c r="A62" s="86" t="s">
        <v>132</v>
      </c>
      <c r="B62" s="81" t="s">
        <v>133</v>
      </c>
      <c r="C62" s="80" t="s">
        <v>27</v>
      </c>
      <c r="D62" s="133"/>
      <c r="E62" s="133"/>
      <c r="F62" s="133"/>
      <c r="G62" s="133"/>
      <c r="H62" s="133"/>
      <c r="I62" s="133"/>
      <c r="J62" s="133"/>
    </row>
    <row r="63" spans="1:10" ht="42.75">
      <c r="A63" s="86" t="s">
        <v>134</v>
      </c>
      <c r="B63" s="81" t="s">
        <v>456</v>
      </c>
      <c r="C63" s="80" t="s">
        <v>27</v>
      </c>
      <c r="D63" s="133"/>
      <c r="E63" s="133"/>
      <c r="F63" s="133"/>
      <c r="G63" s="133"/>
      <c r="H63" s="133"/>
      <c r="I63" s="133"/>
      <c r="J63" s="133"/>
    </row>
    <row r="64" spans="1:10" ht="28.5">
      <c r="A64" s="86" t="s">
        <v>136</v>
      </c>
      <c r="B64" s="79" t="s">
        <v>137</v>
      </c>
      <c r="C64" s="80" t="s">
        <v>27</v>
      </c>
      <c r="D64" s="133"/>
      <c r="E64" s="133"/>
      <c r="F64" s="133"/>
      <c r="G64" s="133"/>
      <c r="H64" s="133"/>
      <c r="I64" s="133"/>
      <c r="J64" s="133"/>
    </row>
    <row r="65" spans="1:10" ht="57">
      <c r="A65" s="86" t="s">
        <v>138</v>
      </c>
      <c r="B65" s="79" t="s">
        <v>139</v>
      </c>
      <c r="C65" s="80" t="s">
        <v>27</v>
      </c>
      <c r="D65" s="133"/>
      <c r="E65" s="133"/>
      <c r="F65" s="133"/>
      <c r="G65" s="133"/>
      <c r="H65" s="133"/>
      <c r="I65" s="133"/>
      <c r="J65" s="133"/>
    </row>
    <row r="66" spans="1:10" ht="28.5">
      <c r="A66" s="86" t="s">
        <v>140</v>
      </c>
      <c r="B66" s="81" t="s">
        <v>141</v>
      </c>
      <c r="C66" s="80" t="s">
        <v>27</v>
      </c>
      <c r="D66" s="133"/>
      <c r="E66" s="133"/>
      <c r="F66" s="133"/>
      <c r="G66" s="133"/>
      <c r="H66" s="133"/>
      <c r="I66" s="133"/>
      <c r="J66" s="133"/>
    </row>
    <row r="67" spans="1:10" ht="28.5">
      <c r="A67" s="86" t="s">
        <v>142</v>
      </c>
      <c r="B67" s="81" t="s">
        <v>143</v>
      </c>
      <c r="C67" s="80" t="s">
        <v>27</v>
      </c>
      <c r="D67" s="133"/>
      <c r="E67" s="133"/>
      <c r="F67" s="133"/>
      <c r="G67" s="133"/>
      <c r="H67" s="133"/>
      <c r="I67" s="133"/>
      <c r="J67" s="133"/>
    </row>
    <row r="68" spans="1:10">
      <c r="A68" s="86" t="s">
        <v>144</v>
      </c>
      <c r="B68" s="79" t="s">
        <v>145</v>
      </c>
      <c r="C68" s="80" t="s">
        <v>60</v>
      </c>
      <c r="D68" s="133"/>
      <c r="E68" s="133"/>
      <c r="F68" s="133"/>
      <c r="G68" s="133"/>
      <c r="H68" s="133"/>
      <c r="I68" s="133"/>
      <c r="J68" s="133"/>
    </row>
    <row r="69" spans="1:10" ht="28.5">
      <c r="A69" s="86" t="s">
        <v>146</v>
      </c>
      <c r="B69" s="79" t="s">
        <v>147</v>
      </c>
      <c r="C69" s="80" t="s">
        <v>27</v>
      </c>
      <c r="D69" s="133"/>
      <c r="E69" s="133"/>
      <c r="F69" s="133"/>
      <c r="G69" s="133"/>
      <c r="H69" s="133"/>
      <c r="I69" s="133"/>
      <c r="J69" s="133"/>
    </row>
    <row r="70" spans="1:10" ht="15">
      <c r="A70" s="73" t="s">
        <v>148</v>
      </c>
      <c r="B70" s="82" t="s">
        <v>149</v>
      </c>
      <c r="C70" s="74"/>
      <c r="D70" s="133"/>
      <c r="E70" s="133"/>
      <c r="F70" s="133"/>
      <c r="G70" s="133"/>
      <c r="H70" s="133"/>
      <c r="I70" s="133"/>
      <c r="J70" s="133"/>
    </row>
    <row r="71" spans="1:10" ht="28.5">
      <c r="A71" s="86" t="s">
        <v>150</v>
      </c>
      <c r="B71" s="81" t="s">
        <v>457</v>
      </c>
      <c r="C71" s="80" t="s">
        <v>27</v>
      </c>
      <c r="D71" s="133"/>
      <c r="E71" s="133"/>
      <c r="F71" s="133"/>
      <c r="G71" s="133"/>
      <c r="H71" s="133"/>
      <c r="I71" s="133"/>
      <c r="J71" s="133"/>
    </row>
    <row r="72" spans="1:10" ht="28.5">
      <c r="A72" s="86" t="s">
        <v>152</v>
      </c>
      <c r="B72" s="81" t="s">
        <v>153</v>
      </c>
      <c r="C72" s="80" t="s">
        <v>27</v>
      </c>
      <c r="D72" s="133"/>
      <c r="E72" s="133"/>
      <c r="F72" s="133"/>
      <c r="G72" s="133"/>
      <c r="H72" s="133"/>
      <c r="I72" s="133"/>
      <c r="J72" s="133"/>
    </row>
    <row r="73" spans="1:10" ht="28.5">
      <c r="A73" s="86" t="s">
        <v>154</v>
      </c>
      <c r="B73" s="81" t="s">
        <v>155</v>
      </c>
      <c r="C73" s="80" t="s">
        <v>27</v>
      </c>
      <c r="D73" s="133"/>
      <c r="E73" s="133"/>
      <c r="F73" s="133"/>
      <c r="G73" s="133"/>
      <c r="H73" s="133"/>
      <c r="I73" s="133"/>
      <c r="J73" s="133"/>
    </row>
    <row r="74" spans="1:10" ht="28.5">
      <c r="A74" s="86" t="s">
        <v>156</v>
      </c>
      <c r="B74" s="81" t="s">
        <v>143</v>
      </c>
      <c r="C74" s="80" t="s">
        <v>27</v>
      </c>
      <c r="D74" s="133"/>
      <c r="E74" s="133"/>
      <c r="F74" s="133"/>
      <c r="G74" s="133"/>
      <c r="H74" s="133"/>
      <c r="I74" s="133"/>
      <c r="J74" s="133"/>
    </row>
    <row r="75" spans="1:10" ht="28.5">
      <c r="A75" s="86" t="s">
        <v>157</v>
      </c>
      <c r="B75" s="79" t="s">
        <v>147</v>
      </c>
      <c r="C75" s="80" t="s">
        <v>27</v>
      </c>
      <c r="D75" s="133"/>
      <c r="E75" s="133"/>
      <c r="F75" s="133"/>
      <c r="G75" s="133"/>
      <c r="H75" s="133"/>
      <c r="I75" s="133"/>
      <c r="J75" s="133"/>
    </row>
    <row r="76" spans="1:10" ht="42.75">
      <c r="A76" s="86" t="s">
        <v>158</v>
      </c>
      <c r="B76" s="88" t="s">
        <v>159</v>
      </c>
      <c r="C76" s="89" t="s">
        <v>27</v>
      </c>
      <c r="D76" s="133"/>
      <c r="E76" s="133"/>
      <c r="F76" s="133"/>
      <c r="G76" s="133"/>
      <c r="H76" s="133"/>
      <c r="I76" s="133"/>
      <c r="J76" s="133"/>
    </row>
    <row r="77" spans="1:10" ht="15">
      <c r="A77" s="73" t="s">
        <v>160</v>
      </c>
      <c r="B77" s="134" t="s">
        <v>161</v>
      </c>
      <c r="C77" s="134"/>
      <c r="D77" s="133"/>
      <c r="E77" s="133"/>
      <c r="F77" s="133"/>
      <c r="G77" s="133"/>
      <c r="H77" s="133"/>
      <c r="I77" s="133"/>
      <c r="J77" s="133"/>
    </row>
    <row r="78" spans="1:10" ht="28.5">
      <c r="A78" s="86" t="s">
        <v>162</v>
      </c>
      <c r="B78" s="79" t="s">
        <v>147</v>
      </c>
      <c r="C78" s="80" t="s">
        <v>27</v>
      </c>
      <c r="D78" s="133"/>
      <c r="E78" s="133"/>
      <c r="F78" s="133"/>
      <c r="G78" s="133"/>
      <c r="H78" s="133"/>
      <c r="I78" s="133"/>
      <c r="J78" s="133"/>
    </row>
    <row r="79" spans="1:10">
      <c r="A79" s="75">
        <v>8</v>
      </c>
      <c r="B79" s="76" t="s">
        <v>163</v>
      </c>
      <c r="C79" s="77"/>
      <c r="D79" s="133"/>
      <c r="E79" s="133"/>
      <c r="F79" s="133"/>
      <c r="G79" s="133"/>
      <c r="H79" s="133"/>
      <c r="I79" s="133"/>
      <c r="J79" s="133"/>
    </row>
    <row r="80" spans="1:10" ht="15">
      <c r="A80" s="73" t="s">
        <v>164</v>
      </c>
      <c r="B80" s="90" t="s">
        <v>165</v>
      </c>
      <c r="C80" s="74"/>
      <c r="D80" s="133"/>
      <c r="E80" s="133"/>
      <c r="F80" s="133"/>
      <c r="G80" s="133"/>
      <c r="H80" s="133"/>
      <c r="I80" s="133"/>
      <c r="J80" s="133"/>
    </row>
    <row r="81" spans="1:10" ht="28.5">
      <c r="A81" s="86" t="s">
        <v>166</v>
      </c>
      <c r="B81" s="81" t="s">
        <v>167</v>
      </c>
      <c r="C81" s="80" t="s">
        <v>36</v>
      </c>
      <c r="D81" s="133"/>
      <c r="E81" s="133"/>
      <c r="F81" s="133"/>
      <c r="G81" s="133"/>
      <c r="H81" s="133"/>
      <c r="I81" s="133"/>
      <c r="J81" s="133"/>
    </row>
    <row r="82" spans="1:10" ht="28.5">
      <c r="A82" s="86" t="s">
        <v>168</v>
      </c>
      <c r="B82" s="81" t="s">
        <v>169</v>
      </c>
      <c r="C82" s="80" t="s">
        <v>36</v>
      </c>
      <c r="D82" s="133"/>
      <c r="E82" s="133"/>
      <c r="F82" s="133"/>
      <c r="G82" s="133"/>
      <c r="H82" s="133"/>
      <c r="I82" s="133"/>
      <c r="J82" s="133"/>
    </row>
    <row r="83" spans="1:10" ht="28.5">
      <c r="A83" s="86" t="s">
        <v>170</v>
      </c>
      <c r="B83" s="81" t="s">
        <v>171</v>
      </c>
      <c r="C83" s="80" t="s">
        <v>36</v>
      </c>
      <c r="D83" s="133"/>
      <c r="E83" s="133"/>
      <c r="F83" s="133"/>
      <c r="G83" s="133"/>
      <c r="H83" s="133"/>
      <c r="I83" s="133"/>
      <c r="J83" s="133"/>
    </row>
    <row r="84" spans="1:10" ht="28.5">
      <c r="A84" s="86" t="s">
        <v>172</v>
      </c>
      <c r="B84" s="81" t="s">
        <v>173</v>
      </c>
      <c r="C84" s="80" t="s">
        <v>36</v>
      </c>
      <c r="D84" s="133"/>
      <c r="E84" s="133"/>
      <c r="F84" s="133"/>
      <c r="G84" s="133"/>
      <c r="H84" s="133"/>
      <c r="I84" s="133"/>
      <c r="J84" s="133"/>
    </row>
    <row r="85" spans="1:10" ht="42.75">
      <c r="A85" s="86" t="s">
        <v>174</v>
      </c>
      <c r="B85" s="81" t="s">
        <v>175</v>
      </c>
      <c r="C85" s="80" t="s">
        <v>36</v>
      </c>
      <c r="D85" s="133"/>
      <c r="E85" s="133"/>
      <c r="F85" s="133"/>
      <c r="G85" s="133"/>
      <c r="H85" s="133"/>
      <c r="I85" s="133"/>
      <c r="J85" s="133"/>
    </row>
    <row r="86" spans="1:10" ht="42.75">
      <c r="A86" s="86" t="s">
        <v>176</v>
      </c>
      <c r="B86" s="81" t="s">
        <v>177</v>
      </c>
      <c r="C86" s="80" t="s">
        <v>36</v>
      </c>
      <c r="D86" s="133"/>
      <c r="E86" s="133"/>
      <c r="F86" s="133"/>
      <c r="G86" s="133"/>
      <c r="H86" s="133"/>
      <c r="I86" s="133"/>
      <c r="J86" s="133"/>
    </row>
    <row r="87" spans="1:10" ht="42.75">
      <c r="A87" s="86" t="s">
        <v>178</v>
      </c>
      <c r="B87" s="81" t="s">
        <v>179</v>
      </c>
      <c r="C87" s="80" t="s">
        <v>36</v>
      </c>
      <c r="D87" s="133"/>
      <c r="E87" s="133"/>
      <c r="F87" s="133"/>
      <c r="G87" s="133"/>
      <c r="H87" s="133"/>
      <c r="I87" s="133"/>
      <c r="J87" s="133"/>
    </row>
    <row r="88" spans="1:10" ht="28.5">
      <c r="A88" s="86" t="s">
        <v>180</v>
      </c>
      <c r="B88" s="81" t="s">
        <v>458</v>
      </c>
      <c r="C88" s="80" t="s">
        <v>27</v>
      </c>
      <c r="D88" s="133"/>
      <c r="E88" s="133"/>
      <c r="F88" s="133"/>
      <c r="G88" s="133"/>
      <c r="H88" s="133"/>
      <c r="I88" s="133"/>
      <c r="J88" s="133"/>
    </row>
    <row r="89" spans="1:10" ht="15">
      <c r="A89" s="73" t="s">
        <v>182</v>
      </c>
      <c r="B89" s="82" t="s">
        <v>183</v>
      </c>
      <c r="C89" s="74"/>
      <c r="D89" s="133"/>
      <c r="E89" s="133"/>
      <c r="F89" s="133"/>
      <c r="G89" s="133"/>
      <c r="H89" s="133"/>
      <c r="I89" s="133"/>
      <c r="J89" s="133"/>
    </row>
    <row r="90" spans="1:10" ht="28.5">
      <c r="A90" s="86" t="s">
        <v>184</v>
      </c>
      <c r="B90" s="81" t="s">
        <v>185</v>
      </c>
      <c r="C90" s="80" t="s">
        <v>27</v>
      </c>
      <c r="D90" s="133"/>
      <c r="E90" s="133"/>
      <c r="F90" s="133"/>
      <c r="G90" s="133"/>
      <c r="H90" s="133"/>
      <c r="I90" s="133"/>
      <c r="J90" s="133"/>
    </row>
    <row r="91" spans="1:10" ht="28.5">
      <c r="A91" s="86" t="s">
        <v>186</v>
      </c>
      <c r="B91" s="79" t="s">
        <v>187</v>
      </c>
      <c r="C91" s="80" t="s">
        <v>27</v>
      </c>
      <c r="D91" s="133"/>
      <c r="E91" s="133"/>
      <c r="F91" s="133"/>
      <c r="G91" s="133"/>
      <c r="H91" s="133"/>
      <c r="I91" s="133"/>
      <c r="J91" s="133"/>
    </row>
    <row r="92" spans="1:10">
      <c r="A92" s="86" t="s">
        <v>188</v>
      </c>
      <c r="B92" s="79" t="s">
        <v>189</v>
      </c>
      <c r="C92" s="80" t="s">
        <v>27</v>
      </c>
      <c r="D92" s="133"/>
      <c r="E92" s="133"/>
      <c r="F92" s="133"/>
      <c r="G92" s="133"/>
      <c r="H92" s="133"/>
      <c r="I92" s="133"/>
      <c r="J92" s="133"/>
    </row>
    <row r="93" spans="1:10" ht="28.5">
      <c r="A93" s="86" t="s">
        <v>190</v>
      </c>
      <c r="B93" s="81" t="s">
        <v>459</v>
      </c>
      <c r="C93" s="80" t="s">
        <v>60</v>
      </c>
      <c r="D93" s="133"/>
      <c r="E93" s="133"/>
      <c r="F93" s="133"/>
      <c r="G93" s="133"/>
      <c r="H93" s="133"/>
      <c r="I93" s="133"/>
      <c r="J93" s="133"/>
    </row>
    <row r="94" spans="1:10" ht="15">
      <c r="A94" s="73" t="s">
        <v>192</v>
      </c>
      <c r="B94" s="82" t="s">
        <v>193</v>
      </c>
      <c r="C94" s="74"/>
      <c r="D94" s="133"/>
      <c r="E94" s="133"/>
      <c r="F94" s="133"/>
      <c r="G94" s="133"/>
      <c r="H94" s="133"/>
      <c r="I94" s="133"/>
      <c r="J94" s="133"/>
    </row>
    <row r="95" spans="1:10">
      <c r="A95" s="86" t="s">
        <v>194</v>
      </c>
      <c r="B95" s="83" t="s">
        <v>195</v>
      </c>
      <c r="C95" s="80" t="s">
        <v>27</v>
      </c>
      <c r="D95" s="133"/>
      <c r="E95" s="133"/>
      <c r="F95" s="133"/>
      <c r="G95" s="133"/>
      <c r="H95" s="133"/>
      <c r="I95" s="133"/>
      <c r="J95" s="133"/>
    </row>
    <row r="96" spans="1:10">
      <c r="A96" s="86" t="s">
        <v>196</v>
      </c>
      <c r="B96" s="83" t="s">
        <v>197</v>
      </c>
      <c r="C96" s="80" t="s">
        <v>27</v>
      </c>
      <c r="D96" s="133"/>
      <c r="E96" s="133"/>
      <c r="F96" s="133"/>
      <c r="G96" s="133"/>
      <c r="H96" s="133"/>
      <c r="I96" s="133"/>
      <c r="J96" s="133"/>
    </row>
    <row r="97" spans="1:10" ht="28.5">
      <c r="A97" s="86" t="s">
        <v>198</v>
      </c>
      <c r="B97" s="84" t="s">
        <v>460</v>
      </c>
      <c r="C97" s="80" t="s">
        <v>27</v>
      </c>
      <c r="D97" s="133"/>
      <c r="E97" s="133"/>
      <c r="F97" s="133"/>
      <c r="G97" s="133"/>
      <c r="H97" s="133"/>
      <c r="I97" s="133"/>
      <c r="J97" s="133"/>
    </row>
    <row r="98" spans="1:10">
      <c r="A98" s="75">
        <v>9</v>
      </c>
      <c r="B98" s="76" t="s">
        <v>200</v>
      </c>
      <c r="C98" s="77"/>
      <c r="D98" s="133"/>
      <c r="E98" s="133"/>
      <c r="F98" s="133"/>
      <c r="G98" s="133"/>
      <c r="H98" s="133"/>
      <c r="I98" s="133"/>
      <c r="J98" s="133"/>
    </row>
    <row r="99" spans="1:10" ht="15">
      <c r="A99" s="73" t="s">
        <v>201</v>
      </c>
      <c r="B99" s="82" t="s">
        <v>202</v>
      </c>
      <c r="C99" s="74"/>
      <c r="D99" s="133"/>
      <c r="E99" s="133"/>
      <c r="F99" s="133"/>
      <c r="G99" s="133"/>
      <c r="H99" s="133"/>
      <c r="I99" s="133"/>
      <c r="J99" s="133"/>
    </row>
    <row r="100" spans="1:10" ht="28.5">
      <c r="A100" s="86" t="s">
        <v>203</v>
      </c>
      <c r="B100" s="81" t="s">
        <v>204</v>
      </c>
      <c r="C100" s="80" t="s">
        <v>36</v>
      </c>
      <c r="D100" s="133"/>
      <c r="E100" s="133"/>
      <c r="F100" s="133"/>
      <c r="G100" s="133"/>
      <c r="H100" s="133"/>
      <c r="I100" s="133"/>
      <c r="J100" s="133"/>
    </row>
    <row r="101" spans="1:10" ht="15">
      <c r="A101" s="73" t="s">
        <v>205</v>
      </c>
      <c r="B101" s="82" t="s">
        <v>206</v>
      </c>
      <c r="C101" s="74"/>
      <c r="D101" s="133"/>
      <c r="E101" s="133"/>
      <c r="F101" s="133"/>
      <c r="G101" s="133"/>
      <c r="H101" s="133"/>
      <c r="I101" s="133"/>
      <c r="J101" s="133"/>
    </row>
    <row r="102" spans="1:10" ht="42.75">
      <c r="A102" s="86" t="s">
        <v>207</v>
      </c>
      <c r="B102" s="81" t="s">
        <v>461</v>
      </c>
      <c r="C102" s="80" t="s">
        <v>36</v>
      </c>
      <c r="D102" s="133"/>
      <c r="E102" s="133"/>
      <c r="F102" s="133"/>
      <c r="G102" s="133"/>
      <c r="H102" s="133"/>
      <c r="I102" s="133"/>
      <c r="J102" s="133"/>
    </row>
    <row r="103" spans="1:10" ht="28.5">
      <c r="A103" s="86" t="s">
        <v>209</v>
      </c>
      <c r="B103" s="81" t="s">
        <v>462</v>
      </c>
      <c r="C103" s="80" t="s">
        <v>36</v>
      </c>
      <c r="D103" s="133"/>
      <c r="E103" s="133"/>
      <c r="F103" s="133"/>
      <c r="G103" s="133"/>
      <c r="H103" s="133"/>
      <c r="I103" s="133"/>
      <c r="J103" s="133"/>
    </row>
    <row r="104" spans="1:10" ht="28.5">
      <c r="A104" s="86" t="s">
        <v>211</v>
      </c>
      <c r="B104" s="79" t="s">
        <v>212</v>
      </c>
      <c r="C104" s="80" t="s">
        <v>36</v>
      </c>
      <c r="D104" s="133"/>
      <c r="E104" s="133"/>
      <c r="F104" s="133"/>
      <c r="G104" s="133"/>
      <c r="H104" s="133"/>
      <c r="I104" s="133"/>
      <c r="J104" s="133"/>
    </row>
    <row r="105" spans="1:10" ht="28.5">
      <c r="A105" s="86" t="s">
        <v>213</v>
      </c>
      <c r="B105" s="79" t="s">
        <v>214</v>
      </c>
      <c r="C105" s="80" t="s">
        <v>36</v>
      </c>
      <c r="D105" s="133"/>
      <c r="E105" s="133"/>
      <c r="F105" s="133"/>
      <c r="G105" s="133"/>
      <c r="H105" s="133"/>
      <c r="I105" s="133"/>
      <c r="J105" s="133"/>
    </row>
    <row r="106" spans="1:10" ht="42.75">
      <c r="A106" s="86" t="s">
        <v>215</v>
      </c>
      <c r="B106" s="79" t="s">
        <v>216</v>
      </c>
      <c r="C106" s="80" t="s">
        <v>36</v>
      </c>
      <c r="D106" s="133"/>
      <c r="E106" s="133"/>
      <c r="F106" s="133"/>
      <c r="G106" s="133"/>
      <c r="H106" s="133"/>
      <c r="I106" s="133"/>
      <c r="J106" s="133"/>
    </row>
    <row r="107" spans="1:10" ht="28.5">
      <c r="A107" s="86" t="s">
        <v>217</v>
      </c>
      <c r="B107" s="81" t="s">
        <v>463</v>
      </c>
      <c r="C107" s="80" t="s">
        <v>36</v>
      </c>
      <c r="D107" s="133"/>
      <c r="E107" s="133"/>
      <c r="F107" s="133"/>
      <c r="G107" s="133"/>
      <c r="H107" s="133"/>
      <c r="I107" s="133"/>
      <c r="J107" s="133"/>
    </row>
    <row r="108" spans="1:10" ht="28.5">
      <c r="A108" s="86" t="s">
        <v>219</v>
      </c>
      <c r="B108" s="81" t="s">
        <v>220</v>
      </c>
      <c r="C108" s="80" t="s">
        <v>36</v>
      </c>
      <c r="D108" s="133"/>
      <c r="E108" s="133"/>
      <c r="F108" s="133"/>
      <c r="G108" s="133"/>
      <c r="H108" s="133"/>
      <c r="I108" s="133"/>
      <c r="J108" s="133"/>
    </row>
    <row r="109" spans="1:10">
      <c r="A109" s="86" t="s">
        <v>221</v>
      </c>
      <c r="B109" s="79" t="s">
        <v>222</v>
      </c>
      <c r="C109" s="80" t="s">
        <v>36</v>
      </c>
      <c r="D109" s="133"/>
      <c r="E109" s="133"/>
      <c r="F109" s="133"/>
      <c r="G109" s="133"/>
      <c r="H109" s="133"/>
      <c r="I109" s="133"/>
      <c r="J109" s="133"/>
    </row>
    <row r="110" spans="1:10">
      <c r="A110" s="86" t="s">
        <v>223</v>
      </c>
      <c r="B110" s="79" t="s">
        <v>224</v>
      </c>
      <c r="C110" s="80" t="s">
        <v>36</v>
      </c>
      <c r="D110" s="133"/>
      <c r="E110" s="133"/>
      <c r="F110" s="133"/>
      <c r="G110" s="133"/>
      <c r="H110" s="133"/>
      <c r="I110" s="133"/>
      <c r="J110" s="133"/>
    </row>
    <row r="111" spans="1:10" ht="28.5">
      <c r="A111" s="86" t="s">
        <v>225</v>
      </c>
      <c r="B111" s="81" t="s">
        <v>226</v>
      </c>
      <c r="C111" s="80" t="s">
        <v>36</v>
      </c>
      <c r="D111" s="133"/>
      <c r="E111" s="133"/>
      <c r="F111" s="133"/>
      <c r="G111" s="133"/>
      <c r="H111" s="133"/>
      <c r="I111" s="133"/>
      <c r="J111" s="133"/>
    </row>
    <row r="112" spans="1:10">
      <c r="A112" s="86" t="s">
        <v>227</v>
      </c>
      <c r="B112" s="79" t="s">
        <v>224</v>
      </c>
      <c r="C112" s="80" t="s">
        <v>36</v>
      </c>
      <c r="D112" s="133"/>
      <c r="E112" s="133"/>
      <c r="F112" s="133"/>
      <c r="G112" s="133"/>
      <c r="H112" s="133"/>
      <c r="I112" s="133"/>
      <c r="J112" s="133"/>
    </row>
    <row r="113" spans="1:10">
      <c r="A113" s="86" t="s">
        <v>228</v>
      </c>
      <c r="B113" s="79" t="s">
        <v>229</v>
      </c>
      <c r="C113" s="80" t="s">
        <v>36</v>
      </c>
      <c r="D113" s="133"/>
      <c r="E113" s="133"/>
      <c r="F113" s="133"/>
      <c r="G113" s="133"/>
      <c r="H113" s="133"/>
      <c r="I113" s="133"/>
      <c r="J113" s="133"/>
    </row>
    <row r="114" spans="1:10" ht="28.5">
      <c r="A114" s="86" t="s">
        <v>230</v>
      </c>
      <c r="B114" s="81" t="s">
        <v>220</v>
      </c>
      <c r="C114" s="80" t="s">
        <v>36</v>
      </c>
      <c r="D114" s="133"/>
      <c r="E114" s="133"/>
      <c r="F114" s="133"/>
      <c r="G114" s="133"/>
      <c r="H114" s="133"/>
      <c r="I114" s="133"/>
      <c r="J114" s="133"/>
    </row>
    <row r="115" spans="1:10" ht="28.5">
      <c r="A115" s="86" t="s">
        <v>231</v>
      </c>
      <c r="B115" s="81" t="s">
        <v>232</v>
      </c>
      <c r="C115" s="80" t="s">
        <v>36</v>
      </c>
      <c r="D115" s="133"/>
      <c r="E115" s="133"/>
      <c r="F115" s="133"/>
      <c r="G115" s="133"/>
      <c r="H115" s="133"/>
      <c r="I115" s="133"/>
      <c r="J115" s="133"/>
    </row>
    <row r="116" spans="1:10" ht="28.5">
      <c r="A116" s="86" t="s">
        <v>233</v>
      </c>
      <c r="B116" s="81" t="s">
        <v>234</v>
      </c>
      <c r="C116" s="80" t="s">
        <v>36</v>
      </c>
      <c r="D116" s="133"/>
      <c r="E116" s="133"/>
      <c r="F116" s="133"/>
      <c r="G116" s="133"/>
      <c r="H116" s="133"/>
      <c r="I116" s="133"/>
      <c r="J116" s="133"/>
    </row>
    <row r="117" spans="1:10" ht="28.5">
      <c r="A117" s="86" t="s">
        <v>235</v>
      </c>
      <c r="B117" s="81" t="s">
        <v>236</v>
      </c>
      <c r="C117" s="80" t="s">
        <v>36</v>
      </c>
      <c r="D117" s="133"/>
      <c r="E117" s="133"/>
      <c r="F117" s="133"/>
      <c r="G117" s="133"/>
      <c r="H117" s="133"/>
      <c r="I117" s="133"/>
      <c r="J117" s="133"/>
    </row>
    <row r="118" spans="1:10" ht="28.5">
      <c r="A118" s="86" t="s">
        <v>237</v>
      </c>
      <c r="B118" s="81" t="s">
        <v>238</v>
      </c>
      <c r="C118" s="80" t="s">
        <v>36</v>
      </c>
      <c r="D118" s="133"/>
      <c r="E118" s="133"/>
      <c r="F118" s="133"/>
      <c r="G118" s="133"/>
      <c r="H118" s="133"/>
      <c r="I118" s="133"/>
      <c r="J118" s="133"/>
    </row>
    <row r="119" spans="1:10" ht="28.5">
      <c r="A119" s="86" t="s">
        <v>239</v>
      </c>
      <c r="B119" s="81" t="s">
        <v>240</v>
      </c>
      <c r="C119" s="80" t="s">
        <v>36</v>
      </c>
      <c r="D119" s="133"/>
      <c r="E119" s="133"/>
      <c r="F119" s="133"/>
      <c r="G119" s="133"/>
      <c r="H119" s="133"/>
      <c r="I119" s="133"/>
      <c r="J119" s="133"/>
    </row>
    <row r="120" spans="1:10">
      <c r="A120" s="86" t="s">
        <v>241</v>
      </c>
      <c r="B120" s="79" t="s">
        <v>242</v>
      </c>
      <c r="C120" s="80" t="s">
        <v>36</v>
      </c>
      <c r="D120" s="133"/>
      <c r="E120" s="133"/>
      <c r="F120" s="133"/>
      <c r="G120" s="133"/>
      <c r="H120" s="133"/>
      <c r="I120" s="133"/>
      <c r="J120" s="133"/>
    </row>
    <row r="121" spans="1:10">
      <c r="A121" s="86" t="s">
        <v>243</v>
      </c>
      <c r="B121" s="79" t="s">
        <v>244</v>
      </c>
      <c r="C121" s="80" t="s">
        <v>36</v>
      </c>
      <c r="D121" s="133"/>
      <c r="E121" s="133"/>
      <c r="F121" s="133"/>
      <c r="G121" s="133"/>
      <c r="H121" s="133"/>
      <c r="I121" s="133"/>
      <c r="J121" s="133"/>
    </row>
    <row r="122" spans="1:10" ht="28.5">
      <c r="A122" s="86" t="s">
        <v>245</v>
      </c>
      <c r="B122" s="81" t="s">
        <v>220</v>
      </c>
      <c r="C122" s="80" t="s">
        <v>36</v>
      </c>
      <c r="D122" s="133"/>
      <c r="E122" s="133"/>
      <c r="F122" s="133"/>
      <c r="G122" s="133"/>
      <c r="H122" s="133"/>
      <c r="I122" s="133"/>
      <c r="J122" s="133"/>
    </row>
    <row r="123" spans="1:10" ht="15">
      <c r="A123" s="73" t="s">
        <v>246</v>
      </c>
      <c r="B123" s="82" t="s">
        <v>247</v>
      </c>
      <c r="C123" s="74"/>
      <c r="D123" s="133"/>
      <c r="E123" s="133"/>
      <c r="F123" s="133"/>
      <c r="G123" s="133"/>
      <c r="H123" s="133"/>
      <c r="I123" s="133"/>
      <c r="J123" s="133"/>
    </row>
    <row r="124" spans="1:10" ht="57">
      <c r="A124" s="86" t="s">
        <v>248</v>
      </c>
      <c r="B124" s="79" t="s">
        <v>249</v>
      </c>
      <c r="C124" s="80" t="s">
        <v>36</v>
      </c>
      <c r="D124" s="133"/>
      <c r="E124" s="133"/>
      <c r="F124" s="133"/>
      <c r="G124" s="133"/>
      <c r="H124" s="133"/>
      <c r="I124" s="133"/>
      <c r="J124" s="133"/>
    </row>
    <row r="125" spans="1:10" ht="28.5">
      <c r="A125" s="86" t="s">
        <v>250</v>
      </c>
      <c r="B125" s="79" t="s">
        <v>251</v>
      </c>
      <c r="C125" s="80" t="s">
        <v>36</v>
      </c>
      <c r="D125" s="133"/>
      <c r="E125" s="133"/>
      <c r="F125" s="133"/>
      <c r="G125" s="133"/>
      <c r="H125" s="133"/>
      <c r="I125" s="133"/>
      <c r="J125" s="133"/>
    </row>
    <row r="126" spans="1:10" ht="28.5">
      <c r="A126" s="86" t="s">
        <v>252</v>
      </c>
      <c r="B126" s="81" t="s">
        <v>253</v>
      </c>
      <c r="C126" s="80" t="s">
        <v>36</v>
      </c>
      <c r="D126" s="133"/>
      <c r="E126" s="133"/>
      <c r="F126" s="133"/>
      <c r="G126" s="133"/>
      <c r="H126" s="133"/>
      <c r="I126" s="133"/>
      <c r="J126" s="133"/>
    </row>
    <row r="127" spans="1:10">
      <c r="A127" s="86" t="s">
        <v>254</v>
      </c>
      <c r="B127" s="79" t="s">
        <v>255</v>
      </c>
      <c r="C127" s="80" t="s">
        <v>36</v>
      </c>
      <c r="D127" s="133"/>
      <c r="E127" s="133"/>
      <c r="F127" s="133"/>
      <c r="G127" s="133"/>
      <c r="H127" s="133"/>
      <c r="I127" s="133"/>
      <c r="J127" s="133"/>
    </row>
    <row r="128" spans="1:10" ht="15">
      <c r="A128" s="73" t="s">
        <v>256</v>
      </c>
      <c r="B128" s="82" t="s">
        <v>257</v>
      </c>
      <c r="C128" s="74"/>
      <c r="D128" s="133"/>
      <c r="E128" s="133"/>
      <c r="F128" s="133"/>
      <c r="G128" s="133"/>
      <c r="H128" s="133"/>
      <c r="I128" s="133"/>
      <c r="J128" s="133"/>
    </row>
    <row r="129" spans="1:10" ht="57">
      <c r="A129" s="86" t="s">
        <v>258</v>
      </c>
      <c r="B129" s="79" t="s">
        <v>249</v>
      </c>
      <c r="C129" s="80" t="s">
        <v>36</v>
      </c>
      <c r="D129" s="133"/>
      <c r="E129" s="133"/>
      <c r="F129" s="133"/>
      <c r="G129" s="133"/>
      <c r="H129" s="133"/>
      <c r="I129" s="133"/>
      <c r="J129" s="133"/>
    </row>
    <row r="130" spans="1:10" ht="28.5">
      <c r="A130" s="86" t="s">
        <v>259</v>
      </c>
      <c r="B130" s="79" t="s">
        <v>260</v>
      </c>
      <c r="C130" s="80" t="s">
        <v>36</v>
      </c>
      <c r="D130" s="133"/>
      <c r="E130" s="133"/>
      <c r="F130" s="133"/>
      <c r="G130" s="133"/>
      <c r="H130" s="133"/>
      <c r="I130" s="133"/>
      <c r="J130" s="133"/>
    </row>
    <row r="131" spans="1:10">
      <c r="A131" s="86" t="s">
        <v>261</v>
      </c>
      <c r="B131" s="79" t="s">
        <v>255</v>
      </c>
      <c r="C131" s="80" t="s">
        <v>36</v>
      </c>
      <c r="D131" s="133"/>
      <c r="E131" s="133"/>
      <c r="F131" s="133"/>
      <c r="G131" s="133"/>
      <c r="H131" s="133"/>
      <c r="I131" s="133"/>
      <c r="J131" s="133"/>
    </row>
    <row r="132" spans="1:10" ht="28.5">
      <c r="A132" s="86" t="s">
        <v>262</v>
      </c>
      <c r="B132" s="81" t="s">
        <v>253</v>
      </c>
      <c r="C132" s="80" t="s">
        <v>36</v>
      </c>
      <c r="D132" s="133"/>
      <c r="E132" s="133"/>
      <c r="F132" s="133"/>
      <c r="G132" s="133"/>
      <c r="H132" s="133"/>
      <c r="I132" s="133"/>
      <c r="J132" s="133"/>
    </row>
    <row r="133" spans="1:10" ht="28.5">
      <c r="A133" s="86" t="s">
        <v>263</v>
      </c>
      <c r="B133" s="81" t="s">
        <v>264</v>
      </c>
      <c r="C133" s="80" t="s">
        <v>36</v>
      </c>
      <c r="D133" s="133"/>
      <c r="E133" s="133"/>
      <c r="F133" s="133"/>
      <c r="G133" s="133"/>
      <c r="H133" s="133"/>
      <c r="I133" s="133"/>
      <c r="J133" s="133"/>
    </row>
    <row r="134" spans="1:10" ht="28.5">
      <c r="A134" s="86" t="s">
        <v>265</v>
      </c>
      <c r="B134" s="81" t="s">
        <v>266</v>
      </c>
      <c r="C134" s="80" t="s">
        <v>36</v>
      </c>
      <c r="D134" s="133"/>
      <c r="E134" s="133"/>
      <c r="F134" s="133"/>
      <c r="G134" s="133"/>
      <c r="H134" s="133"/>
      <c r="I134" s="133"/>
      <c r="J134" s="133"/>
    </row>
    <row r="135" spans="1:10" ht="28.5">
      <c r="A135" s="86" t="s">
        <v>267</v>
      </c>
      <c r="B135" s="81" t="s">
        <v>268</v>
      </c>
      <c r="C135" s="80" t="s">
        <v>36</v>
      </c>
      <c r="D135" s="133"/>
      <c r="E135" s="133"/>
      <c r="F135" s="133"/>
      <c r="G135" s="133"/>
      <c r="H135" s="133"/>
      <c r="I135" s="133"/>
      <c r="J135" s="133"/>
    </row>
    <row r="136" spans="1:10" ht="15">
      <c r="A136" s="73" t="s">
        <v>269</v>
      </c>
      <c r="B136" s="82" t="s">
        <v>270</v>
      </c>
      <c r="C136" s="74"/>
      <c r="D136" s="133"/>
      <c r="E136" s="133"/>
      <c r="F136" s="133"/>
      <c r="G136" s="133"/>
      <c r="H136" s="133"/>
      <c r="I136" s="133"/>
      <c r="J136" s="133"/>
    </row>
    <row r="137" spans="1:10">
      <c r="A137" s="86" t="s">
        <v>271</v>
      </c>
      <c r="B137" s="79" t="s">
        <v>272</v>
      </c>
      <c r="C137" s="80" t="s">
        <v>36</v>
      </c>
      <c r="D137" s="133"/>
      <c r="E137" s="133"/>
      <c r="F137" s="133"/>
      <c r="G137" s="133"/>
      <c r="H137" s="133"/>
      <c r="I137" s="133"/>
      <c r="J137" s="133"/>
    </row>
    <row r="138" spans="1:10" ht="28.5">
      <c r="A138" s="86" t="s">
        <v>273</v>
      </c>
      <c r="B138" s="79" t="s">
        <v>274</v>
      </c>
      <c r="C138" s="80" t="s">
        <v>36</v>
      </c>
      <c r="D138" s="133"/>
      <c r="E138" s="133"/>
      <c r="F138" s="133"/>
      <c r="G138" s="133"/>
      <c r="H138" s="133"/>
      <c r="I138" s="133"/>
      <c r="J138" s="133"/>
    </row>
    <row r="139" spans="1:10" ht="28.5">
      <c r="A139" s="86" t="s">
        <v>275</v>
      </c>
      <c r="B139" s="81" t="s">
        <v>276</v>
      </c>
      <c r="C139" s="80" t="s">
        <v>36</v>
      </c>
      <c r="D139" s="133"/>
      <c r="E139" s="133"/>
      <c r="F139" s="133"/>
      <c r="G139" s="133"/>
      <c r="H139" s="133"/>
      <c r="I139" s="133"/>
      <c r="J139" s="133"/>
    </row>
    <row r="140" spans="1:10" ht="28.5">
      <c r="A140" s="86" t="s">
        <v>277</v>
      </c>
      <c r="B140" s="81" t="s">
        <v>278</v>
      </c>
      <c r="C140" s="80" t="s">
        <v>279</v>
      </c>
      <c r="D140" s="133"/>
      <c r="E140" s="133"/>
      <c r="F140" s="133"/>
      <c r="G140" s="133"/>
      <c r="H140" s="133"/>
      <c r="I140" s="133"/>
      <c r="J140" s="133"/>
    </row>
    <row r="141" spans="1:10">
      <c r="A141" s="86" t="s">
        <v>280</v>
      </c>
      <c r="B141" s="79" t="s">
        <v>281</v>
      </c>
      <c r="C141" s="80" t="s">
        <v>36</v>
      </c>
      <c r="D141" s="133"/>
      <c r="E141" s="133"/>
      <c r="F141" s="133"/>
      <c r="G141" s="133"/>
      <c r="H141" s="133"/>
      <c r="I141" s="133"/>
      <c r="J141" s="133"/>
    </row>
    <row r="142" spans="1:10">
      <c r="A142" s="86" t="s">
        <v>282</v>
      </c>
      <c r="B142" s="79" t="s">
        <v>283</v>
      </c>
      <c r="C142" s="80" t="s">
        <v>36</v>
      </c>
      <c r="D142" s="133"/>
      <c r="E142" s="133"/>
      <c r="F142" s="133"/>
      <c r="G142" s="133"/>
      <c r="H142" s="133"/>
      <c r="I142" s="133"/>
      <c r="J142" s="133"/>
    </row>
    <row r="143" spans="1:10">
      <c r="A143" s="86" t="s">
        <v>284</v>
      </c>
      <c r="B143" s="79" t="s">
        <v>285</v>
      </c>
      <c r="C143" s="80" t="s">
        <v>36</v>
      </c>
      <c r="D143" s="133"/>
      <c r="E143" s="133"/>
      <c r="F143" s="133"/>
      <c r="G143" s="133"/>
      <c r="H143" s="133"/>
      <c r="I143" s="133"/>
      <c r="J143" s="133"/>
    </row>
    <row r="144" spans="1:10">
      <c r="A144" s="86" t="s">
        <v>286</v>
      </c>
      <c r="B144" s="79" t="s">
        <v>287</v>
      </c>
      <c r="C144" s="80" t="s">
        <v>36</v>
      </c>
      <c r="D144" s="133"/>
      <c r="E144" s="133"/>
      <c r="F144" s="133"/>
      <c r="G144" s="133"/>
      <c r="H144" s="133"/>
      <c r="I144" s="133"/>
      <c r="J144" s="133"/>
    </row>
    <row r="145" spans="1:10" ht="28.5">
      <c r="A145" s="86" t="s">
        <v>288</v>
      </c>
      <c r="B145" s="79" t="s">
        <v>289</v>
      </c>
      <c r="C145" s="80" t="s">
        <v>279</v>
      </c>
      <c r="D145" s="133"/>
      <c r="E145" s="133"/>
      <c r="F145" s="133"/>
      <c r="G145" s="133"/>
      <c r="H145" s="133"/>
      <c r="I145" s="133"/>
      <c r="J145" s="133"/>
    </row>
    <row r="146" spans="1:10" ht="42.75">
      <c r="A146" s="86" t="s">
        <v>290</v>
      </c>
      <c r="B146" s="81" t="s">
        <v>291</v>
      </c>
      <c r="C146" s="80" t="s">
        <v>36</v>
      </c>
      <c r="D146" s="133"/>
      <c r="E146" s="133"/>
      <c r="F146" s="133"/>
      <c r="G146" s="133"/>
      <c r="H146" s="133"/>
      <c r="I146" s="133"/>
      <c r="J146" s="133"/>
    </row>
    <row r="147" spans="1:10" ht="28.5">
      <c r="A147" s="86" t="s">
        <v>292</v>
      </c>
      <c r="B147" s="79" t="s">
        <v>293</v>
      </c>
      <c r="C147" s="80" t="s">
        <v>36</v>
      </c>
      <c r="D147" s="133"/>
      <c r="E147" s="133"/>
      <c r="F147" s="133"/>
      <c r="G147" s="133"/>
      <c r="H147" s="133"/>
      <c r="I147" s="133"/>
      <c r="J147" s="133"/>
    </row>
    <row r="148" spans="1:10" ht="15">
      <c r="A148" s="91">
        <v>10</v>
      </c>
      <c r="B148" s="92" t="s">
        <v>294</v>
      </c>
      <c r="C148" s="93"/>
      <c r="D148" s="133"/>
      <c r="E148" s="133"/>
      <c r="F148" s="133"/>
      <c r="G148" s="133"/>
      <c r="H148" s="133"/>
      <c r="I148" s="133"/>
      <c r="J148" s="133"/>
    </row>
    <row r="149" spans="1:10" ht="15">
      <c r="A149" s="73" t="s">
        <v>295</v>
      </c>
      <c r="B149" s="82" t="s">
        <v>296</v>
      </c>
      <c r="C149" s="74"/>
      <c r="D149" s="133"/>
      <c r="E149" s="133"/>
      <c r="F149" s="133"/>
      <c r="G149" s="133"/>
      <c r="H149" s="133"/>
      <c r="I149" s="133"/>
      <c r="J149" s="133"/>
    </row>
    <row r="150" spans="1:10" ht="28.5">
      <c r="A150" s="86" t="s">
        <v>297</v>
      </c>
      <c r="B150" s="84" t="s">
        <v>298</v>
      </c>
      <c r="C150" s="80" t="s">
        <v>36</v>
      </c>
      <c r="D150" s="133"/>
      <c r="E150" s="133"/>
      <c r="F150" s="133"/>
      <c r="G150" s="133"/>
      <c r="H150" s="133"/>
      <c r="I150" s="133"/>
      <c r="J150" s="133"/>
    </row>
    <row r="151" spans="1:10" ht="28.5">
      <c r="A151" s="86" t="s">
        <v>299</v>
      </c>
      <c r="B151" s="83" t="s">
        <v>300</v>
      </c>
      <c r="C151" s="80" t="s">
        <v>36</v>
      </c>
      <c r="D151" s="133"/>
      <c r="E151" s="133"/>
      <c r="F151" s="133"/>
      <c r="G151" s="133"/>
      <c r="H151" s="133"/>
      <c r="I151" s="133"/>
      <c r="J151" s="133"/>
    </row>
    <row r="152" spans="1:10" ht="71.25">
      <c r="A152" s="86" t="s">
        <v>301</v>
      </c>
      <c r="B152" s="83" t="s">
        <v>302</v>
      </c>
      <c r="C152" s="80" t="s">
        <v>36</v>
      </c>
      <c r="D152" s="133"/>
      <c r="E152" s="133"/>
      <c r="F152" s="133"/>
      <c r="G152" s="133"/>
      <c r="H152" s="133"/>
      <c r="I152" s="133"/>
      <c r="J152" s="133"/>
    </row>
    <row r="153" spans="1:10" ht="28.5">
      <c r="A153" s="86" t="s">
        <v>303</v>
      </c>
      <c r="B153" s="83" t="s">
        <v>304</v>
      </c>
      <c r="C153" s="80" t="s">
        <v>36</v>
      </c>
      <c r="D153" s="133"/>
      <c r="E153" s="133"/>
      <c r="F153" s="133"/>
      <c r="G153" s="133"/>
      <c r="H153" s="133"/>
      <c r="I153" s="133"/>
      <c r="J153" s="133"/>
    </row>
    <row r="154" spans="1:10" ht="42.75">
      <c r="A154" s="86" t="s">
        <v>305</v>
      </c>
      <c r="B154" s="83" t="s">
        <v>306</v>
      </c>
      <c r="C154" s="80" t="s">
        <v>36</v>
      </c>
      <c r="D154" s="133"/>
      <c r="E154" s="133"/>
      <c r="F154" s="133"/>
      <c r="G154" s="133"/>
      <c r="H154" s="133"/>
      <c r="I154" s="133"/>
      <c r="J154" s="133"/>
    </row>
    <row r="155" spans="1:10">
      <c r="A155" s="86" t="s">
        <v>307</v>
      </c>
      <c r="B155" s="83" t="s">
        <v>308</v>
      </c>
      <c r="C155" s="80" t="s">
        <v>36</v>
      </c>
      <c r="D155" s="133"/>
      <c r="E155" s="133"/>
      <c r="F155" s="133"/>
      <c r="G155" s="133"/>
      <c r="H155" s="133"/>
      <c r="I155" s="133"/>
      <c r="J155" s="133"/>
    </row>
    <row r="156" spans="1:10">
      <c r="A156" s="86" t="s">
        <v>309</v>
      </c>
      <c r="B156" s="83" t="s">
        <v>310</v>
      </c>
      <c r="C156" s="80" t="s">
        <v>36</v>
      </c>
      <c r="D156" s="133"/>
      <c r="E156" s="133"/>
      <c r="F156" s="133"/>
      <c r="G156" s="133"/>
      <c r="H156" s="133"/>
      <c r="I156" s="133"/>
      <c r="J156" s="133"/>
    </row>
    <row r="157" spans="1:10">
      <c r="A157" s="86" t="s">
        <v>311</v>
      </c>
      <c r="B157" s="83" t="s">
        <v>312</v>
      </c>
      <c r="C157" s="80" t="s">
        <v>36</v>
      </c>
      <c r="D157" s="133"/>
      <c r="E157" s="133"/>
      <c r="F157" s="133"/>
      <c r="G157" s="133"/>
      <c r="H157" s="133"/>
      <c r="I157" s="133"/>
      <c r="J157" s="133"/>
    </row>
    <row r="158" spans="1:10" ht="42.75">
      <c r="A158" s="86" t="s">
        <v>313</v>
      </c>
      <c r="B158" s="83" t="s">
        <v>314</v>
      </c>
      <c r="C158" s="80" t="s">
        <v>36</v>
      </c>
      <c r="D158" s="133"/>
      <c r="E158" s="133"/>
      <c r="F158" s="133"/>
      <c r="G158" s="133"/>
      <c r="H158" s="133"/>
      <c r="I158" s="133"/>
      <c r="J158" s="133"/>
    </row>
    <row r="159" spans="1:10" ht="28.5">
      <c r="A159" s="86" t="s">
        <v>315</v>
      </c>
      <c r="B159" s="83" t="s">
        <v>316</v>
      </c>
      <c r="C159" s="80" t="s">
        <v>36</v>
      </c>
      <c r="D159" s="133"/>
      <c r="E159" s="133"/>
      <c r="F159" s="133"/>
      <c r="G159" s="133"/>
      <c r="H159" s="133"/>
      <c r="I159" s="133"/>
      <c r="J159" s="133"/>
    </row>
    <row r="160" spans="1:10" ht="28.5">
      <c r="A160" s="86" t="s">
        <v>317</v>
      </c>
      <c r="B160" s="84" t="s">
        <v>318</v>
      </c>
      <c r="C160" s="80" t="s">
        <v>60</v>
      </c>
      <c r="D160" s="133"/>
      <c r="E160" s="133"/>
      <c r="F160" s="133"/>
      <c r="G160" s="133"/>
      <c r="H160" s="133"/>
      <c r="I160" s="133"/>
      <c r="J160" s="133"/>
    </row>
    <row r="161" spans="1:10">
      <c r="A161" s="86" t="s">
        <v>319</v>
      </c>
      <c r="B161" s="83" t="s">
        <v>320</v>
      </c>
      <c r="C161" s="80" t="s">
        <v>60</v>
      </c>
      <c r="D161" s="133"/>
      <c r="E161" s="133"/>
      <c r="F161" s="133"/>
      <c r="G161" s="133"/>
      <c r="H161" s="133"/>
      <c r="I161" s="133"/>
      <c r="J161" s="133"/>
    </row>
    <row r="162" spans="1:10">
      <c r="A162" s="86" t="s">
        <v>321</v>
      </c>
      <c r="B162" s="83" t="s">
        <v>322</v>
      </c>
      <c r="C162" s="80" t="s">
        <v>60</v>
      </c>
      <c r="D162" s="133"/>
      <c r="E162" s="133"/>
      <c r="F162" s="133"/>
      <c r="G162" s="133"/>
      <c r="H162" s="133"/>
      <c r="I162" s="133"/>
      <c r="J162" s="133"/>
    </row>
    <row r="163" spans="1:10" ht="28.5">
      <c r="A163" s="86" t="s">
        <v>323</v>
      </c>
      <c r="B163" s="83" t="s">
        <v>324</v>
      </c>
      <c r="C163" s="80" t="s">
        <v>36</v>
      </c>
      <c r="D163" s="133"/>
      <c r="E163" s="133"/>
      <c r="F163" s="133"/>
      <c r="G163" s="133"/>
      <c r="H163" s="133"/>
      <c r="I163" s="133"/>
      <c r="J163" s="133"/>
    </row>
    <row r="164" spans="1:10" ht="28.5">
      <c r="A164" s="86" t="s">
        <v>325</v>
      </c>
      <c r="B164" s="84" t="s">
        <v>464</v>
      </c>
      <c r="C164" s="80" t="s">
        <v>36</v>
      </c>
      <c r="D164" s="133"/>
      <c r="E164" s="133"/>
      <c r="F164" s="133"/>
      <c r="G164" s="133"/>
      <c r="H164" s="133"/>
      <c r="I164" s="133"/>
      <c r="J164" s="133"/>
    </row>
    <row r="165" spans="1:10">
      <c r="A165" s="86" t="s">
        <v>327</v>
      </c>
      <c r="B165" s="83" t="s">
        <v>328</v>
      </c>
      <c r="C165" s="80" t="s">
        <v>36</v>
      </c>
      <c r="D165" s="133"/>
      <c r="E165" s="133"/>
      <c r="F165" s="133"/>
      <c r="G165" s="133"/>
      <c r="H165" s="133"/>
      <c r="I165" s="133"/>
      <c r="J165" s="133"/>
    </row>
    <row r="166" spans="1:10" ht="28.5">
      <c r="A166" s="86" t="s">
        <v>329</v>
      </c>
      <c r="B166" s="83" t="s">
        <v>330</v>
      </c>
      <c r="C166" s="80" t="s">
        <v>36</v>
      </c>
      <c r="D166" s="133"/>
      <c r="E166" s="133"/>
      <c r="F166" s="133"/>
      <c r="G166" s="133"/>
      <c r="H166" s="133"/>
      <c r="I166" s="133"/>
      <c r="J166" s="133"/>
    </row>
    <row r="167" spans="1:10" ht="28.5">
      <c r="A167" s="86" t="s">
        <v>331</v>
      </c>
      <c r="B167" s="83" t="s">
        <v>332</v>
      </c>
      <c r="C167" s="80" t="s">
        <v>36</v>
      </c>
      <c r="D167" s="133"/>
      <c r="E167" s="133"/>
      <c r="F167" s="133"/>
      <c r="G167" s="133"/>
      <c r="H167" s="133"/>
      <c r="I167" s="133"/>
      <c r="J167" s="133"/>
    </row>
    <row r="168" spans="1:10" ht="28.5">
      <c r="A168" s="86" t="s">
        <v>333</v>
      </c>
      <c r="B168" s="84" t="s">
        <v>334</v>
      </c>
      <c r="C168" s="80" t="s">
        <v>36</v>
      </c>
      <c r="D168" s="133"/>
      <c r="E168" s="133"/>
      <c r="F168" s="133"/>
      <c r="G168" s="133"/>
      <c r="H168" s="133"/>
      <c r="I168" s="133"/>
      <c r="J168" s="133"/>
    </row>
    <row r="169" spans="1:10" ht="42.75">
      <c r="A169" s="86" t="s">
        <v>335</v>
      </c>
      <c r="B169" s="83" t="s">
        <v>336</v>
      </c>
      <c r="C169" s="80" t="s">
        <v>36</v>
      </c>
      <c r="D169" s="133"/>
      <c r="E169" s="133"/>
      <c r="F169" s="133"/>
      <c r="G169" s="133"/>
      <c r="H169" s="133"/>
      <c r="I169" s="133"/>
      <c r="J169" s="133"/>
    </row>
    <row r="170" spans="1:10" ht="15">
      <c r="A170" s="73" t="s">
        <v>337</v>
      </c>
      <c r="B170" s="82" t="s">
        <v>338</v>
      </c>
      <c r="C170" s="74"/>
      <c r="D170" s="133"/>
      <c r="E170" s="133"/>
      <c r="F170" s="133"/>
      <c r="G170" s="133"/>
      <c r="H170" s="133"/>
      <c r="I170" s="133"/>
      <c r="J170" s="133"/>
    </row>
    <row r="171" spans="1:10" ht="28.5">
      <c r="A171" s="86" t="s">
        <v>339</v>
      </c>
      <c r="B171" s="84" t="s">
        <v>340</v>
      </c>
      <c r="C171" s="80" t="s">
        <v>36</v>
      </c>
      <c r="D171" s="133"/>
      <c r="E171" s="133"/>
      <c r="F171" s="133"/>
      <c r="G171" s="133"/>
      <c r="H171" s="133"/>
      <c r="I171" s="133"/>
      <c r="J171" s="133"/>
    </row>
    <row r="172" spans="1:10" ht="28.5">
      <c r="A172" s="86" t="s">
        <v>341</v>
      </c>
      <c r="B172" s="84" t="s">
        <v>342</v>
      </c>
      <c r="C172" s="80" t="s">
        <v>36</v>
      </c>
      <c r="D172" s="133"/>
      <c r="E172" s="133"/>
      <c r="F172" s="133"/>
      <c r="G172" s="133"/>
      <c r="H172" s="133"/>
      <c r="I172" s="133"/>
      <c r="J172" s="133"/>
    </row>
    <row r="173" spans="1:10" ht="28.5">
      <c r="A173" s="86" t="s">
        <v>343</v>
      </c>
      <c r="B173" s="84" t="s">
        <v>344</v>
      </c>
      <c r="C173" s="80" t="s">
        <v>36</v>
      </c>
      <c r="D173" s="133"/>
      <c r="E173" s="133"/>
      <c r="F173" s="133"/>
      <c r="G173" s="133"/>
      <c r="H173" s="133"/>
      <c r="I173" s="133"/>
      <c r="J173" s="133"/>
    </row>
    <row r="174" spans="1:10">
      <c r="A174" s="86" t="s">
        <v>345</v>
      </c>
      <c r="B174" s="83" t="s">
        <v>346</v>
      </c>
      <c r="C174" s="80" t="s">
        <v>36</v>
      </c>
      <c r="D174" s="133"/>
      <c r="E174" s="133"/>
      <c r="F174" s="133"/>
      <c r="G174" s="133"/>
      <c r="H174" s="133"/>
      <c r="I174" s="133"/>
      <c r="J174" s="133"/>
    </row>
    <row r="175" spans="1:10">
      <c r="A175" s="86" t="s">
        <v>347</v>
      </c>
      <c r="B175" s="83" t="s">
        <v>348</v>
      </c>
      <c r="C175" s="80" t="s">
        <v>36</v>
      </c>
      <c r="D175" s="133"/>
      <c r="E175" s="133"/>
      <c r="F175" s="133"/>
      <c r="G175" s="133"/>
      <c r="H175" s="133"/>
      <c r="I175" s="133"/>
      <c r="J175" s="133"/>
    </row>
    <row r="176" spans="1:10">
      <c r="A176" s="86" t="s">
        <v>349</v>
      </c>
      <c r="B176" s="83" t="s">
        <v>350</v>
      </c>
      <c r="C176" s="80" t="s">
        <v>351</v>
      </c>
      <c r="D176" s="133"/>
      <c r="E176" s="133"/>
      <c r="F176" s="133"/>
      <c r="G176" s="133"/>
      <c r="H176" s="133"/>
      <c r="I176" s="133"/>
      <c r="J176" s="133"/>
    </row>
    <row r="177" spans="1:10" ht="28.5">
      <c r="A177" s="86" t="s">
        <v>352</v>
      </c>
      <c r="B177" s="83" t="s">
        <v>353</v>
      </c>
      <c r="C177" s="80" t="s">
        <v>36</v>
      </c>
      <c r="D177" s="133"/>
      <c r="E177" s="133"/>
      <c r="F177" s="133"/>
      <c r="G177" s="133"/>
      <c r="H177" s="133"/>
      <c r="I177" s="133"/>
      <c r="J177" s="133"/>
    </row>
    <row r="178" spans="1:10" ht="28.5">
      <c r="A178" s="86" t="s">
        <v>354</v>
      </c>
      <c r="B178" s="84" t="s">
        <v>465</v>
      </c>
      <c r="C178" s="80" t="s">
        <v>351</v>
      </c>
      <c r="D178" s="133"/>
      <c r="E178" s="133"/>
      <c r="F178" s="133"/>
      <c r="G178" s="133"/>
      <c r="H178" s="133"/>
      <c r="I178" s="133"/>
      <c r="J178" s="133"/>
    </row>
    <row r="179" spans="1:10">
      <c r="A179" s="86" t="s">
        <v>356</v>
      </c>
      <c r="B179" s="83" t="s">
        <v>357</v>
      </c>
      <c r="C179" s="80" t="s">
        <v>36</v>
      </c>
      <c r="D179" s="133"/>
      <c r="E179" s="133"/>
      <c r="F179" s="133"/>
      <c r="G179" s="133"/>
      <c r="H179" s="133"/>
      <c r="I179" s="133"/>
      <c r="J179" s="133"/>
    </row>
    <row r="180" spans="1:10" ht="28.5">
      <c r="A180" s="86" t="s">
        <v>358</v>
      </c>
      <c r="B180" s="84" t="s">
        <v>466</v>
      </c>
      <c r="C180" s="80" t="s">
        <v>36</v>
      </c>
      <c r="D180" s="133"/>
      <c r="E180" s="133"/>
      <c r="F180" s="133"/>
      <c r="G180" s="133"/>
      <c r="H180" s="133"/>
      <c r="I180" s="133"/>
      <c r="J180" s="133"/>
    </row>
    <row r="181" spans="1:10" ht="28.5">
      <c r="A181" s="86" t="s">
        <v>360</v>
      </c>
      <c r="B181" s="84" t="s">
        <v>467</v>
      </c>
      <c r="C181" s="80" t="s">
        <v>36</v>
      </c>
      <c r="D181" s="133"/>
      <c r="E181" s="133"/>
      <c r="F181" s="133"/>
      <c r="G181" s="133"/>
      <c r="H181" s="133"/>
      <c r="I181" s="133"/>
      <c r="J181" s="133"/>
    </row>
    <row r="182" spans="1:10" ht="28.5">
      <c r="A182" s="86" t="s">
        <v>362</v>
      </c>
      <c r="B182" s="83" t="s">
        <v>363</v>
      </c>
      <c r="C182" s="80" t="s">
        <v>36</v>
      </c>
      <c r="D182" s="133"/>
      <c r="E182" s="133"/>
      <c r="F182" s="133"/>
      <c r="G182" s="133"/>
      <c r="H182" s="133"/>
      <c r="I182" s="133"/>
      <c r="J182" s="133"/>
    </row>
    <row r="183" spans="1:10" ht="28.5">
      <c r="A183" s="86" t="s">
        <v>364</v>
      </c>
      <c r="B183" s="83" t="s">
        <v>365</v>
      </c>
      <c r="C183" s="80" t="s">
        <v>36</v>
      </c>
      <c r="D183" s="133"/>
      <c r="E183" s="133"/>
      <c r="F183" s="133"/>
      <c r="G183" s="133"/>
      <c r="H183" s="133"/>
      <c r="I183" s="133"/>
      <c r="J183" s="133"/>
    </row>
    <row r="184" spans="1:10">
      <c r="A184" s="86" t="s">
        <v>366</v>
      </c>
      <c r="B184" s="83" t="s">
        <v>367</v>
      </c>
      <c r="C184" s="80" t="s">
        <v>36</v>
      </c>
      <c r="D184" s="133"/>
      <c r="E184" s="133"/>
      <c r="F184" s="133"/>
      <c r="G184" s="133"/>
      <c r="H184" s="133"/>
      <c r="I184" s="133"/>
      <c r="J184" s="133"/>
    </row>
    <row r="185" spans="1:10" ht="15">
      <c r="A185" s="73" t="s">
        <v>368</v>
      </c>
      <c r="B185" s="82" t="s">
        <v>369</v>
      </c>
      <c r="C185" s="74"/>
      <c r="D185" s="133"/>
      <c r="E185" s="133"/>
      <c r="F185" s="133"/>
      <c r="G185" s="133"/>
      <c r="H185" s="133"/>
      <c r="I185" s="133"/>
      <c r="J185" s="133"/>
    </row>
    <row r="186" spans="1:10" ht="42.75">
      <c r="A186" s="86" t="s">
        <v>370</v>
      </c>
      <c r="B186" s="84" t="s">
        <v>468</v>
      </c>
      <c r="C186" s="80" t="s">
        <v>36</v>
      </c>
      <c r="D186" s="133"/>
      <c r="E186" s="133"/>
      <c r="F186" s="133"/>
      <c r="G186" s="133"/>
      <c r="H186" s="133"/>
      <c r="I186" s="133"/>
      <c r="J186" s="133"/>
    </row>
    <row r="187" spans="1:10" ht="28.5">
      <c r="A187" s="86" t="s">
        <v>372</v>
      </c>
      <c r="B187" s="84" t="s">
        <v>469</v>
      </c>
      <c r="C187" s="80" t="s">
        <v>36</v>
      </c>
      <c r="D187" s="133"/>
      <c r="E187" s="133"/>
      <c r="F187" s="133"/>
      <c r="G187" s="133"/>
      <c r="H187" s="133"/>
      <c r="I187" s="133"/>
      <c r="J187" s="133"/>
    </row>
    <row r="188" spans="1:10" ht="28.5">
      <c r="A188" s="86" t="s">
        <v>374</v>
      </c>
      <c r="B188" s="84" t="s">
        <v>470</v>
      </c>
      <c r="C188" s="80" t="s">
        <v>36</v>
      </c>
      <c r="D188" s="133"/>
      <c r="E188" s="133"/>
      <c r="F188" s="133"/>
      <c r="G188" s="133"/>
      <c r="H188" s="133"/>
      <c r="I188" s="133"/>
      <c r="J188" s="133"/>
    </row>
    <row r="189" spans="1:10">
      <c r="A189" s="86" t="s">
        <v>376</v>
      </c>
      <c r="B189" s="83" t="s">
        <v>377</v>
      </c>
      <c r="C189" s="80" t="s">
        <v>36</v>
      </c>
      <c r="D189" s="133"/>
      <c r="E189" s="133"/>
      <c r="F189" s="133"/>
      <c r="G189" s="133"/>
      <c r="H189" s="133"/>
      <c r="I189" s="133"/>
      <c r="J189" s="133"/>
    </row>
    <row r="190" spans="1:10" ht="28.5">
      <c r="A190" s="86" t="s">
        <v>378</v>
      </c>
      <c r="B190" s="84" t="s">
        <v>379</v>
      </c>
      <c r="C190" s="80" t="s">
        <v>36</v>
      </c>
      <c r="D190" s="133"/>
      <c r="E190" s="133"/>
      <c r="F190" s="133"/>
      <c r="G190" s="133"/>
      <c r="H190" s="133"/>
      <c r="I190" s="133"/>
      <c r="J190" s="133"/>
    </row>
    <row r="191" spans="1:10">
      <c r="A191" s="86" t="s">
        <v>380</v>
      </c>
      <c r="B191" s="83" t="s">
        <v>346</v>
      </c>
      <c r="C191" s="80" t="s">
        <v>36</v>
      </c>
      <c r="D191" s="133"/>
      <c r="E191" s="133"/>
      <c r="F191" s="133"/>
      <c r="G191" s="133"/>
      <c r="H191" s="133"/>
      <c r="I191" s="133"/>
      <c r="J191" s="133"/>
    </row>
    <row r="192" spans="1:10" ht="28.5">
      <c r="A192" s="86" t="s">
        <v>381</v>
      </c>
      <c r="B192" s="83" t="s">
        <v>365</v>
      </c>
      <c r="C192" s="80" t="s">
        <v>36</v>
      </c>
      <c r="D192" s="133"/>
      <c r="E192" s="133"/>
      <c r="F192" s="133"/>
      <c r="G192" s="133"/>
      <c r="H192" s="133"/>
      <c r="I192" s="133"/>
      <c r="J192" s="133"/>
    </row>
    <row r="193" spans="1:10" ht="28.5">
      <c r="A193" s="86" t="s">
        <v>382</v>
      </c>
      <c r="B193" s="84" t="s">
        <v>471</v>
      </c>
      <c r="C193" s="80" t="s">
        <v>36</v>
      </c>
      <c r="D193" s="133"/>
      <c r="E193" s="133"/>
      <c r="F193" s="133"/>
      <c r="G193" s="133"/>
      <c r="H193" s="133"/>
      <c r="I193" s="133"/>
      <c r="J193" s="133"/>
    </row>
    <row r="194" spans="1:10" ht="15">
      <c r="A194" s="73" t="s">
        <v>384</v>
      </c>
      <c r="B194" s="82" t="s">
        <v>385</v>
      </c>
      <c r="C194" s="74"/>
      <c r="D194" s="133"/>
      <c r="E194" s="133"/>
      <c r="F194" s="133"/>
      <c r="G194" s="133"/>
      <c r="H194" s="133"/>
      <c r="I194" s="133"/>
      <c r="J194" s="133"/>
    </row>
    <row r="195" spans="1:10" ht="28.5">
      <c r="A195" s="86" t="s">
        <v>386</v>
      </c>
      <c r="B195" s="83" t="s">
        <v>387</v>
      </c>
      <c r="C195" s="80" t="s">
        <v>36</v>
      </c>
      <c r="D195" s="133"/>
      <c r="E195" s="133"/>
      <c r="F195" s="133"/>
      <c r="G195" s="133"/>
      <c r="H195" s="133"/>
      <c r="I195" s="133"/>
      <c r="J195" s="133"/>
    </row>
    <row r="196" spans="1:10" ht="28.5">
      <c r="A196" s="86" t="s">
        <v>388</v>
      </c>
      <c r="B196" s="83" t="s">
        <v>389</v>
      </c>
      <c r="C196" s="80" t="s">
        <v>36</v>
      </c>
      <c r="D196" s="133"/>
      <c r="E196" s="133"/>
      <c r="F196" s="133"/>
      <c r="G196" s="133"/>
      <c r="H196" s="133"/>
      <c r="I196" s="133"/>
      <c r="J196" s="133"/>
    </row>
    <row r="197" spans="1:10" ht="28.5">
      <c r="A197" s="86" t="s">
        <v>390</v>
      </c>
      <c r="B197" s="83" t="s">
        <v>391</v>
      </c>
      <c r="C197" s="80" t="s">
        <v>36</v>
      </c>
      <c r="D197" s="133"/>
      <c r="E197" s="133"/>
      <c r="F197" s="133"/>
      <c r="G197" s="133"/>
      <c r="H197" s="133"/>
      <c r="I197" s="133"/>
      <c r="J197" s="133"/>
    </row>
    <row r="198" spans="1:10" ht="28.5">
      <c r="A198" s="86" t="s">
        <v>392</v>
      </c>
      <c r="B198" s="83" t="s">
        <v>393</v>
      </c>
      <c r="C198" s="80" t="s">
        <v>279</v>
      </c>
      <c r="D198" s="133"/>
      <c r="E198" s="133"/>
      <c r="F198" s="133"/>
      <c r="G198" s="133"/>
      <c r="H198" s="133"/>
      <c r="I198" s="133"/>
      <c r="J198" s="133"/>
    </row>
    <row r="199" spans="1:10" ht="15">
      <c r="A199" s="73" t="s">
        <v>394</v>
      </c>
      <c r="B199" s="82" t="s">
        <v>395</v>
      </c>
      <c r="C199" s="74"/>
      <c r="D199" s="133"/>
      <c r="E199" s="133"/>
      <c r="F199" s="133"/>
      <c r="G199" s="133"/>
      <c r="H199" s="133"/>
      <c r="I199" s="133"/>
      <c r="J199" s="133"/>
    </row>
    <row r="200" spans="1:10" ht="57">
      <c r="A200" s="86" t="s">
        <v>396</v>
      </c>
      <c r="B200" s="83" t="s">
        <v>397</v>
      </c>
      <c r="C200" s="80" t="s">
        <v>36</v>
      </c>
      <c r="D200" s="133"/>
      <c r="E200" s="133"/>
      <c r="F200" s="133"/>
      <c r="G200" s="133"/>
      <c r="H200" s="133"/>
      <c r="I200" s="133"/>
      <c r="J200" s="133"/>
    </row>
    <row r="201" spans="1:10" ht="28.5">
      <c r="A201" s="86" t="s">
        <v>398</v>
      </c>
      <c r="B201" s="84" t="s">
        <v>399</v>
      </c>
      <c r="C201" s="80" t="s">
        <v>60</v>
      </c>
      <c r="D201" s="133"/>
      <c r="E201" s="133"/>
      <c r="F201" s="133"/>
      <c r="G201" s="133"/>
      <c r="H201" s="133"/>
      <c r="I201" s="133"/>
      <c r="J201" s="133"/>
    </row>
    <row r="202" spans="1:10" ht="28.5">
      <c r="A202" s="86" t="s">
        <v>400</v>
      </c>
      <c r="B202" s="84" t="s">
        <v>472</v>
      </c>
      <c r="C202" s="80" t="s">
        <v>60</v>
      </c>
      <c r="D202" s="133"/>
      <c r="E202" s="133"/>
      <c r="F202" s="133"/>
      <c r="G202" s="133"/>
      <c r="H202" s="133"/>
      <c r="I202" s="133"/>
      <c r="J202" s="133"/>
    </row>
    <row r="203" spans="1:10" ht="42.75">
      <c r="A203" s="86" t="s">
        <v>402</v>
      </c>
      <c r="B203" s="83" t="s">
        <v>403</v>
      </c>
      <c r="C203" s="80" t="s">
        <v>36</v>
      </c>
      <c r="D203" s="133"/>
      <c r="E203" s="133"/>
      <c r="F203" s="133"/>
      <c r="G203" s="133"/>
      <c r="H203" s="133"/>
      <c r="I203" s="133"/>
      <c r="J203" s="133"/>
    </row>
    <row r="204" spans="1:10" ht="42.75">
      <c r="A204" s="86" t="s">
        <v>404</v>
      </c>
      <c r="B204" s="83" t="s">
        <v>405</v>
      </c>
      <c r="C204" s="80" t="s">
        <v>36</v>
      </c>
      <c r="D204" s="133"/>
      <c r="E204" s="133"/>
      <c r="F204" s="133"/>
      <c r="G204" s="133"/>
      <c r="H204" s="133"/>
      <c r="I204" s="133"/>
      <c r="J204" s="133"/>
    </row>
    <row r="205" spans="1:10" ht="15">
      <c r="A205" s="91">
        <v>11</v>
      </c>
      <c r="B205" s="92" t="s">
        <v>406</v>
      </c>
      <c r="C205" s="93"/>
      <c r="D205" s="133"/>
      <c r="E205" s="133"/>
      <c r="F205" s="133"/>
      <c r="G205" s="133"/>
      <c r="H205" s="133"/>
      <c r="I205" s="133"/>
      <c r="J205" s="133"/>
    </row>
    <row r="206" spans="1:10">
      <c r="A206" s="78" t="s">
        <v>407</v>
      </c>
      <c r="B206" s="83" t="s">
        <v>408</v>
      </c>
      <c r="C206" s="80" t="s">
        <v>60</v>
      </c>
      <c r="D206" s="133"/>
      <c r="E206" s="133"/>
      <c r="F206" s="133"/>
      <c r="G206" s="133"/>
      <c r="H206" s="133"/>
      <c r="I206" s="133"/>
      <c r="J206" s="133"/>
    </row>
    <row r="207" spans="1:10" ht="28.5">
      <c r="A207" s="78" t="s">
        <v>409</v>
      </c>
      <c r="B207" s="83" t="s">
        <v>410</v>
      </c>
      <c r="C207" s="80" t="s">
        <v>36</v>
      </c>
      <c r="D207" s="133"/>
      <c r="E207" s="133"/>
      <c r="F207" s="133"/>
      <c r="G207" s="133"/>
      <c r="H207" s="133"/>
      <c r="I207" s="133"/>
      <c r="J207" s="133"/>
    </row>
    <row r="208" spans="1:10">
      <c r="A208" s="78" t="s">
        <v>411</v>
      </c>
      <c r="B208" s="83" t="s">
        <v>412</v>
      </c>
      <c r="C208" s="80" t="s">
        <v>36</v>
      </c>
      <c r="D208" s="133"/>
      <c r="E208" s="133"/>
      <c r="F208" s="133"/>
      <c r="G208" s="133"/>
      <c r="H208" s="133"/>
      <c r="I208" s="133"/>
      <c r="J208" s="133"/>
    </row>
    <row r="209" spans="1:10" ht="15">
      <c r="A209" s="91">
        <v>12</v>
      </c>
      <c r="B209" s="92" t="s">
        <v>413</v>
      </c>
      <c r="C209" s="93"/>
      <c r="D209" s="133"/>
      <c r="E209" s="133"/>
      <c r="F209" s="133"/>
      <c r="G209" s="133"/>
      <c r="H209" s="133"/>
      <c r="I209" s="133"/>
      <c r="J209" s="133"/>
    </row>
    <row r="210" spans="1:10" ht="57">
      <c r="A210" s="78" t="s">
        <v>414</v>
      </c>
      <c r="B210" s="84" t="s">
        <v>415</v>
      </c>
      <c r="C210" s="80" t="s">
        <v>36</v>
      </c>
      <c r="D210" s="133"/>
      <c r="E210" s="133"/>
      <c r="F210" s="133"/>
      <c r="G210" s="133"/>
      <c r="H210" s="133"/>
      <c r="I210" s="133"/>
      <c r="J210" s="133"/>
    </row>
    <row r="211" spans="1:10" ht="42.75">
      <c r="A211" s="78" t="s">
        <v>416</v>
      </c>
      <c r="B211" s="84" t="s">
        <v>417</v>
      </c>
      <c r="C211" s="80" t="s">
        <v>36</v>
      </c>
      <c r="D211" s="133"/>
      <c r="E211" s="133"/>
      <c r="F211" s="133"/>
      <c r="G211" s="133"/>
      <c r="H211" s="133"/>
      <c r="I211" s="133"/>
      <c r="J211" s="133"/>
    </row>
    <row r="212" spans="1:10" ht="42.75">
      <c r="A212" s="78" t="s">
        <v>418</v>
      </c>
      <c r="B212" s="84" t="s">
        <v>419</v>
      </c>
      <c r="C212" s="80" t="s">
        <v>36</v>
      </c>
      <c r="D212" s="133"/>
      <c r="E212" s="133"/>
      <c r="F212" s="133"/>
      <c r="G212" s="133"/>
      <c r="H212" s="133"/>
      <c r="I212" s="133"/>
      <c r="J212" s="133"/>
    </row>
    <row r="213" spans="1:10" ht="57">
      <c r="A213" s="78" t="s">
        <v>420</v>
      </c>
      <c r="B213" s="83" t="s">
        <v>421</v>
      </c>
      <c r="C213" s="80" t="s">
        <v>36</v>
      </c>
      <c r="D213" s="133"/>
      <c r="E213" s="133"/>
      <c r="F213" s="133"/>
      <c r="G213" s="133"/>
      <c r="H213" s="133"/>
      <c r="I213" s="133"/>
      <c r="J213" s="133"/>
    </row>
    <row r="214" spans="1:10" ht="42.75">
      <c r="A214" s="78" t="s">
        <v>422</v>
      </c>
      <c r="B214" s="84" t="s">
        <v>473</v>
      </c>
      <c r="C214" s="80" t="s">
        <v>36</v>
      </c>
      <c r="D214" s="133"/>
      <c r="E214" s="133"/>
      <c r="F214" s="133"/>
      <c r="G214" s="133"/>
      <c r="H214" s="133"/>
      <c r="I214" s="133"/>
      <c r="J214" s="133"/>
    </row>
    <row r="215" spans="1:10" ht="42.75">
      <c r="A215" s="78" t="s">
        <v>424</v>
      </c>
      <c r="B215" s="84" t="s">
        <v>425</v>
      </c>
      <c r="C215" s="80" t="s">
        <v>36</v>
      </c>
      <c r="D215" s="133"/>
      <c r="E215" s="133"/>
      <c r="F215" s="133"/>
      <c r="G215" s="133"/>
      <c r="H215" s="133"/>
      <c r="I215" s="133"/>
      <c r="J215" s="133"/>
    </row>
    <row r="216" spans="1:10" ht="15">
      <c r="A216" s="91">
        <v>13</v>
      </c>
      <c r="B216" s="92" t="s">
        <v>426</v>
      </c>
      <c r="C216" s="93"/>
      <c r="D216" s="133"/>
      <c r="E216" s="133"/>
      <c r="F216" s="133"/>
      <c r="G216" s="133"/>
      <c r="H216" s="133"/>
      <c r="I216" s="133"/>
      <c r="J216" s="133"/>
    </row>
    <row r="217" spans="1:10">
      <c r="A217" s="78" t="s">
        <v>427</v>
      </c>
      <c r="B217" s="83" t="s">
        <v>428</v>
      </c>
      <c r="C217" s="80" t="s">
        <v>351</v>
      </c>
      <c r="D217" s="133"/>
      <c r="E217" s="133"/>
      <c r="F217" s="133"/>
      <c r="G217" s="133"/>
      <c r="H217" s="133"/>
      <c r="I217" s="133"/>
      <c r="J217" s="133"/>
    </row>
    <row r="218" spans="1:10">
      <c r="A218" s="78" t="s">
        <v>429</v>
      </c>
      <c r="B218" s="83" t="s">
        <v>430</v>
      </c>
      <c r="C218" s="80" t="s">
        <v>36</v>
      </c>
      <c r="D218" s="133"/>
      <c r="E218" s="133"/>
      <c r="F218" s="133"/>
      <c r="G218" s="133"/>
      <c r="H218" s="133"/>
      <c r="I218" s="133"/>
      <c r="J218" s="133"/>
    </row>
    <row r="219" spans="1:10">
      <c r="A219" s="78" t="s">
        <v>431</v>
      </c>
      <c r="B219" s="83" t="s">
        <v>432</v>
      </c>
      <c r="C219" s="80" t="s">
        <v>27</v>
      </c>
      <c r="D219" s="133"/>
      <c r="E219" s="133"/>
      <c r="F219" s="133"/>
      <c r="G219" s="133"/>
      <c r="H219" s="133"/>
      <c r="I219" s="133"/>
      <c r="J219" s="133"/>
    </row>
    <row r="220" spans="1:10" ht="28.5">
      <c r="A220" s="78" t="s">
        <v>433</v>
      </c>
      <c r="B220" s="83" t="s">
        <v>434</v>
      </c>
      <c r="C220" s="80" t="s">
        <v>435</v>
      </c>
      <c r="D220" s="133"/>
      <c r="E220" s="133"/>
      <c r="F220" s="133"/>
      <c r="G220" s="133"/>
      <c r="H220" s="133"/>
      <c r="I220" s="133"/>
      <c r="J220" s="133"/>
    </row>
    <row r="221" spans="1:10" ht="28.5">
      <c r="A221" s="78" t="s">
        <v>436</v>
      </c>
      <c r="B221" s="83" t="s">
        <v>437</v>
      </c>
      <c r="C221" s="80" t="s">
        <v>438</v>
      </c>
      <c r="D221" s="133"/>
      <c r="E221" s="133"/>
      <c r="F221" s="133"/>
      <c r="G221" s="133"/>
      <c r="H221" s="133"/>
      <c r="I221" s="133"/>
      <c r="J221" s="133"/>
    </row>
    <row r="222" spans="1:10">
      <c r="A222" s="94"/>
      <c r="B222" s="94"/>
      <c r="C222" s="94"/>
    </row>
  </sheetData>
  <mergeCells count="221"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  <mergeCell ref="D14:J14"/>
    <mergeCell ref="D15:J15"/>
    <mergeCell ref="D16:J16"/>
  </mergeCells>
  <conditionalFormatting sqref="A4:C76 A77:B77 A78:C221">
    <cfRule type="expression" dxfId="32" priority="1">
      <formula>LEN($B4)=1</formula>
    </cfRule>
  </conditionalFormatting>
  <printOptions horizontalCentered="1"/>
  <pageMargins left="0.43307086614173229" right="0.23622047244094491" top="0.74803149606299213" bottom="0.74803149606299213" header="0.31496062992125984" footer="0.31496062992125984"/>
  <pageSetup paperSize="9" scale="41" fitToHeight="4" orientation="portrait" horizontalDpi="360" verticalDpi="360" r:id="rId1"/>
  <rowBreaks count="1" manualBreakCount="1">
    <brk id="14" max="16383" man="1"/>
  </rowBreaks>
  <colBreaks count="1" manualBreakCount="1">
    <brk id="3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229D-0260-47DE-80D7-DC402F8FA2A4}">
  <sheetPr>
    <tabColor theme="5" tint="-0.249977111117893"/>
  </sheetPr>
  <dimension ref="A2:M248"/>
  <sheetViews>
    <sheetView showGridLines="0" view="pageBreakPreview" zoomScale="80" zoomScaleNormal="80" zoomScaleSheetLayoutView="80" zoomScalePageLayoutView="80" workbookViewId="0">
      <selection activeCell="B246" sqref="B246:K248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"/>
      <c r="M2" s="2"/>
    </row>
    <row r="3" spans="2:13" s="3" customFormat="1" ht="18">
      <c r="B3" s="127" t="s">
        <v>1</v>
      </c>
      <c r="C3" s="128"/>
      <c r="D3" s="128"/>
      <c r="E3" s="128"/>
      <c r="F3" s="128"/>
      <c r="G3" s="128"/>
      <c r="H3" s="128"/>
      <c r="I3" s="128"/>
      <c r="J3" s="128"/>
      <c r="K3" s="129"/>
      <c r="L3" s="1"/>
      <c r="M3" s="2"/>
    </row>
    <row r="4" spans="2:13" s="5" customFormat="1" ht="15">
      <c r="B4" s="130" t="s">
        <v>2</v>
      </c>
      <c r="C4" s="131"/>
      <c r="D4" s="131" t="s">
        <v>3</v>
      </c>
      <c r="E4" s="131"/>
      <c r="F4" s="131"/>
      <c r="G4" s="131"/>
      <c r="H4" s="131"/>
      <c r="I4" s="131" t="s">
        <v>492</v>
      </c>
      <c r="J4" s="131"/>
      <c r="K4" s="132"/>
      <c r="L4" s="4"/>
    </row>
    <row r="5" spans="2:13" s="5" customFormat="1" ht="15">
      <c r="B5" s="120" t="s">
        <v>5</v>
      </c>
      <c r="C5" s="121"/>
      <c r="D5" s="121" t="s">
        <v>6</v>
      </c>
      <c r="E5" s="121"/>
      <c r="F5" s="121"/>
      <c r="G5" s="121"/>
      <c r="H5" s="121"/>
      <c r="I5" s="121" t="s">
        <v>493</v>
      </c>
      <c r="J5" s="121"/>
      <c r="K5" s="122"/>
      <c r="L5" s="4"/>
    </row>
    <row r="6" spans="2:13" s="5" customFormat="1" ht="15">
      <c r="B6" s="120" t="s">
        <v>8</v>
      </c>
      <c r="C6" s="121"/>
      <c r="D6" s="121" t="s">
        <v>9</v>
      </c>
      <c r="E6" s="121"/>
      <c r="F6" s="121"/>
      <c r="G6" s="121"/>
      <c r="H6" s="121"/>
      <c r="I6" s="121" t="s">
        <v>494</v>
      </c>
      <c r="J6" s="121"/>
      <c r="K6" s="122"/>
      <c r="L6" s="4"/>
    </row>
    <row r="7" spans="2:13" s="5" customFormat="1" ht="15">
      <c r="B7" s="120" t="s">
        <v>11</v>
      </c>
      <c r="C7" s="121"/>
      <c r="D7" s="121" t="s">
        <v>12</v>
      </c>
      <c r="E7" s="121"/>
      <c r="F7" s="121"/>
      <c r="G7" s="121"/>
      <c r="H7" s="121"/>
      <c r="I7" s="6" t="s">
        <v>13</v>
      </c>
      <c r="J7" s="8">
        <f>J242</f>
        <v>69233.863064300007</v>
      </c>
      <c r="K7" s="7"/>
      <c r="L7" s="4"/>
    </row>
    <row r="8" spans="2:13" s="5" customFormat="1" ht="15">
      <c r="B8" s="120"/>
      <c r="C8" s="121"/>
      <c r="D8" s="123"/>
      <c r="E8" s="123"/>
      <c r="F8" s="123"/>
      <c r="G8" s="123"/>
      <c r="H8" s="123"/>
      <c r="I8" s="124"/>
      <c r="J8" s="124"/>
      <c r="K8" s="125"/>
      <c r="L8" s="4"/>
    </row>
    <row r="9" spans="2:13" s="5" customFormat="1" ht="15.75">
      <c r="B9" s="115" t="s">
        <v>14</v>
      </c>
      <c r="C9" s="115"/>
      <c r="D9" s="115"/>
      <c r="E9" s="115"/>
      <c r="F9" s="115"/>
      <c r="G9" s="115"/>
      <c r="H9" s="115"/>
      <c r="I9" s="115"/>
      <c r="J9" s="115"/>
      <c r="K9" s="115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[4]Planilha!$B$12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22738.183700000001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03'!K5</f>
        <v>0</v>
      </c>
      <c r="H12" s="27">
        <f>G12+'[2]BM 02'!H12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03'!K6</f>
        <v>0</v>
      </c>
      <c r="H13" s="27">
        <f>G13+'[2]BM 02'!H13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03'!K7</f>
        <v>0</v>
      </c>
      <c r="H14" s="27">
        <f>G14+'[2]BM 02'!H14</f>
        <v>48.6</v>
      </c>
      <c r="I14" s="28">
        <f t="shared" si="1"/>
        <v>3456.4199999999996</v>
      </c>
      <c r="J14" s="28">
        <f t="shared" si="0"/>
        <v>0</v>
      </c>
      <c r="K14" s="28">
        <f t="shared" si="0"/>
        <v>2545.1819999999998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03'!K8</f>
        <v>0</v>
      </c>
      <c r="H15" s="27">
        <f>G15+'[2]BM 02'!H15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03'!K9</f>
        <v>0</v>
      </c>
      <c r="H16" s="27">
        <f>G16+'[2]BM 02'!H16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03'!K10</f>
        <v>0</v>
      </c>
      <c r="H17" s="27">
        <f>G17+'[2]BM 02'!H17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03'!K11</f>
        <v>0</v>
      </c>
      <c r="H18" s="27">
        <f>G18+'[2]BM 02'!H18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03'!K12</f>
        <v>0</v>
      </c>
      <c r="H19" s="27">
        <f>G19+'[2]BM 02'!H19</f>
        <v>40</v>
      </c>
      <c r="I19" s="28">
        <f t="shared" si="1"/>
        <v>8473.6</v>
      </c>
      <c r="J19" s="28">
        <f t="shared" si="0"/>
        <v>0</v>
      </c>
      <c r="K19" s="28">
        <f t="shared" si="0"/>
        <v>8473.6</v>
      </c>
      <c r="L19" s="4"/>
    </row>
    <row r="20" spans="2:12" s="5" customFormat="1" ht="15">
      <c r="B20" s="30">
        <v>2</v>
      </c>
      <c r="C20" s="31" t="str">
        <f>[4]Planilha!$B$21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1858.8669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03'!K14</f>
        <v>0</v>
      </c>
      <c r="H21" s="27">
        <f>G21+'[2]BM 02'!H21</f>
        <v>35.21125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1580.2809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03'!K15</f>
        <v>0</v>
      </c>
      <c r="H22" s="27">
        <f>G22+'[2]BM 02'!H22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03'!K16</f>
        <v>0</v>
      </c>
      <c r="H23" s="27">
        <f>G23+'[2]BM 02'!H23</f>
        <v>0</v>
      </c>
      <c r="I23" s="28">
        <f t="shared" si="3"/>
        <v>54.450899999999997</v>
      </c>
      <c r="J23" s="28">
        <f t="shared" si="2"/>
        <v>0</v>
      </c>
      <c r="K23" s="28">
        <f t="shared" si="2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03'!K17</f>
        <v>0</v>
      </c>
      <c r="H24" s="27">
        <f>G24+'[2]BM 02'!H24</f>
        <v>0</v>
      </c>
      <c r="I24" s="28">
        <f t="shared" si="3"/>
        <v>74.711699999999993</v>
      </c>
      <c r="J24" s="28">
        <f t="shared" si="2"/>
        <v>0</v>
      </c>
      <c r="K24" s="28">
        <f t="shared" si="2"/>
        <v>0</v>
      </c>
      <c r="L24" s="4"/>
    </row>
    <row r="25" spans="2:12" s="5" customFormat="1" ht="15">
      <c r="B25" s="30">
        <v>3</v>
      </c>
      <c r="C25" s="31" t="str">
        <f>[4]Planilha!$B$26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SUBTOTAL(9,J26:J31)</f>
        <v>0</v>
      </c>
      <c r="K25" s="34">
        <f>SUBTOTAL(9,K26:K31)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03'!K19</f>
        <v>0</v>
      </c>
      <c r="H26" s="27">
        <f>G26+'[2]BM 02'!H26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03'!K20</f>
        <v>0</v>
      </c>
      <c r="H27" s="27">
        <f>G27+'[2]BM 02'!H27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03'!K21</f>
        <v>0</v>
      </c>
      <c r="H28" s="27">
        <f>G28+'[2]BM 02'!H28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03'!K22</f>
        <v>0</v>
      </c>
      <c r="H29" s="27">
        <f>G29+'[2]BM 02'!H29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03'!K23</f>
        <v>0</v>
      </c>
      <c r="H30" s="27">
        <f>G30+'[2]BM 02'!H30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03'!K24</f>
        <v>0</v>
      </c>
      <c r="H31" s="27">
        <f>G31+'[2]BM 02'!H31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 t="shared" ref="K32" si="6">SUM(K33+K39)</f>
        <v>32488.182612500001</v>
      </c>
      <c r="L32" s="4"/>
    </row>
    <row r="33" spans="2:12" s="43" customFormat="1" ht="15">
      <c r="B33" s="36" t="s">
        <v>66</v>
      </c>
      <c r="C33" s="37" t="str">
        <f>[4]Planilha!$B$34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7">SUM(J34:J38)</f>
        <v>0</v>
      </c>
      <c r="K33" s="41">
        <f t="shared" si="7"/>
        <v>32488.182612500001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03'!K27</f>
        <v>0</v>
      </c>
      <c r="H34" s="27">
        <f>G34+'[2]BM 02'!H34</f>
        <v>2.07125</v>
      </c>
      <c r="I34" s="28">
        <f t="shared" ref="I34:K38" si="8">$E34*F34</f>
        <v>209.00789999999998</v>
      </c>
      <c r="J34" s="28">
        <f t="shared" si="8"/>
        <v>0</v>
      </c>
      <c r="K34" s="28">
        <f t="shared" si="8"/>
        <v>209.13411250000001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03'!K28</f>
        <v>0</v>
      </c>
      <c r="H35" s="27">
        <f>G35+'[2]BM 02'!H35</f>
        <v>212.53</v>
      </c>
      <c r="I35" s="28">
        <f t="shared" si="8"/>
        <v>6110.2375000000002</v>
      </c>
      <c r="J35" s="28">
        <f t="shared" si="8"/>
        <v>0</v>
      </c>
      <c r="K35" s="28">
        <f t="shared" si="8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03'!K29</f>
        <v>0</v>
      </c>
      <c r="H36" s="27">
        <f>G36+'[2]BM 02'!H36</f>
        <v>1114.3</v>
      </c>
      <c r="I36" s="28">
        <f t="shared" si="8"/>
        <v>14017.894</v>
      </c>
      <c r="J36" s="28">
        <f t="shared" si="8"/>
        <v>0</v>
      </c>
      <c r="K36" s="28">
        <f t="shared" si="8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03'!K30</f>
        <v>0</v>
      </c>
      <c r="H37" s="27">
        <f>G37+'[2]BM 02'!H37</f>
        <v>225.7</v>
      </c>
      <c r="I37" s="28">
        <f t="shared" si="8"/>
        <v>1762.7169999999999</v>
      </c>
      <c r="J37" s="28">
        <f t="shared" si="8"/>
        <v>0</v>
      </c>
      <c r="K37" s="28">
        <f t="shared" si="8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03'!K31</f>
        <v>0</v>
      </c>
      <c r="H38" s="27">
        <f>G38+'[2]BM 02'!H38</f>
        <v>20</v>
      </c>
      <c r="I38" s="28">
        <f t="shared" si="8"/>
        <v>10388.199999999999</v>
      </c>
      <c r="J38" s="28">
        <f t="shared" si="8"/>
        <v>0</v>
      </c>
      <c r="K38" s="28">
        <f t="shared" si="8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9">SUM(J40:J47)</f>
        <v>0</v>
      </c>
      <c r="K39" s="41">
        <f t="shared" si="9"/>
        <v>0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03'!K33</f>
        <v>0</v>
      </c>
      <c r="H40" s="27">
        <f>G40+'[2]BM 02'!H40</f>
        <v>0</v>
      </c>
      <c r="I40" s="28">
        <f t="shared" ref="I40:K47" si="10">$E40*F40</f>
        <v>11300.460999999999</v>
      </c>
      <c r="J40" s="28">
        <f t="shared" si="10"/>
        <v>0</v>
      </c>
      <c r="K40" s="28">
        <f t="shared" si="10"/>
        <v>0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03'!K34</f>
        <v>0</v>
      </c>
      <c r="H41" s="27">
        <f>G41+'[2]BM 02'!H41</f>
        <v>0</v>
      </c>
      <c r="I41" s="28">
        <f t="shared" si="10"/>
        <v>19748.083999999999</v>
      </c>
      <c r="J41" s="28">
        <f t="shared" si="10"/>
        <v>0</v>
      </c>
      <c r="K41" s="28">
        <f t="shared" si="10"/>
        <v>0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03'!K35</f>
        <v>0</v>
      </c>
      <c r="H42" s="27">
        <f>G42+'[2]BM 02'!H42</f>
        <v>0</v>
      </c>
      <c r="I42" s="28">
        <f t="shared" si="10"/>
        <v>2963.895</v>
      </c>
      <c r="J42" s="28">
        <f t="shared" si="10"/>
        <v>0</v>
      </c>
      <c r="K42" s="28">
        <f t="shared" si="10"/>
        <v>0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03'!K36</f>
        <v>0</v>
      </c>
      <c r="H43" s="27">
        <f>G43+'[2]BM 02'!H43</f>
        <v>0</v>
      </c>
      <c r="I43" s="28">
        <f t="shared" si="10"/>
        <v>6276.2776000000013</v>
      </c>
      <c r="J43" s="28">
        <f t="shared" si="10"/>
        <v>0</v>
      </c>
      <c r="K43" s="28">
        <f t="shared" si="10"/>
        <v>0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03'!K37</f>
        <v>0</v>
      </c>
      <c r="H44" s="27">
        <f>G44+'[2]BM 02'!H44</f>
        <v>0</v>
      </c>
      <c r="I44" s="28">
        <f t="shared" si="10"/>
        <v>2396.8963000000003</v>
      </c>
      <c r="J44" s="28">
        <f t="shared" si="10"/>
        <v>0</v>
      </c>
      <c r="K44" s="28">
        <f t="shared" si="10"/>
        <v>0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03'!K38</f>
        <v>0</v>
      </c>
      <c r="H45" s="27">
        <f>G45+'[2]BM 02'!H45</f>
        <v>0</v>
      </c>
      <c r="I45" s="28">
        <f t="shared" si="10"/>
        <v>23502.078600000001</v>
      </c>
      <c r="J45" s="28">
        <f t="shared" si="10"/>
        <v>0</v>
      </c>
      <c r="K45" s="28">
        <f t="shared" si="10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03'!K39</f>
        <v>0</v>
      </c>
      <c r="H46" s="27">
        <f>G46+'[2]BM 02'!H46</f>
        <v>0</v>
      </c>
      <c r="I46" s="28">
        <f t="shared" si="10"/>
        <v>2541.8910000000001</v>
      </c>
      <c r="J46" s="28">
        <f t="shared" si="10"/>
        <v>0</v>
      </c>
      <c r="K46" s="28">
        <f t="shared" si="10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03'!K40</f>
        <v>0</v>
      </c>
      <c r="H47" s="27">
        <f>G47+'[2]BM 02'!H47</f>
        <v>0</v>
      </c>
      <c r="I47" s="28">
        <f t="shared" si="10"/>
        <v>3246.4259999999995</v>
      </c>
      <c r="J47" s="28">
        <f t="shared" si="10"/>
        <v>0</v>
      </c>
      <c r="K47" s="28">
        <f t="shared" si="10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 t="shared" ref="J48:K48" si="11">J49+J51</f>
        <v>0</v>
      </c>
      <c r="K48" s="34">
        <f t="shared" si="11"/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03'!K42</f>
        <v>0</v>
      </c>
      <c r="H49" s="27">
        <f>G49+'[2]BM 02'!H49</f>
        <v>0</v>
      </c>
      <c r="I49" s="28">
        <f>$E49*F49</f>
        <v>46948.417600000001</v>
      </c>
      <c r="J49" s="28">
        <f t="shared" ref="J49:K51" si="12">$E49*G49</f>
        <v>0</v>
      </c>
      <c r="K49" s="28">
        <f>$E49*H49</f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03'!K44</f>
        <v>0</v>
      </c>
      <c r="H51" s="27">
        <f>G51+'[2]BM 02'!H51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0</v>
      </c>
      <c r="K52" s="34">
        <f t="shared" si="15"/>
        <v>1229.904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03'!K46</f>
        <v>0</v>
      </c>
      <c r="H53" s="27">
        <f>G53+'[2]BM 02'!H53</f>
        <v>142.35</v>
      </c>
      <c r="I53" s="28">
        <f>$E53*F53</f>
        <v>1229.904</v>
      </c>
      <c r="J53" s="28">
        <f t="shared" ref="J53:K55" si="16">$E53*G53</f>
        <v>0</v>
      </c>
      <c r="K53" s="28">
        <f t="shared" si="16"/>
        <v>1229.904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03'!K47</f>
        <v>0</v>
      </c>
      <c r="H54" s="27">
        <f>G54+'[2]BM 02'!H54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03'!K48</f>
        <v>0</v>
      </c>
      <c r="H55" s="27">
        <f>G55+'[2]BM 02'!H55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 t="shared" ref="J56:K56" si="18">J57+J68+J77+J84</f>
        <v>0</v>
      </c>
      <c r="K56" s="34">
        <f t="shared" si="18"/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 t="shared" ref="J57:K57" si="19">SUM(J58:J67)</f>
        <v>0</v>
      </c>
      <c r="K57" s="41">
        <f t="shared" si="19"/>
        <v>0</v>
      </c>
      <c r="L57" s="4"/>
    </row>
    <row r="58" spans="2:12" s="5" customFormat="1" ht="24">
      <c r="B58" s="50" t="s">
        <v>110</v>
      </c>
      <c r="C58" s="29" t="s">
        <v>454</v>
      </c>
      <c r="D58" s="23" t="s">
        <v>27</v>
      </c>
      <c r="E58" s="35">
        <v>38.299999999999997</v>
      </c>
      <c r="F58" s="25">
        <v>234.35</v>
      </c>
      <c r="G58" s="26">
        <f>'[2]Memória 03'!K51</f>
        <v>0</v>
      </c>
      <c r="H58" s="27">
        <f>G58+'[2]BM 02'!H58</f>
        <v>0</v>
      </c>
      <c r="I58" s="28">
        <f t="shared" ref="I58:K67" si="20">$E58*F58</f>
        <v>8975.6049999999996</v>
      </c>
      <c r="J58" s="28">
        <f t="shared" si="20"/>
        <v>0</v>
      </c>
      <c r="K58" s="28">
        <f t="shared" si="20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03'!K52</f>
        <v>0</v>
      </c>
      <c r="H59" s="27">
        <f>G59+'[2]BM 02'!H59</f>
        <v>0</v>
      </c>
      <c r="I59" s="28">
        <f t="shared" si="20"/>
        <v>4586.6959999999999</v>
      </c>
      <c r="J59" s="28">
        <f t="shared" si="20"/>
        <v>0</v>
      </c>
      <c r="K59" s="28">
        <f t="shared" si="20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03'!K53</f>
        <v>0</v>
      </c>
      <c r="H60" s="27">
        <f>G60+'[2]BM 02'!H60</f>
        <v>0</v>
      </c>
      <c r="I60" s="28">
        <f t="shared" si="20"/>
        <v>7814.9655000000002</v>
      </c>
      <c r="J60" s="28">
        <f t="shared" si="20"/>
        <v>0</v>
      </c>
      <c r="K60" s="28">
        <f t="shared" si="20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03'!K54</f>
        <v>0</v>
      </c>
      <c r="H61" s="27">
        <f>G61+'[2]BM 02'!H61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03'!K55</f>
        <v>0</v>
      </c>
      <c r="H62" s="27">
        <f>G62+'[2]BM 02'!H62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03'!K56</f>
        <v>0</v>
      </c>
      <c r="H63" s="27">
        <f>G63+'[2]BM 02'!H63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03'!K57</f>
        <v>0</v>
      </c>
      <c r="H64" s="27">
        <f>G64+'[2]BM 02'!H64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03'!K58</f>
        <v>0</v>
      </c>
      <c r="H65" s="27">
        <f>G65+'[2]BM 02'!H65</f>
        <v>0</v>
      </c>
      <c r="I65" s="28">
        <f t="shared" si="20"/>
        <v>18663.633999999998</v>
      </c>
      <c r="J65" s="28">
        <f t="shared" si="20"/>
        <v>0</v>
      </c>
      <c r="K65" s="28">
        <f t="shared" si="20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03'!K59</f>
        <v>0</v>
      </c>
      <c r="H66" s="27">
        <f>G66+'[2]BM 02'!H66</f>
        <v>0</v>
      </c>
      <c r="I66" s="28">
        <f t="shared" si="20"/>
        <v>3317.0199999999995</v>
      </c>
      <c r="J66" s="28">
        <f t="shared" si="20"/>
        <v>0</v>
      </c>
      <c r="K66" s="28">
        <f t="shared" si="20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03'!K60</f>
        <v>0</v>
      </c>
      <c r="H67" s="27">
        <f>G67+'[2]BM 02'!H67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0</v>
      </c>
      <c r="K68" s="41">
        <f t="shared" si="21"/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03'!K62</f>
        <v>0</v>
      </c>
      <c r="H69" s="27">
        <f>G69+'[2]BM 02'!H69</f>
        <v>0</v>
      </c>
      <c r="I69" s="28">
        <f t="shared" ref="I69:K76" si="22">$E69*F69</f>
        <v>3061.2526999999995</v>
      </c>
      <c r="J69" s="28">
        <f t="shared" si="22"/>
        <v>0</v>
      </c>
      <c r="K69" s="28">
        <f t="shared" si="22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03'!K63</f>
        <v>0</v>
      </c>
      <c r="H70" s="27">
        <f>G70+'[2]BM 02'!H70</f>
        <v>0</v>
      </c>
      <c r="I70" s="28">
        <f t="shared" si="22"/>
        <v>2724.0911999999998</v>
      </c>
      <c r="J70" s="28">
        <f t="shared" si="22"/>
        <v>0</v>
      </c>
      <c r="K70" s="28">
        <f t="shared" si="22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03'!K64</f>
        <v>0</v>
      </c>
      <c r="H71" s="27">
        <f>G71+'[2]BM 02'!H71</f>
        <v>0</v>
      </c>
      <c r="I71" s="28">
        <f t="shared" si="22"/>
        <v>35879.399399999995</v>
      </c>
      <c r="J71" s="28">
        <f t="shared" si="22"/>
        <v>0</v>
      </c>
      <c r="K71" s="28">
        <f t="shared" si="22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03'!K65</f>
        <v>0</v>
      </c>
      <c r="H72" s="27">
        <f>G72+'[2]BM 02'!H72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03'!K66</f>
        <v>0</v>
      </c>
      <c r="H73" s="27">
        <f>G73+'[2]BM 02'!H73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03'!K67</f>
        <v>0</v>
      </c>
      <c r="H74" s="27">
        <f>G74+'[2]BM 02'!H74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03'!K68</f>
        <v>0</v>
      </c>
      <c r="H75" s="27">
        <f>G75+'[2]BM 02'!H75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03'!K69</f>
        <v>0</v>
      </c>
      <c r="H76" s="27">
        <f>G76+'[2]BM 02'!H76</f>
        <v>0</v>
      </c>
      <c r="I76" s="28">
        <f t="shared" si="22"/>
        <v>11697.7035</v>
      </c>
      <c r="J76" s="28">
        <f t="shared" si="22"/>
        <v>0</v>
      </c>
      <c r="K76" s="28">
        <f t="shared" si="22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SUM(J78:J83)</f>
        <v>0</v>
      </c>
      <c r="K77" s="41">
        <f t="shared" ref="K77" si="23">SUM(K78:K83)</f>
        <v>0</v>
      </c>
      <c r="L77" s="4"/>
    </row>
    <row r="78" spans="2:12" s="5" customFormat="1" ht="24">
      <c r="B78" s="103" t="s">
        <v>150</v>
      </c>
      <c r="C78" s="104" t="s">
        <v>151</v>
      </c>
      <c r="D78" s="105" t="s">
        <v>27</v>
      </c>
      <c r="E78" s="106">
        <v>8.5500000000000007</v>
      </c>
      <c r="F78" s="107">
        <v>0</v>
      </c>
      <c r="G78" s="26">
        <f>'[2]Memória 03'!K71</f>
        <v>0</v>
      </c>
      <c r="H78" s="27">
        <f>G78+'[2]BM 02'!H78</f>
        <v>0</v>
      </c>
      <c r="I78" s="108">
        <f t="shared" ref="I78:K83" si="24">$E78*F78</f>
        <v>0</v>
      </c>
      <c r="J78" s="108">
        <f t="shared" si="24"/>
        <v>0</v>
      </c>
      <c r="K78" s="108">
        <f t="shared" si="24"/>
        <v>0</v>
      </c>
      <c r="L78" s="4"/>
    </row>
    <row r="79" spans="2:12" s="5" customFormat="1" ht="24">
      <c r="B79" s="103" t="s">
        <v>152</v>
      </c>
      <c r="C79" s="104" t="s">
        <v>153</v>
      </c>
      <c r="D79" s="105" t="s">
        <v>27</v>
      </c>
      <c r="E79" s="106">
        <v>23.26</v>
      </c>
      <c r="F79" s="107">
        <v>0</v>
      </c>
      <c r="G79" s="26">
        <f>'[2]Memória 03'!K72</f>
        <v>0</v>
      </c>
      <c r="H79" s="27">
        <f>G79+'[2]BM 02'!H79</f>
        <v>0</v>
      </c>
      <c r="I79" s="108">
        <f t="shared" si="24"/>
        <v>0</v>
      </c>
      <c r="J79" s="108">
        <f t="shared" si="24"/>
        <v>0</v>
      </c>
      <c r="K79" s="108">
        <f t="shared" si="2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03'!K73</f>
        <v>0</v>
      </c>
      <c r="H80" s="27">
        <f>G80+'[2]BM 02'!H80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03'!K74</f>
        <v>0</v>
      </c>
      <c r="H81" s="27">
        <f>G81+'[2]BM 02'!H81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03'!K75</f>
        <v>0</v>
      </c>
      <c r="H82" s="27">
        <f>G82+'[2]BM 02'!H82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03'!K76</f>
        <v>0</v>
      </c>
      <c r="H83" s="27">
        <f>G83+'[2]BM 02'!H83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>
      <c r="B84" s="36" t="s">
        <v>160</v>
      </c>
      <c r="C84" s="116" t="s">
        <v>161</v>
      </c>
      <c r="D84" s="116"/>
      <c r="E84" s="46"/>
      <c r="F84" s="46"/>
      <c r="G84" s="46"/>
      <c r="H84" s="46"/>
      <c r="I84" s="41">
        <f>I85</f>
        <v>656.98199999999997</v>
      </c>
      <c r="J84" s="41">
        <f t="shared" ref="J84:K84" si="25">J85</f>
        <v>0</v>
      </c>
      <c r="K84" s="41">
        <f t="shared" si="25"/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03'!K78</f>
        <v>0</v>
      </c>
      <c r="H85" s="27">
        <f>G85+'[2]BM 02'!H85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6">J87+J96+J101</f>
        <v>0</v>
      </c>
      <c r="K86" s="34">
        <f t="shared" si="26"/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7">SUM(J88:J95)</f>
        <v>0</v>
      </c>
      <c r="K87" s="41">
        <f t="shared" si="27"/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03'!K81</f>
        <v>0</v>
      </c>
      <c r="H88" s="27">
        <f>G88+'[2]BM 02'!H88</f>
        <v>0</v>
      </c>
      <c r="I88" s="28">
        <f t="shared" ref="I88:K95" si="28">$E88*F88</f>
        <v>3442.74</v>
      </c>
      <c r="J88" s="28">
        <f t="shared" si="28"/>
        <v>0</v>
      </c>
      <c r="K88" s="28">
        <f t="shared" si="28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03'!K82</f>
        <v>0</v>
      </c>
      <c r="H89" s="27">
        <f>G89+'[2]BM 02'!H89</f>
        <v>0</v>
      </c>
      <c r="I89" s="28">
        <f t="shared" si="28"/>
        <v>7354.2000000000007</v>
      </c>
      <c r="J89" s="28">
        <f t="shared" si="28"/>
        <v>0</v>
      </c>
      <c r="K89" s="28">
        <f t="shared" si="28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03'!K83</f>
        <v>0</v>
      </c>
      <c r="H90" s="27">
        <f>G90+'[2]BM 02'!H90</f>
        <v>0</v>
      </c>
      <c r="I90" s="28">
        <f t="shared" si="28"/>
        <v>741.28</v>
      </c>
      <c r="J90" s="28">
        <f t="shared" si="28"/>
        <v>0</v>
      </c>
      <c r="K90" s="28">
        <f t="shared" si="28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03'!K84</f>
        <v>0</v>
      </c>
      <c r="H91" s="27">
        <f>G91+'[2]BM 02'!H91</f>
        <v>0</v>
      </c>
      <c r="I91" s="28">
        <f t="shared" si="28"/>
        <v>1386.43</v>
      </c>
      <c r="J91" s="28">
        <f t="shared" si="28"/>
        <v>0</v>
      </c>
      <c r="K91" s="28">
        <f t="shared" si="28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03'!K85</f>
        <v>0</v>
      </c>
      <c r="H92" s="27">
        <f>G92+'[2]BM 02'!H92</f>
        <v>0</v>
      </c>
      <c r="I92" s="28">
        <f t="shared" si="28"/>
        <v>374.34</v>
      </c>
      <c r="J92" s="28">
        <f t="shared" si="28"/>
        <v>0</v>
      </c>
      <c r="K92" s="28">
        <f t="shared" si="28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03'!K86</f>
        <v>0</v>
      </c>
      <c r="H93" s="27">
        <f>G93+'[2]BM 02'!H93</f>
        <v>0</v>
      </c>
      <c r="I93" s="28">
        <f t="shared" si="28"/>
        <v>474.3</v>
      </c>
      <c r="J93" s="28">
        <f t="shared" si="28"/>
        <v>0</v>
      </c>
      <c r="K93" s="28">
        <f t="shared" si="28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03'!K87</f>
        <v>0</v>
      </c>
      <c r="H94" s="27">
        <f>G94+'[2]BM 02'!H94</f>
        <v>0</v>
      </c>
      <c r="I94" s="28">
        <f t="shared" si="28"/>
        <v>551.98</v>
      </c>
      <c r="J94" s="28">
        <f t="shared" si="28"/>
        <v>0</v>
      </c>
      <c r="K94" s="28">
        <f t="shared" si="28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03'!K88</f>
        <v>0</v>
      </c>
      <c r="H95" s="27">
        <f>G95+'[2]BM 02'!H95</f>
        <v>0</v>
      </c>
      <c r="I95" s="28">
        <f t="shared" si="28"/>
        <v>2253.069</v>
      </c>
      <c r="J95" s="28">
        <f t="shared" si="28"/>
        <v>0</v>
      </c>
      <c r="K95" s="28">
        <f t="shared" si="28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9">SUM(J97:J100)</f>
        <v>0</v>
      </c>
      <c r="K96" s="41">
        <f t="shared" si="29"/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03'!K90</f>
        <v>0</v>
      </c>
      <c r="H97" s="27">
        <f>G97+'[2]BM 02'!H97</f>
        <v>0</v>
      </c>
      <c r="I97" s="28">
        <f t="shared" ref="I97:K100" si="30">$E97*F97</f>
        <v>18004.346000000001</v>
      </c>
      <c r="J97" s="28">
        <f t="shared" si="30"/>
        <v>0</v>
      </c>
      <c r="K97" s="28">
        <f t="shared" si="30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03'!K91</f>
        <v>0</v>
      </c>
      <c r="H98" s="27">
        <f>G98+'[2]BM 02'!H98</f>
        <v>0</v>
      </c>
      <c r="I98" s="28">
        <f t="shared" si="30"/>
        <v>473.39200000000005</v>
      </c>
      <c r="J98" s="28">
        <f t="shared" si="30"/>
        <v>0</v>
      </c>
      <c r="K98" s="28">
        <f t="shared" si="30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03'!K92</f>
        <v>0</v>
      </c>
      <c r="H99" s="27">
        <f>G99+'[2]BM 02'!H99</f>
        <v>0</v>
      </c>
      <c r="I99" s="28">
        <f t="shared" si="30"/>
        <v>10536.165199999999</v>
      </c>
      <c r="J99" s="28">
        <f t="shared" si="30"/>
        <v>0</v>
      </c>
      <c r="K99" s="28">
        <f t="shared" si="30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03'!K93</f>
        <v>0</v>
      </c>
      <c r="H100" s="27">
        <f>G100+'[2]BM 02'!H100</f>
        <v>0</v>
      </c>
      <c r="I100" s="28">
        <f t="shared" si="30"/>
        <v>149.44999999999999</v>
      </c>
      <c r="J100" s="28">
        <f t="shared" si="30"/>
        <v>0</v>
      </c>
      <c r="K100" s="28">
        <f t="shared" si="30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 t="shared" ref="J101:K101" si="31">SUM(J102:J104)</f>
        <v>0</v>
      </c>
      <c r="K101" s="41">
        <f t="shared" si="31"/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03'!K95</f>
        <v>0</v>
      </c>
      <c r="H102" s="27">
        <f>G102+'[2]BM 02'!H102</f>
        <v>0</v>
      </c>
      <c r="I102" s="28">
        <f t="shared" ref="I102:K104" si="32">$E102*F102</f>
        <v>6197.4107999999997</v>
      </c>
      <c r="J102" s="28">
        <f t="shared" si="32"/>
        <v>0</v>
      </c>
      <c r="K102" s="28">
        <f t="shared" si="32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03'!K96</f>
        <v>0</v>
      </c>
      <c r="H103" s="27">
        <f>G103+'[2]BM 02'!H103</f>
        <v>0</v>
      </c>
      <c r="I103" s="28">
        <f t="shared" si="32"/>
        <v>3777.5155999999997</v>
      </c>
      <c r="J103" s="28">
        <f t="shared" si="32"/>
        <v>0</v>
      </c>
      <c r="K103" s="28">
        <f t="shared" si="32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03'!K97</f>
        <v>0</v>
      </c>
      <c r="H104" s="27">
        <f>G104+'[2]BM 02'!H104</f>
        <v>0</v>
      </c>
      <c r="I104" s="28">
        <f t="shared" si="32"/>
        <v>1274.6487999999999</v>
      </c>
      <c r="J104" s="28">
        <f t="shared" si="32"/>
        <v>0</v>
      </c>
      <c r="K104" s="28">
        <f t="shared" si="32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3">J106+J108+J130+J135+J143</f>
        <v>0</v>
      </c>
      <c r="K105" s="34">
        <f t="shared" si="33"/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 t="shared" ref="J106:K106" si="34">J107</f>
        <v>0</v>
      </c>
      <c r="K106" s="41">
        <f t="shared" si="34"/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03'!K100</f>
        <v>0</v>
      </c>
      <c r="H107" s="27">
        <f>G107+'[2]BM 02'!H107</f>
        <v>0</v>
      </c>
      <c r="I107" s="28">
        <f t="shared" ref="I107:K107" si="35">$E107*F107</f>
        <v>1687.24</v>
      </c>
      <c r="J107" s="28">
        <f t="shared" si="35"/>
        <v>0</v>
      </c>
      <c r="K107" s="28">
        <f t="shared" si="35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6">SUM(J109:J129)</f>
        <v>0</v>
      </c>
      <c r="K108" s="41">
        <f t="shared" si="36"/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03'!K102</f>
        <v>0</v>
      </c>
      <c r="H109" s="27">
        <f>G109+'[2]BM 02'!H109</f>
        <v>0</v>
      </c>
      <c r="I109" s="28">
        <f t="shared" ref="I109:K124" si="37">$E109*F109</f>
        <v>4015.61</v>
      </c>
      <c r="J109" s="28">
        <f t="shared" si="37"/>
        <v>0</v>
      </c>
      <c r="K109" s="28">
        <f t="shared" si="37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03'!K103</f>
        <v>0</v>
      </c>
      <c r="H110" s="27">
        <f>G110+'[2]BM 02'!H110</f>
        <v>0</v>
      </c>
      <c r="I110" s="28">
        <f t="shared" si="37"/>
        <v>616</v>
      </c>
      <c r="J110" s="28">
        <f t="shared" si="37"/>
        <v>0</v>
      </c>
      <c r="K110" s="28">
        <f t="shared" si="37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03'!K104</f>
        <v>0</v>
      </c>
      <c r="H111" s="27">
        <f>G111+'[2]BM 02'!H111</f>
        <v>0</v>
      </c>
      <c r="I111" s="28">
        <f t="shared" si="37"/>
        <v>1205.28</v>
      </c>
      <c r="J111" s="28">
        <f t="shared" si="37"/>
        <v>0</v>
      </c>
      <c r="K111" s="28">
        <f t="shared" si="37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03'!K105</f>
        <v>0</v>
      </c>
      <c r="H112" s="27">
        <f>G112+'[2]BM 02'!H112</f>
        <v>0</v>
      </c>
      <c r="I112" s="28">
        <f t="shared" si="37"/>
        <v>632.93999999999994</v>
      </c>
      <c r="J112" s="28">
        <f t="shared" si="37"/>
        <v>0</v>
      </c>
      <c r="K112" s="28">
        <f t="shared" si="37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03'!K106</f>
        <v>0</v>
      </c>
      <c r="H113" s="27">
        <f>G113+'[2]BM 02'!H113</f>
        <v>0</v>
      </c>
      <c r="I113" s="28">
        <f t="shared" si="37"/>
        <v>240.86</v>
      </c>
      <c r="J113" s="28">
        <f t="shared" si="37"/>
        <v>0</v>
      </c>
      <c r="K113" s="28">
        <f t="shared" si="37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03'!K107</f>
        <v>0</v>
      </c>
      <c r="H114" s="27">
        <f>G114+'[2]BM 02'!H114</f>
        <v>0</v>
      </c>
      <c r="I114" s="28">
        <f t="shared" si="37"/>
        <v>61.56</v>
      </c>
      <c r="J114" s="28">
        <f t="shared" si="37"/>
        <v>0</v>
      </c>
      <c r="K114" s="28">
        <f t="shared" si="37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03'!K108</f>
        <v>0</v>
      </c>
      <c r="H115" s="27">
        <f>G115+'[2]BM 02'!H115</f>
        <v>0</v>
      </c>
      <c r="I115" s="28">
        <f t="shared" si="37"/>
        <v>12512</v>
      </c>
      <c r="J115" s="28">
        <f t="shared" si="37"/>
        <v>0</v>
      </c>
      <c r="K115" s="28">
        <f t="shared" si="37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03'!K109</f>
        <v>0</v>
      </c>
      <c r="H116" s="27">
        <f>G116+'[2]BM 02'!H116</f>
        <v>0</v>
      </c>
      <c r="I116" s="28">
        <f t="shared" si="37"/>
        <v>2.96</v>
      </c>
      <c r="J116" s="28">
        <f t="shared" si="37"/>
        <v>0</v>
      </c>
      <c r="K116" s="28">
        <f t="shared" si="37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03'!K110</f>
        <v>0</v>
      </c>
      <c r="H117" s="27">
        <f>G117+'[2]BM 02'!H117</f>
        <v>0</v>
      </c>
      <c r="I117" s="28">
        <f t="shared" si="37"/>
        <v>738.72</v>
      </c>
      <c r="J117" s="28">
        <f t="shared" si="37"/>
        <v>0</v>
      </c>
      <c r="K117" s="28">
        <f t="shared" si="37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03'!K111</f>
        <v>0</v>
      </c>
      <c r="H118" s="27">
        <f>G118+'[2]BM 02'!H118</f>
        <v>0</v>
      </c>
      <c r="I118" s="28">
        <f t="shared" si="37"/>
        <v>71.25</v>
      </c>
      <c r="J118" s="28">
        <f t="shared" si="37"/>
        <v>0</v>
      </c>
      <c r="K118" s="28">
        <f t="shared" si="37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03'!K112</f>
        <v>0</v>
      </c>
      <c r="H119" s="27">
        <f>G119+'[2]BM 02'!H119</f>
        <v>0</v>
      </c>
      <c r="I119" s="28">
        <f t="shared" si="37"/>
        <v>25.92</v>
      </c>
      <c r="J119" s="28">
        <f t="shared" si="37"/>
        <v>0</v>
      </c>
      <c r="K119" s="28">
        <f t="shared" si="37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03'!K113</f>
        <v>0</v>
      </c>
      <c r="H120" s="27">
        <f>G120+'[2]BM 02'!H120</f>
        <v>0</v>
      </c>
      <c r="I120" s="28">
        <f t="shared" si="37"/>
        <v>15.52</v>
      </c>
      <c r="J120" s="28">
        <f t="shared" si="37"/>
        <v>0</v>
      </c>
      <c r="K120" s="28">
        <f t="shared" si="37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03'!K114</f>
        <v>0</v>
      </c>
      <c r="H121" s="27">
        <f>G121+'[2]BM 02'!H121</f>
        <v>0</v>
      </c>
      <c r="I121" s="28">
        <f t="shared" si="37"/>
        <v>11224</v>
      </c>
      <c r="J121" s="28">
        <f t="shared" si="37"/>
        <v>0</v>
      </c>
      <c r="K121" s="28">
        <f t="shared" si="37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03'!K115</f>
        <v>0</v>
      </c>
      <c r="H122" s="27">
        <f>G122+'[2]BM 02'!H122</f>
        <v>0</v>
      </c>
      <c r="I122" s="28">
        <f t="shared" si="37"/>
        <v>144.60000000000002</v>
      </c>
      <c r="J122" s="28">
        <f t="shared" si="37"/>
        <v>0</v>
      </c>
      <c r="K122" s="28">
        <f t="shared" si="37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03'!K116</f>
        <v>0</v>
      </c>
      <c r="H123" s="27">
        <f>G123+'[2]BM 02'!H123</f>
        <v>0</v>
      </c>
      <c r="I123" s="28">
        <f t="shared" si="37"/>
        <v>162.9</v>
      </c>
      <c r="J123" s="28">
        <f t="shared" si="37"/>
        <v>0</v>
      </c>
      <c r="K123" s="28">
        <f t="shared" si="37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03'!K117</f>
        <v>0</v>
      </c>
      <c r="H124" s="27">
        <f>G124+'[2]BM 02'!H124</f>
        <v>0</v>
      </c>
      <c r="I124" s="28">
        <f t="shared" si="37"/>
        <v>56.16</v>
      </c>
      <c r="J124" s="28">
        <f t="shared" si="37"/>
        <v>0</v>
      </c>
      <c r="K124" s="28">
        <f t="shared" si="37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03'!K118</f>
        <v>0</v>
      </c>
      <c r="H125" s="27">
        <f>G125+'[2]BM 02'!H125</f>
        <v>0</v>
      </c>
      <c r="I125" s="28">
        <f t="shared" ref="I125:K129" si="38">$E125*F125</f>
        <v>34.630000000000003</v>
      </c>
      <c r="J125" s="28">
        <f t="shared" si="38"/>
        <v>0</v>
      </c>
      <c r="K125" s="28">
        <f t="shared" si="38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03'!K119</f>
        <v>0</v>
      </c>
      <c r="H126" s="27">
        <f>G126+'[2]BM 02'!H126</f>
        <v>0</v>
      </c>
      <c r="I126" s="28">
        <f t="shared" si="38"/>
        <v>22.72</v>
      </c>
      <c r="J126" s="28">
        <f t="shared" si="38"/>
        <v>0</v>
      </c>
      <c r="K126" s="28">
        <f t="shared" si="38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03'!K120</f>
        <v>0</v>
      </c>
      <c r="H127" s="27">
        <f>G127+'[2]BM 02'!H127</f>
        <v>0</v>
      </c>
      <c r="I127" s="28">
        <f t="shared" si="38"/>
        <v>5.94</v>
      </c>
      <c r="J127" s="28">
        <f t="shared" si="38"/>
        <v>0</v>
      </c>
      <c r="K127" s="28">
        <f t="shared" si="38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03'!K121</f>
        <v>0</v>
      </c>
      <c r="H128" s="27">
        <f>G128+'[2]BM 02'!H128</f>
        <v>0</v>
      </c>
      <c r="I128" s="28">
        <f t="shared" si="38"/>
        <v>181.98</v>
      </c>
      <c r="J128" s="28">
        <f t="shared" si="38"/>
        <v>0</v>
      </c>
      <c r="K128" s="28">
        <f t="shared" si="38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03'!K122</f>
        <v>0</v>
      </c>
      <c r="H129" s="27">
        <f>G129+'[2]BM 02'!H129</f>
        <v>0</v>
      </c>
      <c r="I129" s="28">
        <f t="shared" si="38"/>
        <v>5336</v>
      </c>
      <c r="J129" s="28">
        <f t="shared" si="38"/>
        <v>0</v>
      </c>
      <c r="K129" s="28">
        <f t="shared" si="38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9">SUM(J131:J134)</f>
        <v>0</v>
      </c>
      <c r="K130" s="41">
        <f t="shared" si="39"/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03'!K124</f>
        <v>0</v>
      </c>
      <c r="H131" s="27">
        <f>G131+'[2]BM 02'!H131</f>
        <v>0</v>
      </c>
      <c r="I131" s="28">
        <f t="shared" ref="I131:K134" si="40">$E131*F131</f>
        <v>408.32</v>
      </c>
      <c r="J131" s="28">
        <f t="shared" si="40"/>
        <v>0</v>
      </c>
      <c r="K131" s="28">
        <f t="shared" si="40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03'!K125</f>
        <v>0</v>
      </c>
      <c r="H132" s="27">
        <f>G132+'[2]BM 02'!H132</f>
        <v>0</v>
      </c>
      <c r="I132" s="28">
        <f t="shared" si="40"/>
        <v>235.01</v>
      </c>
      <c r="J132" s="28">
        <f t="shared" si="40"/>
        <v>0</v>
      </c>
      <c r="K132" s="28">
        <f t="shared" si="40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03'!K126</f>
        <v>0</v>
      </c>
      <c r="H133" s="27">
        <f>G133+'[2]BM 02'!H133</f>
        <v>0</v>
      </c>
      <c r="I133" s="28">
        <f t="shared" si="40"/>
        <v>165.94</v>
      </c>
      <c r="J133" s="28">
        <f t="shared" si="40"/>
        <v>0</v>
      </c>
      <c r="K133" s="28">
        <f t="shared" si="40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03'!K127</f>
        <v>0</v>
      </c>
      <c r="H134" s="27">
        <f>G134+'[2]BM 02'!H134</f>
        <v>0</v>
      </c>
      <c r="I134" s="28">
        <f t="shared" si="40"/>
        <v>61.63</v>
      </c>
      <c r="J134" s="28">
        <f t="shared" si="40"/>
        <v>0</v>
      </c>
      <c r="K134" s="28">
        <f t="shared" si="40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1">SUM(J136:J142)</f>
        <v>0</v>
      </c>
      <c r="K135" s="41">
        <f t="shared" si="41"/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03'!K129</f>
        <v>0</v>
      </c>
      <c r="H136" s="27">
        <f>G136+'[2]BM 02'!H136</f>
        <v>0</v>
      </c>
      <c r="I136" s="28">
        <f t="shared" ref="I136:K142" si="42">$E136*F136</f>
        <v>816.64</v>
      </c>
      <c r="J136" s="28">
        <f t="shared" si="42"/>
        <v>0</v>
      </c>
      <c r="K136" s="28">
        <f t="shared" si="4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03'!K130</f>
        <v>0</v>
      </c>
      <c r="H137" s="27">
        <f>G137+'[2]BM 02'!H137</f>
        <v>0</v>
      </c>
      <c r="I137" s="28">
        <f t="shared" si="42"/>
        <v>352.6</v>
      </c>
      <c r="J137" s="28">
        <f t="shared" si="42"/>
        <v>0</v>
      </c>
      <c r="K137" s="28">
        <f t="shared" si="4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03'!K131</f>
        <v>0</v>
      </c>
      <c r="H138" s="27">
        <f>G138+'[2]BM 02'!H138</f>
        <v>0</v>
      </c>
      <c r="I138" s="28">
        <f t="shared" si="42"/>
        <v>184.89000000000001</v>
      </c>
      <c r="J138" s="28">
        <f t="shared" si="42"/>
        <v>0</v>
      </c>
      <c r="K138" s="28">
        <f t="shared" si="4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03'!K132</f>
        <v>0</v>
      </c>
      <c r="H139" s="27">
        <f>G139+'[2]BM 02'!H139</f>
        <v>0</v>
      </c>
      <c r="I139" s="28">
        <f t="shared" si="42"/>
        <v>165.94</v>
      </c>
      <c r="J139" s="28">
        <f t="shared" si="42"/>
        <v>0</v>
      </c>
      <c r="K139" s="28">
        <f t="shared" si="4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03'!K133</f>
        <v>0</v>
      </c>
      <c r="H140" s="27">
        <f>G140+'[2]BM 02'!H140</f>
        <v>0</v>
      </c>
      <c r="I140" s="28">
        <f t="shared" si="42"/>
        <v>95.9</v>
      </c>
      <c r="J140" s="28">
        <f t="shared" si="42"/>
        <v>0</v>
      </c>
      <c r="K140" s="28">
        <f t="shared" si="4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03'!K134</f>
        <v>0</v>
      </c>
      <c r="H141" s="27">
        <f>G141+'[2]BM 02'!H141</f>
        <v>0</v>
      </c>
      <c r="I141" s="28">
        <f t="shared" si="42"/>
        <v>147</v>
      </c>
      <c r="J141" s="28">
        <f t="shared" si="42"/>
        <v>0</v>
      </c>
      <c r="K141" s="28">
        <f t="shared" si="4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03'!K135</f>
        <v>0</v>
      </c>
      <c r="H142" s="27">
        <f>G142+'[2]BM 02'!H142</f>
        <v>0</v>
      </c>
      <c r="I142" s="28">
        <f t="shared" si="42"/>
        <v>215.45000000000002</v>
      </c>
      <c r="J142" s="28">
        <f t="shared" si="42"/>
        <v>0</v>
      </c>
      <c r="K142" s="28">
        <f t="shared" si="4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3">SUM(J144:J154)</f>
        <v>0</v>
      </c>
      <c r="K143" s="41">
        <f t="shared" si="43"/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03'!K137</f>
        <v>0</v>
      </c>
      <c r="H144" s="27">
        <f>G144+'[2]BM 02'!H144</f>
        <v>0</v>
      </c>
      <c r="I144" s="28">
        <f t="shared" ref="I144:K154" si="44">$E144*F144</f>
        <v>1122.6600000000001</v>
      </c>
      <c r="J144" s="28">
        <f t="shared" si="44"/>
        <v>0</v>
      </c>
      <c r="K144" s="28">
        <f t="shared" si="44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03'!K138</f>
        <v>0</v>
      </c>
      <c r="H145" s="27">
        <f>G145+'[2]BM 02'!H145</f>
        <v>0</v>
      </c>
      <c r="I145" s="28">
        <f t="shared" si="44"/>
        <v>1325.3899999999999</v>
      </c>
      <c r="J145" s="28">
        <f t="shared" si="44"/>
        <v>0</v>
      </c>
      <c r="K145" s="28">
        <f t="shared" si="44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03'!K139</f>
        <v>0</v>
      </c>
      <c r="H146" s="27">
        <f>G146+'[2]BM 02'!H146</f>
        <v>0</v>
      </c>
      <c r="I146" s="28">
        <f t="shared" si="44"/>
        <v>140.57999999999998</v>
      </c>
      <c r="J146" s="28">
        <f t="shared" si="44"/>
        <v>0</v>
      </c>
      <c r="K146" s="28">
        <f t="shared" si="44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03'!K140</f>
        <v>0</v>
      </c>
      <c r="H147" s="27">
        <f>G147+'[2]BM 02'!H147</f>
        <v>0</v>
      </c>
      <c r="I147" s="28">
        <f t="shared" si="44"/>
        <v>835.66</v>
      </c>
      <c r="J147" s="28">
        <f t="shared" si="44"/>
        <v>0</v>
      </c>
      <c r="K147" s="28">
        <f t="shared" si="44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03'!K141</f>
        <v>0</v>
      </c>
      <c r="H148" s="27">
        <f>G148+'[2]BM 02'!H148</f>
        <v>0</v>
      </c>
      <c r="I148" s="28">
        <f t="shared" si="44"/>
        <v>863.64</v>
      </c>
      <c r="J148" s="28">
        <f t="shared" si="44"/>
        <v>0</v>
      </c>
      <c r="K148" s="28">
        <f t="shared" si="44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03'!K142</f>
        <v>0</v>
      </c>
      <c r="H149" s="27">
        <f>G149+'[2]BM 02'!H149</f>
        <v>0</v>
      </c>
      <c r="I149" s="28">
        <f t="shared" si="44"/>
        <v>497.35</v>
      </c>
      <c r="J149" s="28">
        <f t="shared" si="44"/>
        <v>0</v>
      </c>
      <c r="K149" s="28">
        <f t="shared" si="44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03'!K143</f>
        <v>0</v>
      </c>
      <c r="H150" s="27">
        <f>G150+'[2]BM 02'!H150</f>
        <v>0</v>
      </c>
      <c r="I150" s="28">
        <f t="shared" si="44"/>
        <v>284.01</v>
      </c>
      <c r="J150" s="28">
        <f t="shared" si="44"/>
        <v>0</v>
      </c>
      <c r="K150" s="28">
        <f t="shared" si="44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03'!K144</f>
        <v>0</v>
      </c>
      <c r="H151" s="27">
        <f>G151+'[2]BM 02'!H151</f>
        <v>0</v>
      </c>
      <c r="I151" s="28">
        <f t="shared" si="44"/>
        <v>9.86</v>
      </c>
      <c r="J151" s="28">
        <f t="shared" si="44"/>
        <v>0</v>
      </c>
      <c r="K151" s="28">
        <f t="shared" si="44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03'!K145</f>
        <v>0</v>
      </c>
      <c r="H152" s="27">
        <f>G152+'[2]BM 02'!H152</f>
        <v>0</v>
      </c>
      <c r="I152" s="28">
        <f t="shared" si="44"/>
        <v>318.08</v>
      </c>
      <c r="J152" s="28">
        <f t="shared" si="44"/>
        <v>0</v>
      </c>
      <c r="K152" s="28">
        <f t="shared" si="44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03'!K146</f>
        <v>0</v>
      </c>
      <c r="H153" s="27">
        <f>G153+'[2]BM 02'!H153</f>
        <v>0</v>
      </c>
      <c r="I153" s="28">
        <f t="shared" si="44"/>
        <v>161.66999999999999</v>
      </c>
      <c r="J153" s="28">
        <f t="shared" si="44"/>
        <v>0</v>
      </c>
      <c r="K153" s="28">
        <f t="shared" si="44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03'!K147</f>
        <v>0</v>
      </c>
      <c r="H154" s="27">
        <f>G154+'[2]BM 02'!H154</f>
        <v>0</v>
      </c>
      <c r="I154" s="28">
        <f t="shared" si="44"/>
        <v>542.01</v>
      </c>
      <c r="J154" s="28">
        <f t="shared" si="44"/>
        <v>0</v>
      </c>
      <c r="K154" s="28">
        <f t="shared" si="44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5">J156+J177+J192+J201+J206</f>
        <v>0</v>
      </c>
      <c r="K155" s="63">
        <f t="shared" si="45"/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 t="shared" ref="J156:K156" si="46">SUM(J157:J176)</f>
        <v>0</v>
      </c>
      <c r="K156" s="41">
        <f t="shared" si="46"/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03'!K150</f>
        <v>0</v>
      </c>
      <c r="H157" s="27">
        <f>G157+'[2]BM 02'!H157</f>
        <v>0</v>
      </c>
      <c r="I157" s="28">
        <f t="shared" ref="I157:K172" si="47">$E157*F157</f>
        <v>351.46</v>
      </c>
      <c r="J157" s="28">
        <f t="shared" si="47"/>
        <v>0</v>
      </c>
      <c r="K157" s="28">
        <f t="shared" si="4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03'!K151</f>
        <v>0</v>
      </c>
      <c r="H158" s="27">
        <f>G158+'[2]BM 02'!H158</f>
        <v>0</v>
      </c>
      <c r="I158" s="28">
        <f t="shared" si="47"/>
        <v>9.44</v>
      </c>
      <c r="J158" s="28">
        <f t="shared" si="47"/>
        <v>0</v>
      </c>
      <c r="K158" s="28">
        <f t="shared" si="4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03'!K152</f>
        <v>0</v>
      </c>
      <c r="H159" s="27">
        <f>G159+'[2]BM 02'!H159</f>
        <v>0</v>
      </c>
      <c r="I159" s="28">
        <f t="shared" si="47"/>
        <v>1171.04</v>
      </c>
      <c r="J159" s="28">
        <f t="shared" si="47"/>
        <v>0</v>
      </c>
      <c r="K159" s="28">
        <f t="shared" si="4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03'!K153</f>
        <v>0</v>
      </c>
      <c r="H160" s="27">
        <f>G160+'[2]BM 02'!H160</f>
        <v>0</v>
      </c>
      <c r="I160" s="28">
        <f t="shared" si="47"/>
        <v>305.85000000000002</v>
      </c>
      <c r="J160" s="28">
        <f t="shared" si="47"/>
        <v>0</v>
      </c>
      <c r="K160" s="28">
        <f t="shared" si="4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03'!K154</f>
        <v>0</v>
      </c>
      <c r="H161" s="27">
        <f>G161+'[2]BM 02'!H161</f>
        <v>0</v>
      </c>
      <c r="I161" s="28">
        <f t="shared" si="47"/>
        <v>1438.44</v>
      </c>
      <c r="J161" s="28">
        <f t="shared" si="47"/>
        <v>0</v>
      </c>
      <c r="K161" s="28">
        <f t="shared" si="4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03'!K155</f>
        <v>0</v>
      </c>
      <c r="H162" s="27">
        <f>G162+'[2]BM 02'!H162</f>
        <v>0</v>
      </c>
      <c r="I162" s="28">
        <f t="shared" si="47"/>
        <v>2430.9</v>
      </c>
      <c r="J162" s="28">
        <f t="shared" si="47"/>
        <v>0</v>
      </c>
      <c r="K162" s="28">
        <f t="shared" si="4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03'!K156</f>
        <v>0</v>
      </c>
      <c r="H163" s="27">
        <f>G163+'[2]BM 02'!H163</f>
        <v>0</v>
      </c>
      <c r="I163" s="28">
        <f t="shared" si="47"/>
        <v>1594.6000000000001</v>
      </c>
      <c r="J163" s="28">
        <f t="shared" si="47"/>
        <v>0</v>
      </c>
      <c r="K163" s="28">
        <f t="shared" si="4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03'!K157</f>
        <v>0</v>
      </c>
      <c r="H164" s="27">
        <f>G164+'[2]BM 02'!H164</f>
        <v>0</v>
      </c>
      <c r="I164" s="28">
        <f t="shared" si="47"/>
        <v>594.57999999999993</v>
      </c>
      <c r="J164" s="28">
        <f t="shared" si="47"/>
        <v>0</v>
      </c>
      <c r="K164" s="28">
        <f t="shared" si="4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03'!K158</f>
        <v>0</v>
      </c>
      <c r="H165" s="27">
        <f>G165+'[2]BM 02'!H165</f>
        <v>0</v>
      </c>
      <c r="I165" s="28">
        <f t="shared" si="47"/>
        <v>1009.45</v>
      </c>
      <c r="J165" s="28">
        <f t="shared" si="47"/>
        <v>0</v>
      </c>
      <c r="K165" s="28">
        <f t="shared" si="4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03'!K159</f>
        <v>0</v>
      </c>
      <c r="H166" s="27">
        <f>G166+'[2]BM 02'!H166</f>
        <v>0</v>
      </c>
      <c r="I166" s="28">
        <f t="shared" si="47"/>
        <v>598.77</v>
      </c>
      <c r="J166" s="28">
        <f t="shared" si="47"/>
        <v>0</v>
      </c>
      <c r="K166" s="28">
        <f t="shared" si="4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03'!K160</f>
        <v>0</v>
      </c>
      <c r="H167" s="27">
        <f>G167+'[2]BM 02'!H167</f>
        <v>0</v>
      </c>
      <c r="I167" s="28">
        <f t="shared" si="47"/>
        <v>5320.26</v>
      </c>
      <c r="J167" s="28">
        <f t="shared" si="47"/>
        <v>0</v>
      </c>
      <c r="K167" s="28">
        <f t="shared" si="4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03'!K161</f>
        <v>0</v>
      </c>
      <c r="H168" s="27">
        <f>G168+'[2]BM 02'!H168</f>
        <v>0</v>
      </c>
      <c r="I168" s="28">
        <f t="shared" si="47"/>
        <v>1008.4230000000001</v>
      </c>
      <c r="J168" s="28">
        <f t="shared" si="47"/>
        <v>0</v>
      </c>
      <c r="K168" s="28">
        <f t="shared" si="4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03'!K162</f>
        <v>0</v>
      </c>
      <c r="H169" s="27">
        <f>G169+'[2]BM 02'!H169</f>
        <v>0</v>
      </c>
      <c r="I169" s="28">
        <f t="shared" si="47"/>
        <v>2264.808</v>
      </c>
      <c r="J169" s="28">
        <f t="shared" si="47"/>
        <v>0</v>
      </c>
      <c r="K169" s="28">
        <f t="shared" si="4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03'!K163</f>
        <v>0</v>
      </c>
      <c r="H170" s="27">
        <f>G170+'[2]BM 02'!H170</f>
        <v>0</v>
      </c>
      <c r="I170" s="28">
        <f t="shared" si="47"/>
        <v>715.99</v>
      </c>
      <c r="J170" s="28">
        <f t="shared" si="47"/>
        <v>0</v>
      </c>
      <c r="K170" s="28">
        <f t="shared" si="4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03'!K164</f>
        <v>0</v>
      </c>
      <c r="H171" s="27">
        <f>G171+'[2]BM 02'!H171</f>
        <v>0</v>
      </c>
      <c r="I171" s="28">
        <f t="shared" si="47"/>
        <v>2123.52</v>
      </c>
      <c r="J171" s="28">
        <f t="shared" si="47"/>
        <v>0</v>
      </c>
      <c r="K171" s="28">
        <f t="shared" si="4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03'!K165</f>
        <v>0</v>
      </c>
      <c r="H172" s="27">
        <f>G172+'[2]BM 02'!H172</f>
        <v>0</v>
      </c>
      <c r="I172" s="28">
        <f t="shared" si="47"/>
        <v>550.42000000000007</v>
      </c>
      <c r="J172" s="28">
        <f t="shared" si="47"/>
        <v>0</v>
      </c>
      <c r="K172" s="28">
        <f t="shared" si="4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03'!K166</f>
        <v>0</v>
      </c>
      <c r="H173" s="27">
        <f>G173+'[2]BM 02'!H173</f>
        <v>0</v>
      </c>
      <c r="I173" s="28">
        <f t="shared" ref="I173:K176" si="48">$E173*F173</f>
        <v>181.76</v>
      </c>
      <c r="J173" s="28">
        <f t="shared" si="48"/>
        <v>0</v>
      </c>
      <c r="K173" s="28">
        <f t="shared" si="4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03'!K167</f>
        <v>0</v>
      </c>
      <c r="H174" s="27">
        <f>G174+'[2]BM 02'!H174</f>
        <v>0</v>
      </c>
      <c r="I174" s="28">
        <f t="shared" si="48"/>
        <v>770.40000000000009</v>
      </c>
      <c r="J174" s="28">
        <f t="shared" si="48"/>
        <v>0</v>
      </c>
      <c r="K174" s="28">
        <f t="shared" si="4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03'!K168</f>
        <v>0</v>
      </c>
      <c r="H175" s="27">
        <f>G175+'[2]BM 02'!H175</f>
        <v>0</v>
      </c>
      <c r="I175" s="28">
        <f t="shared" si="48"/>
        <v>152.56</v>
      </c>
      <c r="J175" s="28">
        <f t="shared" si="48"/>
        <v>0</v>
      </c>
      <c r="K175" s="28">
        <f t="shared" si="4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03'!K169</f>
        <v>0</v>
      </c>
      <c r="H176" s="27">
        <f>G176+'[2]BM 02'!H176</f>
        <v>0</v>
      </c>
      <c r="I176" s="28">
        <f t="shared" si="48"/>
        <v>867.48</v>
      </c>
      <c r="J176" s="28">
        <f t="shared" si="48"/>
        <v>0</v>
      </c>
      <c r="K176" s="28">
        <f t="shared" si="4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 t="shared" ref="J177:K177" si="49">SUM(J178:J191)</f>
        <v>0</v>
      </c>
      <c r="K177" s="41">
        <f t="shared" si="49"/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03'!K171</f>
        <v>0</v>
      </c>
      <c r="H178" s="27">
        <f>G178+'[2]BM 02'!H178</f>
        <v>0</v>
      </c>
      <c r="I178" s="28">
        <f t="shared" ref="I178:K191" si="50">$E178*F178</f>
        <v>1380.75</v>
      </c>
      <c r="J178" s="28">
        <f t="shared" si="50"/>
        <v>0</v>
      </c>
      <c r="K178" s="28">
        <f t="shared" si="50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03'!K172</f>
        <v>0</v>
      </c>
      <c r="H179" s="27">
        <f>G179+'[2]BM 02'!H179</f>
        <v>0</v>
      </c>
      <c r="I179" s="28">
        <f t="shared" si="50"/>
        <v>74.37</v>
      </c>
      <c r="J179" s="28">
        <f t="shared" si="50"/>
        <v>0</v>
      </c>
      <c r="K179" s="28">
        <f t="shared" si="50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03'!K173</f>
        <v>0</v>
      </c>
      <c r="H180" s="27">
        <f>G180+'[2]BM 02'!H180</f>
        <v>0</v>
      </c>
      <c r="I180" s="28">
        <f t="shared" si="50"/>
        <v>45.19</v>
      </c>
      <c r="J180" s="28">
        <f t="shared" si="50"/>
        <v>0</v>
      </c>
      <c r="K180" s="28">
        <f t="shared" si="50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03'!K174</f>
        <v>0</v>
      </c>
      <c r="H181" s="27">
        <f>G181+'[2]BM 02'!H181</f>
        <v>0</v>
      </c>
      <c r="I181" s="28">
        <f t="shared" si="50"/>
        <v>11.73</v>
      </c>
      <c r="J181" s="28">
        <f t="shared" si="50"/>
        <v>0</v>
      </c>
      <c r="K181" s="28">
        <f t="shared" si="50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03'!K175</f>
        <v>0</v>
      </c>
      <c r="H182" s="27">
        <f>G182+'[2]BM 02'!H182</f>
        <v>0</v>
      </c>
      <c r="I182" s="28">
        <f t="shared" si="50"/>
        <v>1438.95</v>
      </c>
      <c r="J182" s="28">
        <f t="shared" si="50"/>
        <v>0</v>
      </c>
      <c r="K182" s="28">
        <f t="shared" si="50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03'!K176</f>
        <v>0</v>
      </c>
      <c r="H183" s="27">
        <f>G183+'[2]BM 02'!H183</f>
        <v>0</v>
      </c>
      <c r="I183" s="28">
        <f t="shared" si="50"/>
        <v>95.64</v>
      </c>
      <c r="J183" s="28">
        <f t="shared" si="50"/>
        <v>0</v>
      </c>
      <c r="K183" s="28">
        <f t="shared" si="50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03'!K177</f>
        <v>0</v>
      </c>
      <c r="H184" s="27">
        <f>G184+'[2]BM 02'!H184</f>
        <v>0</v>
      </c>
      <c r="I184" s="28">
        <f t="shared" si="50"/>
        <v>230.64</v>
      </c>
      <c r="J184" s="28">
        <f t="shared" si="50"/>
        <v>0</v>
      </c>
      <c r="K184" s="28">
        <f t="shared" si="50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03'!K178</f>
        <v>0</v>
      </c>
      <c r="H185" s="27">
        <f>G185+'[2]BM 02'!H185</f>
        <v>0</v>
      </c>
      <c r="I185" s="28">
        <f t="shared" si="50"/>
        <v>307.66000000000003</v>
      </c>
      <c r="J185" s="28">
        <f t="shared" si="50"/>
        <v>0</v>
      </c>
      <c r="K185" s="28">
        <f t="shared" si="50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03'!K179</f>
        <v>0</v>
      </c>
      <c r="H186" s="27">
        <f>G186+'[2]BM 02'!H186</f>
        <v>0</v>
      </c>
      <c r="I186" s="28">
        <f t="shared" si="50"/>
        <v>195.98</v>
      </c>
      <c r="J186" s="28">
        <f t="shared" si="50"/>
        <v>0</v>
      </c>
      <c r="K186" s="28">
        <f t="shared" si="50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03'!K180</f>
        <v>0</v>
      </c>
      <c r="H187" s="27">
        <f>G187+'[2]BM 02'!H187</f>
        <v>0</v>
      </c>
      <c r="I187" s="28">
        <f t="shared" si="50"/>
        <v>65.16</v>
      </c>
      <c r="J187" s="28">
        <f t="shared" si="50"/>
        <v>0</v>
      </c>
      <c r="K187" s="28">
        <f t="shared" si="50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03'!K181</f>
        <v>0</v>
      </c>
      <c r="H188" s="27">
        <f>G188+'[2]BM 02'!H188</f>
        <v>0</v>
      </c>
      <c r="I188" s="28">
        <f t="shared" si="50"/>
        <v>301.19</v>
      </c>
      <c r="J188" s="28">
        <f t="shared" si="50"/>
        <v>0</v>
      </c>
      <c r="K188" s="28">
        <f t="shared" si="50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03'!K182</f>
        <v>0</v>
      </c>
      <c r="H189" s="27">
        <f>G189+'[2]BM 02'!H189</f>
        <v>0</v>
      </c>
      <c r="I189" s="28">
        <f t="shared" si="50"/>
        <v>80.14</v>
      </c>
      <c r="J189" s="28">
        <f t="shared" si="50"/>
        <v>0</v>
      </c>
      <c r="K189" s="28">
        <f t="shared" si="50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03'!K183</f>
        <v>0</v>
      </c>
      <c r="H190" s="27">
        <f>G190+'[2]BM 02'!H190</f>
        <v>0</v>
      </c>
      <c r="I190" s="28">
        <f t="shared" si="50"/>
        <v>41.3</v>
      </c>
      <c r="J190" s="28">
        <f t="shared" si="50"/>
        <v>0</v>
      </c>
      <c r="K190" s="28">
        <f t="shared" si="50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03'!K184</f>
        <v>0</v>
      </c>
      <c r="H191" s="27">
        <f>G191+'[2]BM 02'!H191</f>
        <v>0</v>
      </c>
      <c r="I191" s="28">
        <f t="shared" si="50"/>
        <v>56.5</v>
      </c>
      <c r="J191" s="28">
        <f t="shared" si="50"/>
        <v>0</v>
      </c>
      <c r="K191" s="28">
        <f t="shared" si="50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 t="shared" ref="J192:K192" si="51">SUM(J193:J200)</f>
        <v>0</v>
      </c>
      <c r="K192" s="41">
        <f t="shared" si="51"/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03'!K186</f>
        <v>0</v>
      </c>
      <c r="H193" s="27">
        <f>G193+'[2]BM 02'!H193</f>
        <v>0</v>
      </c>
      <c r="I193" s="28">
        <f t="shared" ref="I193:K200" si="52">$E193*F193</f>
        <v>135.52000000000001</v>
      </c>
      <c r="J193" s="28">
        <f t="shared" si="52"/>
        <v>0</v>
      </c>
      <c r="K193" s="28">
        <f t="shared" si="52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03'!K187</f>
        <v>0</v>
      </c>
      <c r="H194" s="27">
        <f>G194+'[2]BM 02'!H194</f>
        <v>0</v>
      </c>
      <c r="I194" s="28">
        <f t="shared" si="52"/>
        <v>1265.05</v>
      </c>
      <c r="J194" s="28">
        <f t="shared" si="52"/>
        <v>0</v>
      </c>
      <c r="K194" s="28">
        <f t="shared" si="52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03'!K188</f>
        <v>0</v>
      </c>
      <c r="H195" s="27">
        <f>G195+'[2]BM 02'!H195</f>
        <v>0</v>
      </c>
      <c r="I195" s="28">
        <f t="shared" si="52"/>
        <v>1294.72</v>
      </c>
      <c r="J195" s="28">
        <f t="shared" si="52"/>
        <v>0</v>
      </c>
      <c r="K195" s="28">
        <f t="shared" si="52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03'!K189</f>
        <v>0</v>
      </c>
      <c r="H196" s="27">
        <f>G196+'[2]BM 02'!H196</f>
        <v>0</v>
      </c>
      <c r="I196" s="28">
        <f t="shared" si="52"/>
        <v>6864.26</v>
      </c>
      <c r="J196" s="28">
        <f t="shared" si="52"/>
        <v>0</v>
      </c>
      <c r="K196" s="28">
        <f t="shared" si="52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03'!K190</f>
        <v>0</v>
      </c>
      <c r="H197" s="27">
        <f>G197+'[2]BM 02'!H197</f>
        <v>0</v>
      </c>
      <c r="I197" s="28">
        <f t="shared" si="52"/>
        <v>45.19</v>
      </c>
      <c r="J197" s="28">
        <f t="shared" si="52"/>
        <v>0</v>
      </c>
      <c r="K197" s="28">
        <f t="shared" si="52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03'!K191</f>
        <v>0</v>
      </c>
      <c r="H198" s="27">
        <f>G198+'[2]BM 02'!H198</f>
        <v>0</v>
      </c>
      <c r="I198" s="28">
        <f t="shared" si="52"/>
        <v>11.73</v>
      </c>
      <c r="J198" s="28">
        <f t="shared" si="52"/>
        <v>0</v>
      </c>
      <c r="K198" s="28">
        <f t="shared" si="52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03'!K192</f>
        <v>0</v>
      </c>
      <c r="H199" s="27">
        <f>G199+'[2]BM 02'!H199</f>
        <v>0</v>
      </c>
      <c r="I199" s="28">
        <f t="shared" si="52"/>
        <v>82.6</v>
      </c>
      <c r="J199" s="28">
        <f t="shared" si="52"/>
        <v>0</v>
      </c>
      <c r="K199" s="28">
        <f t="shared" si="52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03'!K193</f>
        <v>0</v>
      </c>
      <c r="H200" s="27">
        <f>G200+'[2]BM 02'!H200</f>
        <v>0</v>
      </c>
      <c r="I200" s="28">
        <f t="shared" si="52"/>
        <v>344.07</v>
      </c>
      <c r="J200" s="28">
        <f t="shared" si="52"/>
        <v>0</v>
      </c>
      <c r="K200" s="28">
        <f t="shared" si="52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 t="shared" ref="J201:K201" si="53">SUM(J202:J205)</f>
        <v>0</v>
      </c>
      <c r="K201" s="41">
        <f t="shared" si="53"/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03'!K195</f>
        <v>0</v>
      </c>
      <c r="H202" s="27">
        <f>G202+'[2]BM 02'!H202</f>
        <v>0</v>
      </c>
      <c r="I202" s="28">
        <f t="shared" ref="I202:K205" si="54">$E202*F202</f>
        <v>4535.9399999999996</v>
      </c>
      <c r="J202" s="28">
        <f t="shared" si="54"/>
        <v>0</v>
      </c>
      <c r="K202" s="28">
        <f t="shared" si="54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03'!K196</f>
        <v>0</v>
      </c>
      <c r="H203" s="27">
        <f>G203+'[2]BM 02'!H203</f>
        <v>0</v>
      </c>
      <c r="I203" s="28">
        <f t="shared" si="54"/>
        <v>629.15</v>
      </c>
      <c r="J203" s="28">
        <f t="shared" si="54"/>
        <v>0</v>
      </c>
      <c r="K203" s="28">
        <f t="shared" si="54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03'!K197</f>
        <v>0</v>
      </c>
      <c r="H204" s="27">
        <f>G204+'[2]BM 02'!H204</f>
        <v>0</v>
      </c>
      <c r="I204" s="28">
        <f t="shared" si="54"/>
        <v>2589.1000000000004</v>
      </c>
      <c r="J204" s="28">
        <f t="shared" si="54"/>
        <v>0</v>
      </c>
      <c r="K204" s="28">
        <f t="shared" si="54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03'!K198</f>
        <v>0</v>
      </c>
      <c r="H205" s="27">
        <f>G205+'[2]BM 02'!H205</f>
        <v>0</v>
      </c>
      <c r="I205" s="28">
        <f t="shared" si="54"/>
        <v>388.8</v>
      </c>
      <c r="J205" s="28">
        <f t="shared" si="54"/>
        <v>0</v>
      </c>
      <c r="K205" s="28">
        <f t="shared" si="54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 t="shared" ref="J206:K206" si="55">SUM(J207:J211)</f>
        <v>0</v>
      </c>
      <c r="K206" s="41">
        <f t="shared" si="55"/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03'!K200</f>
        <v>0</v>
      </c>
      <c r="H207" s="27">
        <f>G207+'[2]BM 02'!H207</f>
        <v>0</v>
      </c>
      <c r="I207" s="28">
        <f t="shared" ref="I207:K211" si="56">$E207*F207</f>
        <v>2723.04</v>
      </c>
      <c r="J207" s="28">
        <f t="shared" si="56"/>
        <v>0</v>
      </c>
      <c r="K207" s="28">
        <f t="shared" si="56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03'!K201</f>
        <v>0</v>
      </c>
      <c r="H208" s="27">
        <f>G208+'[2]BM 02'!H208</f>
        <v>0</v>
      </c>
      <c r="I208" s="28">
        <f t="shared" si="56"/>
        <v>1292.912</v>
      </c>
      <c r="J208" s="28">
        <f t="shared" si="56"/>
        <v>0</v>
      </c>
      <c r="K208" s="28">
        <f t="shared" si="56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03'!K202</f>
        <v>0</v>
      </c>
      <c r="H209" s="27">
        <f>G209+'[2]BM 02'!H209</f>
        <v>0</v>
      </c>
      <c r="I209" s="28">
        <f t="shared" si="56"/>
        <v>1579.8999999999999</v>
      </c>
      <c r="J209" s="28">
        <f t="shared" si="56"/>
        <v>0</v>
      </c>
      <c r="K209" s="28">
        <f t="shared" si="56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03'!K203</f>
        <v>0</v>
      </c>
      <c r="H210" s="27">
        <f>G210+'[2]BM 02'!H210</f>
        <v>0</v>
      </c>
      <c r="I210" s="28">
        <f t="shared" si="56"/>
        <v>7371.21</v>
      </c>
      <c r="J210" s="28">
        <f t="shared" si="56"/>
        <v>0</v>
      </c>
      <c r="K210" s="28">
        <f t="shared" si="56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03'!K204</f>
        <v>0</v>
      </c>
      <c r="H211" s="27">
        <f>G211+'[2]BM 02'!H211</f>
        <v>0</v>
      </c>
      <c r="I211" s="28">
        <f t="shared" si="56"/>
        <v>5894.83</v>
      </c>
      <c r="J211" s="28">
        <f t="shared" si="56"/>
        <v>0</v>
      </c>
      <c r="K211" s="28">
        <f t="shared" si="56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03'!K206</f>
        <v>0</v>
      </c>
      <c r="H213" s="27">
        <f>G213+'[2]BM 02'!H213</f>
        <v>0</v>
      </c>
      <c r="I213" s="28">
        <f>$E213*F213</f>
        <v>957.6</v>
      </c>
      <c r="J213" s="28">
        <f t="shared" ref="J213:K215" si="57">$E213*G213</f>
        <v>0</v>
      </c>
      <c r="K213" s="28">
        <f t="shared" si="57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03'!K207</f>
        <v>0</v>
      </c>
      <c r="H214" s="27">
        <f>G214+'[2]BM 02'!H214</f>
        <v>0</v>
      </c>
      <c r="I214" s="28">
        <f t="shared" ref="I214:I215" si="58">$E214*F214</f>
        <v>54.36</v>
      </c>
      <c r="J214" s="28">
        <f t="shared" si="57"/>
        <v>0</v>
      </c>
      <c r="K214" s="28">
        <f t="shared" si="57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03'!K208</f>
        <v>0</v>
      </c>
      <c r="H215" s="27">
        <f>G215+'[2]BM 02'!H215</f>
        <v>0</v>
      </c>
      <c r="I215" s="28">
        <f t="shared" si="58"/>
        <v>489.79999999999995</v>
      </c>
      <c r="J215" s="28">
        <f t="shared" si="57"/>
        <v>0</v>
      </c>
      <c r="K215" s="28">
        <f t="shared" si="57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03'!K210</f>
        <v>0</v>
      </c>
      <c r="H217" s="27">
        <f>G217+'[2]BM 02'!H217</f>
        <v>0</v>
      </c>
      <c r="I217" s="28">
        <f>$E217*F217</f>
        <v>250.53</v>
      </c>
      <c r="J217" s="28">
        <f t="shared" ref="J217:K222" si="59">$E217*G217</f>
        <v>0</v>
      </c>
      <c r="K217" s="28">
        <f t="shared" si="59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03'!K211</f>
        <v>0</v>
      </c>
      <c r="H218" s="27">
        <f>G218+'[2]BM 02'!H218</f>
        <v>0</v>
      </c>
      <c r="I218" s="28">
        <f t="shared" ref="I218:I222" si="60">$E218*F218</f>
        <v>29.96</v>
      </c>
      <c r="J218" s="28">
        <f t="shared" si="59"/>
        <v>0</v>
      </c>
      <c r="K218" s="28">
        <f t="shared" si="59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03'!K212</f>
        <v>0</v>
      </c>
      <c r="H219" s="27">
        <f>G219+'[2]BM 02'!H219</f>
        <v>0</v>
      </c>
      <c r="I219" s="28">
        <f t="shared" si="60"/>
        <v>35.880000000000003</v>
      </c>
      <c r="J219" s="28">
        <f t="shared" si="59"/>
        <v>0</v>
      </c>
      <c r="K219" s="28">
        <f t="shared" si="59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03'!K213</f>
        <v>0</v>
      </c>
      <c r="H220" s="27">
        <f>G220+'[2]BM 02'!H220</f>
        <v>0</v>
      </c>
      <c r="I220" s="28">
        <f t="shared" si="60"/>
        <v>58.95</v>
      </c>
      <c r="J220" s="28">
        <f t="shared" si="59"/>
        <v>0</v>
      </c>
      <c r="K220" s="28">
        <f t="shared" si="59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03'!K214</f>
        <v>0</v>
      </c>
      <c r="H221" s="27">
        <f>G221+'[2]BM 02'!H221</f>
        <v>0</v>
      </c>
      <c r="I221" s="28">
        <f t="shared" si="60"/>
        <v>158.19999999999999</v>
      </c>
      <c r="J221" s="28">
        <f t="shared" si="59"/>
        <v>0</v>
      </c>
      <c r="K221" s="28">
        <f t="shared" si="59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03'!K215</f>
        <v>0</v>
      </c>
      <c r="H222" s="27">
        <f>G222+'[2]BM 02'!H222</f>
        <v>0</v>
      </c>
      <c r="I222" s="28">
        <f t="shared" si="60"/>
        <v>31.64</v>
      </c>
      <c r="J222" s="28">
        <f t="shared" si="59"/>
        <v>0</v>
      </c>
      <c r="K222" s="28">
        <f t="shared" si="59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03'!K217</f>
        <v>0</v>
      </c>
      <c r="H224" s="27">
        <f>G224+'[2]BM 02'!H224</f>
        <v>0</v>
      </c>
      <c r="I224" s="28">
        <f>$E224*F224</f>
        <v>324.92</v>
      </c>
      <c r="J224" s="28">
        <f t="shared" ref="J224:K228" si="61">$E224*G224</f>
        <v>0</v>
      </c>
      <c r="K224" s="28">
        <f t="shared" si="61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03'!K218</f>
        <v>0</v>
      </c>
      <c r="H225" s="27">
        <f>G225+'[2]BM 02'!H225</f>
        <v>0</v>
      </c>
      <c r="I225" s="28">
        <f t="shared" ref="I225:I228" si="62">$E225*F225</f>
        <v>167.37</v>
      </c>
      <c r="J225" s="28">
        <f t="shared" si="61"/>
        <v>0</v>
      </c>
      <c r="K225" s="28">
        <f t="shared" si="61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03'!K219</f>
        <v>0</v>
      </c>
      <c r="H226" s="27">
        <f>G226+'[2]BM 02'!H226</f>
        <v>0</v>
      </c>
      <c r="I226" s="28">
        <f t="shared" si="62"/>
        <v>624.68500000000006</v>
      </c>
      <c r="J226" s="28">
        <f t="shared" si="61"/>
        <v>0</v>
      </c>
      <c r="K226" s="28">
        <f t="shared" si="61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03'!K220</f>
        <v>0</v>
      </c>
      <c r="H227" s="27">
        <f>G227+'[2]BM 02'!H227</f>
        <v>0</v>
      </c>
      <c r="I227" s="28">
        <f t="shared" si="62"/>
        <v>200.67060000000001</v>
      </c>
      <c r="J227" s="28">
        <f t="shared" si="61"/>
        <v>0</v>
      </c>
      <c r="K227" s="28">
        <f t="shared" si="61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03'!K221</f>
        <v>0</v>
      </c>
      <c r="H228" s="27">
        <f>G228+'[2]BM 02'!H228</f>
        <v>0</v>
      </c>
      <c r="I228" s="28">
        <f t="shared" si="62"/>
        <v>40.371600000000001</v>
      </c>
      <c r="J228" s="28">
        <f t="shared" si="61"/>
        <v>0</v>
      </c>
      <c r="K228" s="28">
        <f t="shared" si="61"/>
        <v>0</v>
      </c>
      <c r="L228" s="4"/>
    </row>
    <row r="229" spans="2:12" s="5" customFormat="1" ht="15">
      <c r="B229" s="59">
        <v>14</v>
      </c>
      <c r="C229" s="60" t="s">
        <v>495</v>
      </c>
      <c r="D229" s="61"/>
      <c r="E229" s="62"/>
      <c r="F229" s="62"/>
      <c r="G229" s="62"/>
      <c r="H229" s="62"/>
      <c r="I229" s="63">
        <f>I230+I235+I238</f>
        <v>92256.01479175</v>
      </c>
      <c r="J229" s="63">
        <f t="shared" ref="J229:K229" si="63">J230+J235+J238</f>
        <v>69233.863064300007</v>
      </c>
      <c r="K229" s="63">
        <f t="shared" si="63"/>
        <v>69233.863064300007</v>
      </c>
      <c r="L229" s="4"/>
    </row>
    <row r="230" spans="2:12" s="5" customFormat="1" ht="15">
      <c r="B230" s="109" t="s">
        <v>496</v>
      </c>
      <c r="C230" s="44" t="s">
        <v>497</v>
      </c>
      <c r="D230" s="45"/>
      <c r="E230" s="45"/>
      <c r="F230" s="45"/>
      <c r="G230" s="45"/>
      <c r="H230" s="45"/>
      <c r="I230" s="110">
        <f>SUM(I231:I234)</f>
        <v>53075.522384000004</v>
      </c>
      <c r="J230" s="110">
        <f t="shared" ref="J230:K230" si="64">SUM(J231:J234)</f>
        <v>52882.428000000007</v>
      </c>
      <c r="K230" s="110">
        <f t="shared" si="64"/>
        <v>52882.428000000007</v>
      </c>
      <c r="L230" s="4"/>
    </row>
    <row r="231" spans="2:12" s="5" customFormat="1" ht="36">
      <c r="B231" s="109" t="s">
        <v>498</v>
      </c>
      <c r="C231" s="64" t="s">
        <v>499</v>
      </c>
      <c r="D231" s="23" t="s">
        <v>27</v>
      </c>
      <c r="E231" s="35">
        <v>224.02</v>
      </c>
      <c r="F231" s="25">
        <v>191.06</v>
      </c>
      <c r="G231" s="26">
        <f>'[2]Memória 03'!K224</f>
        <v>190.2</v>
      </c>
      <c r="H231" s="27">
        <f>G231+'[2]BM 02'!H231</f>
        <v>190.2</v>
      </c>
      <c r="I231" s="28">
        <f t="shared" ref="I231:K241" si="65">$E231*F231</f>
        <v>42801.261200000001</v>
      </c>
      <c r="J231" s="28">
        <f t="shared" si="65"/>
        <v>42608.603999999999</v>
      </c>
      <c r="K231" s="28">
        <f t="shared" si="65"/>
        <v>42608.603999999999</v>
      </c>
      <c r="L231" s="4"/>
    </row>
    <row r="232" spans="2:12" s="5" customFormat="1" ht="48">
      <c r="B232" s="109" t="s">
        <v>500</v>
      </c>
      <c r="C232" s="64" t="s">
        <v>501</v>
      </c>
      <c r="D232" s="23" t="s">
        <v>27</v>
      </c>
      <c r="E232" s="35">
        <v>109.37</v>
      </c>
      <c r="F232" s="25">
        <v>75.20320000000001</v>
      </c>
      <c r="G232" s="26">
        <f>'[2]Memória 03'!K225</f>
        <v>75.2</v>
      </c>
      <c r="H232" s="27">
        <f>G232+'[2]BM 02'!H232</f>
        <v>75.2</v>
      </c>
      <c r="I232" s="28">
        <f t="shared" si="65"/>
        <v>8224.973984000002</v>
      </c>
      <c r="J232" s="28">
        <f t="shared" si="65"/>
        <v>8224.6239999999998</v>
      </c>
      <c r="K232" s="28">
        <f t="shared" si="65"/>
        <v>8224.6239999999998</v>
      </c>
      <c r="L232" s="4"/>
    </row>
    <row r="233" spans="2:12" s="5" customFormat="1" ht="24">
      <c r="B233" s="109" t="s">
        <v>502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03'!K226</f>
        <v>75.2</v>
      </c>
      <c r="H233" s="27">
        <f>G233+'[2]BM 02'!H233</f>
        <v>75.2</v>
      </c>
      <c r="I233" s="28">
        <f t="shared" si="65"/>
        <v>339.16643200000004</v>
      </c>
      <c r="J233" s="28">
        <f t="shared" si="65"/>
        <v>339.15199999999999</v>
      </c>
      <c r="K233" s="28">
        <f t="shared" si="65"/>
        <v>339.15199999999999</v>
      </c>
      <c r="L233" s="4"/>
    </row>
    <row r="234" spans="2:12" s="5" customFormat="1" ht="24">
      <c r="B234" s="109" t="s">
        <v>503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03'!K227</f>
        <v>75.2</v>
      </c>
      <c r="H234" s="27">
        <f>G234+'[2]BM 02'!H234</f>
        <v>75.2</v>
      </c>
      <c r="I234" s="28">
        <f t="shared" si="65"/>
        <v>1710.120768</v>
      </c>
      <c r="J234" s="28">
        <f t="shared" si="65"/>
        <v>1710.048</v>
      </c>
      <c r="K234" s="28">
        <f t="shared" si="65"/>
        <v>1710.048</v>
      </c>
      <c r="L234" s="4"/>
    </row>
    <row r="235" spans="2:12" s="5" customFormat="1" ht="15">
      <c r="B235" s="109" t="s">
        <v>504</v>
      </c>
      <c r="C235" s="44" t="s">
        <v>505</v>
      </c>
      <c r="D235" s="44"/>
      <c r="E235" s="44"/>
      <c r="F235" s="44"/>
      <c r="G235" s="26">
        <f>'[2]Memória 03'!K228</f>
        <v>0</v>
      </c>
      <c r="H235" s="27">
        <f>G235+'[2]BM 02'!H235</f>
        <v>0</v>
      </c>
      <c r="I235" s="110">
        <f>SUM(I236:I237)</f>
        <v>16351.4350643</v>
      </c>
      <c r="J235" s="110">
        <f t="shared" ref="J235:K235" si="66">SUM(J236:J237)</f>
        <v>16351.4350643</v>
      </c>
      <c r="K235" s="110">
        <f t="shared" si="66"/>
        <v>16351.4350643</v>
      </c>
      <c r="L235" s="4"/>
    </row>
    <row r="236" spans="2:12" s="5" customFormat="1" ht="48">
      <c r="B236" s="109" t="s">
        <v>506</v>
      </c>
      <c r="C236" s="64" t="s">
        <v>501</v>
      </c>
      <c r="D236" s="23" t="s">
        <v>27</v>
      </c>
      <c r="E236" s="35">
        <v>109.37</v>
      </c>
      <c r="F236" s="25">
        <v>69.099999999999994</v>
      </c>
      <c r="G236" s="26">
        <f>'[2]Memória 03'!K229</f>
        <v>69.099999999999994</v>
      </c>
      <c r="H236" s="27">
        <f>G236+'[2]BM 02'!H236</f>
        <v>69.099999999999994</v>
      </c>
      <c r="I236" s="28">
        <f t="shared" si="65"/>
        <v>7557.4669999999996</v>
      </c>
      <c r="J236" s="28">
        <f t="shared" si="65"/>
        <v>7557.4669999999996</v>
      </c>
      <c r="K236" s="28">
        <f t="shared" si="65"/>
        <v>7557.4669999999996</v>
      </c>
      <c r="L236" s="4"/>
    </row>
    <row r="237" spans="2:12" s="5" customFormat="1" ht="36">
      <c r="B237" s="109" t="s">
        <v>507</v>
      </c>
      <c r="C237" s="64" t="s">
        <v>508</v>
      </c>
      <c r="D237" s="23" t="s">
        <v>45</v>
      </c>
      <c r="E237" s="35">
        <v>23.101289999999999</v>
      </c>
      <c r="F237" s="25">
        <v>380.67</v>
      </c>
      <c r="G237" s="26">
        <f>'[2]Memória 03'!K230</f>
        <v>380.67</v>
      </c>
      <c r="H237" s="27">
        <f>G237+'[2]BM 02'!H237</f>
        <v>380.67</v>
      </c>
      <c r="I237" s="28">
        <f t="shared" si="65"/>
        <v>8793.9680642999992</v>
      </c>
      <c r="J237" s="28">
        <f t="shared" si="65"/>
        <v>8793.9680642999992</v>
      </c>
      <c r="K237" s="28">
        <f t="shared" si="65"/>
        <v>8793.9680642999992</v>
      </c>
      <c r="L237" s="4"/>
    </row>
    <row r="238" spans="2:12" s="5" customFormat="1" ht="15">
      <c r="B238" s="109" t="s">
        <v>509</v>
      </c>
      <c r="C238" s="44" t="s">
        <v>510</v>
      </c>
      <c r="D238" s="44"/>
      <c r="E238" s="44"/>
      <c r="F238" s="44"/>
      <c r="G238" s="26">
        <f>'[2]Memória 03'!K231</f>
        <v>0</v>
      </c>
      <c r="H238" s="27">
        <f>G238+'[2]BM 02'!H238</f>
        <v>0</v>
      </c>
      <c r="I238" s="110">
        <f>SUM(I239:I241)</f>
        <v>22829.057343450004</v>
      </c>
      <c r="J238" s="110">
        <f t="shared" ref="J238" si="67">SUM(J239:J241)</f>
        <v>0</v>
      </c>
      <c r="K238" s="110">
        <f>SUM(K239:K241)</f>
        <v>0</v>
      </c>
      <c r="L238" s="4"/>
    </row>
    <row r="239" spans="2:12" s="5" customFormat="1" ht="24">
      <c r="B239" s="109" t="s">
        <v>511</v>
      </c>
      <c r="C239" s="64" t="s">
        <v>512</v>
      </c>
      <c r="D239" s="23" t="s">
        <v>27</v>
      </c>
      <c r="E239" s="35">
        <v>380.10154500000004</v>
      </c>
      <c r="F239" s="25">
        <v>28.36</v>
      </c>
      <c r="G239" s="26">
        <f>'[2]Memória 03'!K232</f>
        <v>0</v>
      </c>
      <c r="H239" s="27">
        <f>G239+'[2]BM 02'!H239</f>
        <v>0</v>
      </c>
      <c r="I239" s="28">
        <f t="shared" si="65"/>
        <v>10779.679816200001</v>
      </c>
      <c r="J239" s="28">
        <f t="shared" si="65"/>
        <v>0</v>
      </c>
      <c r="K239" s="28">
        <f t="shared" si="65"/>
        <v>0</v>
      </c>
      <c r="L239" s="4"/>
    </row>
    <row r="240" spans="2:12" s="5" customFormat="1" ht="14.25">
      <c r="B240" s="109" t="s">
        <v>513</v>
      </c>
      <c r="C240" s="64" t="s">
        <v>514</v>
      </c>
      <c r="D240" s="23" t="s">
        <v>27</v>
      </c>
      <c r="E240" s="35">
        <v>30.500325</v>
      </c>
      <c r="F240" s="25">
        <v>285.93</v>
      </c>
      <c r="G240" s="26">
        <f>'[2]Memória 03'!K233</f>
        <v>0</v>
      </c>
      <c r="H240" s="27">
        <f>G240+'[2]BM 02'!H240</f>
        <v>0</v>
      </c>
      <c r="I240" s="28">
        <f t="shared" si="65"/>
        <v>8720.9579272499996</v>
      </c>
      <c r="J240" s="28">
        <f t="shared" si="65"/>
        <v>0</v>
      </c>
      <c r="K240" s="28">
        <f t="shared" si="65"/>
        <v>0</v>
      </c>
      <c r="L240" s="4"/>
    </row>
    <row r="241" spans="2:12" s="5" customFormat="1" ht="24.75" thickBot="1">
      <c r="B241" s="109" t="s">
        <v>515</v>
      </c>
      <c r="C241" s="64" t="s">
        <v>516</v>
      </c>
      <c r="D241" s="23" t="s">
        <v>27</v>
      </c>
      <c r="E241" s="35">
        <v>416.05245000000002</v>
      </c>
      <c r="F241" s="25">
        <v>8</v>
      </c>
      <c r="G241" s="26">
        <f>'[2]Memória 03'!K234</f>
        <v>0</v>
      </c>
      <c r="H241" s="27">
        <f>G241+'[2]BM 02'!H241</f>
        <v>0</v>
      </c>
      <c r="I241" s="28">
        <f t="shared" si="65"/>
        <v>3328.4196000000002</v>
      </c>
      <c r="J241" s="28">
        <f t="shared" si="65"/>
        <v>0</v>
      </c>
      <c r="K241" s="28">
        <f t="shared" si="65"/>
        <v>0</v>
      </c>
      <c r="L241" s="4"/>
    </row>
    <row r="242" spans="2:12" s="5" customFormat="1" ht="15">
      <c r="B242" s="117" t="s">
        <v>439</v>
      </c>
      <c r="C242" s="118"/>
      <c r="D242" s="118"/>
      <c r="E242" s="118"/>
      <c r="F242" s="118"/>
      <c r="G242" s="118"/>
      <c r="H242" s="119"/>
      <c r="I242" s="66">
        <f>SUM(I223+I216+I212+I155+I105+I86+I56+I52+I48+I32+I25+I20+I11+I229)</f>
        <v>649116.54869174992</v>
      </c>
      <c r="J242" s="66">
        <f t="shared" ref="J242:K242" si="68">SUM(J223+J216+J212+J155+J105+J86+J56+J52+J48+J32+J25+J20+J11+J229)</f>
        <v>69233.863064300007</v>
      </c>
      <c r="K242" s="66">
        <f t="shared" si="68"/>
        <v>127549.00027680001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>
      <c r="I245" s="70"/>
    </row>
    <row r="246" spans="2:12">
      <c r="B246" s="149" t="s">
        <v>517</v>
      </c>
      <c r="C246" s="149"/>
      <c r="D246" s="149"/>
      <c r="E246" s="149"/>
      <c r="F246" s="149"/>
      <c r="G246" s="149"/>
      <c r="H246" s="149"/>
      <c r="I246" s="149"/>
      <c r="J246" s="149"/>
      <c r="K246" s="149"/>
    </row>
    <row r="247" spans="2:12">
      <c r="B247" s="149"/>
      <c r="C247" s="149"/>
      <c r="D247" s="149"/>
      <c r="E247" s="149"/>
      <c r="F247" s="149"/>
      <c r="G247" s="149"/>
      <c r="H247" s="149"/>
      <c r="I247" s="149"/>
      <c r="J247" s="149"/>
      <c r="K247" s="149"/>
    </row>
    <row r="248" spans="2:12">
      <c r="B248" s="149"/>
      <c r="C248" s="149"/>
      <c r="D248" s="149"/>
      <c r="E248" s="149"/>
      <c r="F248" s="149"/>
      <c r="G248" s="149"/>
      <c r="H248" s="149"/>
      <c r="I248" s="149"/>
      <c r="J248" s="149"/>
      <c r="K248" s="149"/>
    </row>
  </sheetData>
  <mergeCells count="20">
    <mergeCell ref="B5:C5"/>
    <mergeCell ref="D5:H5"/>
    <mergeCell ref="I5:K5"/>
    <mergeCell ref="B2:K2"/>
    <mergeCell ref="B3:K3"/>
    <mergeCell ref="B4:C4"/>
    <mergeCell ref="D4:H4"/>
    <mergeCell ref="I4:K4"/>
    <mergeCell ref="B9:K9"/>
    <mergeCell ref="C84:D84"/>
    <mergeCell ref="B242:H242"/>
    <mergeCell ref="B246:K248"/>
    <mergeCell ref="B6:C6"/>
    <mergeCell ref="D6:H6"/>
    <mergeCell ref="I6:K6"/>
    <mergeCell ref="B7:C7"/>
    <mergeCell ref="D7:H7"/>
    <mergeCell ref="B8:C8"/>
    <mergeCell ref="D8:H8"/>
    <mergeCell ref="I8:K8"/>
  </mergeCells>
  <conditionalFormatting sqref="B11:K83 B84:C84">
    <cfRule type="expression" dxfId="31" priority="3">
      <formula>LEN($B11)=1</formula>
    </cfRule>
  </conditionalFormatting>
  <conditionalFormatting sqref="B85:K241">
    <cfRule type="expression" dxfId="30" priority="1">
      <formula>LEN($B85)=1</formula>
    </cfRule>
  </conditionalFormatting>
  <conditionalFormatting sqref="E84:K84">
    <cfRule type="expression" dxfId="29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  <rowBreaks count="3" manualBreakCount="3">
    <brk id="38" min="1" max="10" man="1"/>
    <brk id="85" min="1" max="10" man="1"/>
    <brk id="227" min="1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01D6B-ACF2-43B6-B6DF-069F5B186E6A}">
  <dimension ref="A2:N234"/>
  <sheetViews>
    <sheetView view="pageBreakPreview" topLeftCell="A54" zoomScale="80" zoomScaleNormal="100" zoomScaleSheetLayoutView="90" workbookViewId="0">
      <selection activeCell="C224" sqref="C224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10" width="9.140625" style="95"/>
    <col min="11" max="16384" width="9.140625" style="5"/>
  </cols>
  <sheetData>
    <row r="2" spans="1:10" ht="15">
      <c r="A2" s="136" t="s">
        <v>518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0" ht="15">
      <c r="A3" s="73" t="s">
        <v>15</v>
      </c>
      <c r="B3" s="74" t="s">
        <v>441</v>
      </c>
      <c r="C3" s="73" t="s">
        <v>17</v>
      </c>
      <c r="D3" s="138" t="s">
        <v>442</v>
      </c>
      <c r="E3" s="138"/>
      <c r="F3" s="138"/>
      <c r="G3" s="138"/>
      <c r="H3" s="138"/>
      <c r="I3" s="138"/>
      <c r="J3" s="138"/>
    </row>
    <row r="4" spans="1:10">
      <c r="A4" s="75">
        <v>1</v>
      </c>
      <c r="B4" s="76" t="s">
        <v>443</v>
      </c>
      <c r="C4" s="77"/>
      <c r="D4" s="133"/>
      <c r="E4" s="133"/>
      <c r="F4" s="133"/>
      <c r="G4" s="133"/>
      <c r="H4" s="133"/>
      <c r="I4" s="133"/>
      <c r="J4" s="133"/>
    </row>
    <row r="5" spans="1:10">
      <c r="A5" s="78" t="s">
        <v>25</v>
      </c>
      <c r="B5" s="79" t="s">
        <v>26</v>
      </c>
      <c r="C5" s="80" t="s">
        <v>27</v>
      </c>
      <c r="D5" s="133"/>
      <c r="E5" s="133"/>
      <c r="F5" s="133"/>
      <c r="G5" s="133"/>
      <c r="H5" s="133"/>
      <c r="I5" s="133"/>
      <c r="J5" s="133"/>
    </row>
    <row r="6" spans="1:10" ht="42.75">
      <c r="A6" s="78" t="s">
        <v>28</v>
      </c>
      <c r="B6" s="79" t="s">
        <v>29</v>
      </c>
      <c r="C6" s="80" t="s">
        <v>27</v>
      </c>
      <c r="D6" s="133"/>
      <c r="E6" s="133"/>
      <c r="F6" s="133"/>
      <c r="G6" s="133"/>
      <c r="H6" s="133"/>
      <c r="I6" s="133"/>
      <c r="J6" s="133"/>
    </row>
    <row r="7" spans="1:10" ht="28.5">
      <c r="A7" s="78" t="s">
        <v>30</v>
      </c>
      <c r="B7" s="81" t="s">
        <v>446</v>
      </c>
      <c r="C7" s="80" t="s">
        <v>27</v>
      </c>
      <c r="D7" s="133"/>
      <c r="E7" s="133"/>
      <c r="F7" s="133"/>
      <c r="G7" s="133"/>
      <c r="H7" s="133"/>
      <c r="I7" s="133"/>
      <c r="J7" s="133"/>
    </row>
    <row r="8" spans="1:10" ht="28.5">
      <c r="A8" s="78" t="s">
        <v>32</v>
      </c>
      <c r="B8" s="81" t="s">
        <v>447</v>
      </c>
      <c r="C8" s="80" t="s">
        <v>27</v>
      </c>
      <c r="D8" s="133"/>
      <c r="E8" s="133"/>
      <c r="F8" s="133"/>
      <c r="G8" s="133"/>
      <c r="H8" s="133"/>
      <c r="I8" s="133"/>
      <c r="J8" s="133"/>
    </row>
    <row r="9" spans="1:10" ht="28.5">
      <c r="A9" s="78" t="s">
        <v>34</v>
      </c>
      <c r="B9" s="79" t="s">
        <v>35</v>
      </c>
      <c r="C9" s="80" t="s">
        <v>36</v>
      </c>
      <c r="D9" s="133"/>
      <c r="E9" s="133"/>
      <c r="F9" s="133"/>
      <c r="G9" s="133"/>
      <c r="H9" s="133"/>
      <c r="I9" s="133"/>
      <c r="J9" s="133"/>
    </row>
    <row r="10" spans="1:10">
      <c r="A10" s="78" t="s">
        <v>37</v>
      </c>
      <c r="B10" s="79" t="s">
        <v>38</v>
      </c>
      <c r="C10" s="80" t="s">
        <v>36</v>
      </c>
      <c r="D10" s="133"/>
      <c r="E10" s="133"/>
      <c r="F10" s="133"/>
      <c r="G10" s="133"/>
      <c r="H10" s="133"/>
      <c r="I10" s="133"/>
      <c r="J10" s="133"/>
    </row>
    <row r="11" spans="1:10" ht="28.5">
      <c r="A11" s="78" t="s">
        <v>39</v>
      </c>
      <c r="B11" s="81" t="s">
        <v>40</v>
      </c>
      <c r="C11" s="80" t="s">
        <v>27</v>
      </c>
      <c r="D11" s="133"/>
      <c r="E11" s="133"/>
      <c r="F11" s="133"/>
      <c r="G11" s="133"/>
      <c r="H11" s="133"/>
      <c r="I11" s="133"/>
      <c r="J11" s="133"/>
    </row>
    <row r="12" spans="1:10" ht="42.75">
      <c r="A12" s="78" t="s">
        <v>41</v>
      </c>
      <c r="B12" s="81" t="s">
        <v>448</v>
      </c>
      <c r="C12" s="80" t="s">
        <v>27</v>
      </c>
      <c r="D12" s="133"/>
      <c r="E12" s="133"/>
      <c r="F12" s="133"/>
      <c r="G12" s="133"/>
      <c r="H12" s="133"/>
      <c r="I12" s="133"/>
      <c r="J12" s="133"/>
    </row>
    <row r="13" spans="1:10">
      <c r="A13" s="75">
        <v>2</v>
      </c>
      <c r="B13" s="76" t="str">
        <f>[4]Planilha!$B$21</f>
        <v>MOVIMENTO DE TERRA</v>
      </c>
      <c r="C13" s="77"/>
      <c r="D13" s="133"/>
      <c r="E13" s="133"/>
      <c r="F13" s="133"/>
      <c r="G13" s="133"/>
      <c r="H13" s="133"/>
      <c r="I13" s="133"/>
      <c r="J13" s="133"/>
    </row>
    <row r="14" spans="1:10" ht="42.75">
      <c r="A14" s="78" t="s">
        <v>43</v>
      </c>
      <c r="B14" s="81" t="s">
        <v>44</v>
      </c>
      <c r="C14" s="80" t="s">
        <v>45</v>
      </c>
      <c r="D14" s="135"/>
      <c r="E14" s="135"/>
      <c r="F14" s="135"/>
      <c r="G14" s="135"/>
      <c r="H14" s="135"/>
      <c r="I14" s="135"/>
      <c r="J14" s="135"/>
    </row>
    <row r="15" spans="1:10" ht="44.25" customHeight="1">
      <c r="A15" s="78" t="s">
        <v>46</v>
      </c>
      <c r="B15" s="81" t="s">
        <v>47</v>
      </c>
      <c r="C15" s="80" t="s">
        <v>45</v>
      </c>
      <c r="D15" s="135"/>
      <c r="E15" s="135"/>
      <c r="F15" s="135"/>
      <c r="G15" s="135"/>
      <c r="H15" s="135"/>
      <c r="I15" s="135"/>
      <c r="J15" s="135"/>
    </row>
    <row r="16" spans="1:10" ht="28.5">
      <c r="A16" s="78" t="s">
        <v>48</v>
      </c>
      <c r="B16" s="81" t="s">
        <v>49</v>
      </c>
      <c r="C16" s="80" t="s">
        <v>45</v>
      </c>
      <c r="D16" s="135"/>
      <c r="E16" s="135"/>
      <c r="F16" s="135"/>
      <c r="G16" s="135"/>
      <c r="H16" s="135"/>
      <c r="I16" s="135"/>
      <c r="J16" s="135"/>
    </row>
    <row r="17" spans="1:10" ht="28.5">
      <c r="A17" s="78" t="s">
        <v>50</v>
      </c>
      <c r="B17" s="81" t="s">
        <v>449</v>
      </c>
      <c r="C17" s="80" t="s">
        <v>45</v>
      </c>
      <c r="D17" s="133"/>
      <c r="E17" s="133"/>
      <c r="F17" s="133"/>
      <c r="G17" s="133"/>
      <c r="H17" s="133"/>
      <c r="I17" s="133"/>
      <c r="J17" s="133"/>
    </row>
    <row r="18" spans="1:10">
      <c r="A18" s="75">
        <v>3</v>
      </c>
      <c r="B18" s="76" t="str">
        <f>[4]Planilha!$B$26</f>
        <v>COBERTURA</v>
      </c>
      <c r="C18" s="77"/>
      <c r="D18" s="133"/>
      <c r="E18" s="133"/>
      <c r="F18" s="133"/>
      <c r="G18" s="133"/>
      <c r="H18" s="133"/>
      <c r="I18" s="133"/>
      <c r="J18" s="133"/>
    </row>
    <row r="19" spans="1:10" ht="28.5">
      <c r="A19" s="78" t="s">
        <v>52</v>
      </c>
      <c r="B19" s="81" t="s">
        <v>53</v>
      </c>
      <c r="C19" s="80" t="s">
        <v>27</v>
      </c>
      <c r="D19" s="133"/>
      <c r="E19" s="133"/>
      <c r="F19" s="133"/>
      <c r="G19" s="133"/>
      <c r="H19" s="133"/>
      <c r="I19" s="133"/>
      <c r="J19" s="133"/>
    </row>
    <row r="20" spans="1:10" ht="28.5">
      <c r="A20" s="78" t="s">
        <v>54</v>
      </c>
      <c r="B20" s="81" t="s">
        <v>55</v>
      </c>
      <c r="C20" s="80" t="s">
        <v>27</v>
      </c>
      <c r="D20" s="133"/>
      <c r="E20" s="133"/>
      <c r="F20" s="133"/>
      <c r="G20" s="133"/>
      <c r="H20" s="133"/>
      <c r="I20" s="133"/>
      <c r="J20" s="133"/>
    </row>
    <row r="21" spans="1:10">
      <c r="A21" s="78" t="s">
        <v>56</v>
      </c>
      <c r="B21" s="79" t="s">
        <v>57</v>
      </c>
      <c r="C21" s="80" t="s">
        <v>27</v>
      </c>
      <c r="D21" s="133"/>
      <c r="E21" s="133"/>
      <c r="F21" s="133"/>
      <c r="G21" s="133"/>
      <c r="H21" s="133"/>
      <c r="I21" s="133"/>
      <c r="J21" s="133"/>
    </row>
    <row r="22" spans="1:10" ht="28.5">
      <c r="A22" s="78" t="s">
        <v>58</v>
      </c>
      <c r="B22" s="81" t="s">
        <v>450</v>
      </c>
      <c r="C22" s="80" t="s">
        <v>60</v>
      </c>
      <c r="D22" s="133"/>
      <c r="E22" s="133"/>
      <c r="F22" s="133"/>
      <c r="G22" s="133"/>
      <c r="H22" s="133"/>
      <c r="I22" s="133"/>
      <c r="J22" s="133"/>
    </row>
    <row r="23" spans="1:10" ht="28.5">
      <c r="A23" s="78" t="s">
        <v>61</v>
      </c>
      <c r="B23" s="81" t="s">
        <v>62</v>
      </c>
      <c r="C23" s="80" t="s">
        <v>60</v>
      </c>
      <c r="D23" s="133"/>
      <c r="E23" s="133"/>
      <c r="F23" s="133"/>
      <c r="G23" s="133"/>
      <c r="H23" s="133"/>
      <c r="I23" s="133"/>
      <c r="J23" s="133"/>
    </row>
    <row r="24" spans="1:10" ht="28.5">
      <c r="A24" s="78" t="s">
        <v>63</v>
      </c>
      <c r="B24" s="81" t="s">
        <v>64</v>
      </c>
      <c r="C24" s="80" t="s">
        <v>60</v>
      </c>
      <c r="D24" s="133"/>
      <c r="E24" s="133"/>
      <c r="F24" s="133"/>
      <c r="G24" s="133"/>
      <c r="H24" s="133"/>
      <c r="I24" s="133"/>
      <c r="J24" s="133"/>
    </row>
    <row r="25" spans="1:10">
      <c r="A25" s="75">
        <v>4</v>
      </c>
      <c r="B25" s="76" t="s">
        <v>65</v>
      </c>
      <c r="C25" s="77"/>
      <c r="D25" s="133"/>
      <c r="E25" s="133"/>
      <c r="F25" s="133"/>
      <c r="G25" s="133"/>
      <c r="H25" s="133"/>
      <c r="I25" s="133"/>
      <c r="J25" s="133"/>
    </row>
    <row r="26" spans="1:10" ht="15">
      <c r="A26" s="73" t="s">
        <v>66</v>
      </c>
      <c r="B26" s="82" t="s">
        <v>451</v>
      </c>
      <c r="C26" s="74"/>
      <c r="D26" s="133"/>
      <c r="E26" s="133"/>
      <c r="F26" s="133"/>
      <c r="G26" s="133"/>
      <c r="H26" s="133"/>
      <c r="I26" s="133"/>
      <c r="J26" s="133"/>
    </row>
    <row r="27" spans="1:10" ht="29.25" customHeight="1">
      <c r="A27" s="78" t="s">
        <v>67</v>
      </c>
      <c r="B27" s="79" t="s">
        <v>68</v>
      </c>
      <c r="C27" s="80" t="s">
        <v>45</v>
      </c>
      <c r="D27" s="135"/>
      <c r="E27" s="135"/>
      <c r="F27" s="135"/>
      <c r="G27" s="135"/>
      <c r="H27" s="135"/>
      <c r="I27" s="135"/>
      <c r="J27" s="135"/>
    </row>
    <row r="28" spans="1:10" ht="47.25" customHeight="1">
      <c r="A28" s="78" t="s">
        <v>69</v>
      </c>
      <c r="B28" s="79" t="s">
        <v>70</v>
      </c>
      <c r="C28" s="80" t="s">
        <v>27</v>
      </c>
      <c r="D28" s="135"/>
      <c r="E28" s="135"/>
      <c r="F28" s="135"/>
      <c r="G28" s="135"/>
      <c r="H28" s="135"/>
      <c r="I28" s="135"/>
      <c r="J28" s="135"/>
    </row>
    <row r="29" spans="1:10" ht="71.25" customHeight="1">
      <c r="A29" s="78" t="s">
        <v>71</v>
      </c>
      <c r="B29" s="79" t="s">
        <v>72</v>
      </c>
      <c r="C29" s="80" t="s">
        <v>73</v>
      </c>
      <c r="D29" s="135"/>
      <c r="E29" s="135"/>
      <c r="F29" s="135"/>
      <c r="G29" s="135"/>
      <c r="H29" s="135"/>
      <c r="I29" s="135"/>
      <c r="J29" s="135"/>
    </row>
    <row r="30" spans="1:10" ht="46.5" customHeight="1">
      <c r="A30" s="78" t="s">
        <v>74</v>
      </c>
      <c r="B30" s="81" t="s">
        <v>75</v>
      </c>
      <c r="C30" s="80" t="s">
        <v>73</v>
      </c>
      <c r="D30" s="135"/>
      <c r="E30" s="135"/>
      <c r="F30" s="135"/>
      <c r="G30" s="135"/>
      <c r="H30" s="135"/>
      <c r="I30" s="135"/>
      <c r="J30" s="135"/>
    </row>
    <row r="31" spans="1:10" ht="28.5">
      <c r="A31" s="78" t="s">
        <v>76</v>
      </c>
      <c r="B31" s="79" t="s">
        <v>77</v>
      </c>
      <c r="C31" s="80" t="s">
        <v>45</v>
      </c>
      <c r="D31" s="135"/>
      <c r="E31" s="135"/>
      <c r="F31" s="135"/>
      <c r="G31" s="135"/>
      <c r="H31" s="135"/>
      <c r="I31" s="135"/>
      <c r="J31" s="135"/>
    </row>
    <row r="32" spans="1:10" ht="15">
      <c r="A32" s="73" t="s">
        <v>78</v>
      </c>
      <c r="B32" s="82" t="s">
        <v>65</v>
      </c>
      <c r="C32" s="74"/>
      <c r="D32" s="133"/>
      <c r="E32" s="133"/>
      <c r="F32" s="133"/>
      <c r="G32" s="133"/>
      <c r="H32" s="133"/>
      <c r="I32" s="133"/>
      <c r="J32" s="133"/>
    </row>
    <row r="33" spans="1:14" ht="57">
      <c r="A33" s="78" t="s">
        <v>79</v>
      </c>
      <c r="B33" s="83" t="s">
        <v>80</v>
      </c>
      <c r="C33" s="80" t="s">
        <v>27</v>
      </c>
      <c r="D33" s="133"/>
      <c r="E33" s="133"/>
      <c r="F33" s="133"/>
      <c r="G33" s="133"/>
      <c r="H33" s="133"/>
      <c r="I33" s="133"/>
      <c r="J33" s="133"/>
    </row>
    <row r="34" spans="1:14" ht="28.5">
      <c r="A34" s="78" t="s">
        <v>81</v>
      </c>
      <c r="B34" s="83" t="s">
        <v>72</v>
      </c>
      <c r="C34" s="80" t="s">
        <v>73</v>
      </c>
      <c r="D34" s="135"/>
      <c r="E34" s="135"/>
      <c r="F34" s="135"/>
      <c r="G34" s="135"/>
      <c r="H34" s="135"/>
      <c r="I34" s="135"/>
      <c r="J34" s="135"/>
    </row>
    <row r="35" spans="1:14" ht="28.5">
      <c r="A35" s="78" t="s">
        <v>82</v>
      </c>
      <c r="B35" s="84" t="s">
        <v>452</v>
      </c>
      <c r="C35" s="80" t="s">
        <v>73</v>
      </c>
      <c r="D35" s="135"/>
      <c r="E35" s="135"/>
      <c r="F35" s="135"/>
      <c r="G35" s="135"/>
      <c r="H35" s="135"/>
      <c r="I35" s="135"/>
      <c r="J35" s="135"/>
    </row>
    <row r="36" spans="1:14" ht="28.5">
      <c r="A36" s="78" t="s">
        <v>83</v>
      </c>
      <c r="B36" s="83" t="s">
        <v>84</v>
      </c>
      <c r="C36" s="80" t="s">
        <v>45</v>
      </c>
      <c r="D36" s="135"/>
      <c r="E36" s="135"/>
      <c r="F36" s="135"/>
      <c r="G36" s="135"/>
      <c r="H36" s="135"/>
      <c r="I36" s="135"/>
      <c r="J36" s="135"/>
    </row>
    <row r="37" spans="1:14" ht="28.5">
      <c r="A37" s="78" t="s">
        <v>85</v>
      </c>
      <c r="B37" s="84" t="s">
        <v>453</v>
      </c>
      <c r="C37" s="80" t="s">
        <v>45</v>
      </c>
      <c r="D37" s="133"/>
      <c r="E37" s="133"/>
      <c r="F37" s="133"/>
      <c r="G37" s="133"/>
      <c r="H37" s="133"/>
      <c r="I37" s="133"/>
      <c r="J37" s="133"/>
    </row>
    <row r="38" spans="1:14" ht="42.75">
      <c r="A38" s="78" t="s">
        <v>87</v>
      </c>
      <c r="B38" s="84" t="s">
        <v>88</v>
      </c>
      <c r="C38" s="80" t="s">
        <v>27</v>
      </c>
      <c r="D38" s="133"/>
      <c r="E38" s="133"/>
      <c r="F38" s="133"/>
      <c r="G38" s="133"/>
      <c r="H38" s="133"/>
      <c r="I38" s="133"/>
      <c r="J38" s="133"/>
    </row>
    <row r="39" spans="1:14" ht="42.75">
      <c r="A39" s="78" t="s">
        <v>89</v>
      </c>
      <c r="B39" s="84" t="s">
        <v>90</v>
      </c>
      <c r="C39" s="80" t="s">
        <v>27</v>
      </c>
      <c r="D39" s="133"/>
      <c r="E39" s="133"/>
      <c r="F39" s="133"/>
      <c r="G39" s="133"/>
      <c r="H39" s="133"/>
      <c r="I39" s="133"/>
      <c r="J39" s="133"/>
    </row>
    <row r="40" spans="1:14" ht="42.75">
      <c r="A40" s="78" t="s">
        <v>91</v>
      </c>
      <c r="B40" s="83" t="s">
        <v>92</v>
      </c>
      <c r="C40" s="80" t="s">
        <v>60</v>
      </c>
      <c r="D40" s="135"/>
      <c r="E40" s="135"/>
      <c r="F40" s="135"/>
      <c r="G40" s="135"/>
      <c r="H40" s="135"/>
      <c r="I40" s="135"/>
      <c r="J40" s="135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4" ht="15">
      <c r="A41" s="75">
        <v>5</v>
      </c>
      <c r="B41" s="85" t="s">
        <v>93</v>
      </c>
      <c r="C41" s="77"/>
      <c r="D41" s="133"/>
      <c r="E41" s="133"/>
      <c r="F41" s="133"/>
      <c r="G41" s="133"/>
      <c r="H41" s="133"/>
      <c r="I41" s="133"/>
      <c r="J41" s="133"/>
    </row>
    <row r="42" spans="1:14" ht="57">
      <c r="A42" s="86" t="s">
        <v>94</v>
      </c>
      <c r="B42" s="79" t="s">
        <v>95</v>
      </c>
      <c r="C42" s="80" t="s">
        <v>27</v>
      </c>
      <c r="D42" s="135"/>
      <c r="E42" s="135"/>
      <c r="F42" s="135"/>
      <c r="G42" s="135"/>
      <c r="H42" s="135"/>
      <c r="I42" s="135"/>
      <c r="J42" s="135"/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4" ht="15">
      <c r="A43" s="73" t="s">
        <v>96</v>
      </c>
      <c r="B43" s="82" t="s">
        <v>97</v>
      </c>
      <c r="C43" s="74"/>
      <c r="D43" s="133"/>
      <c r="E43" s="133"/>
      <c r="F43" s="133"/>
      <c r="G43" s="133"/>
      <c r="H43" s="133"/>
      <c r="I43" s="133"/>
      <c r="J43" s="133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6" t="s">
        <v>98</v>
      </c>
      <c r="B44" s="83" t="s">
        <v>99</v>
      </c>
      <c r="C44" s="80" t="s">
        <v>27</v>
      </c>
      <c r="D44" s="133"/>
      <c r="E44" s="133"/>
      <c r="F44" s="133"/>
      <c r="G44" s="133"/>
      <c r="H44" s="133"/>
      <c r="I44" s="133"/>
      <c r="J44" s="133"/>
    </row>
    <row r="45" spans="1:14">
      <c r="A45" s="75">
        <v>6</v>
      </c>
      <c r="B45" s="76" t="s">
        <v>100</v>
      </c>
      <c r="C45" s="77"/>
      <c r="D45" s="133"/>
      <c r="E45" s="133"/>
      <c r="F45" s="133"/>
      <c r="G45" s="133"/>
      <c r="H45" s="133"/>
      <c r="I45" s="133"/>
      <c r="J45" s="133"/>
    </row>
    <row r="46" spans="1:14" ht="28.5">
      <c r="A46" s="86" t="s">
        <v>101</v>
      </c>
      <c r="B46" s="81" t="s">
        <v>102</v>
      </c>
      <c r="C46" s="87" t="s">
        <v>27</v>
      </c>
      <c r="D46" s="135"/>
      <c r="E46" s="135"/>
      <c r="F46" s="135"/>
      <c r="G46" s="135"/>
      <c r="H46" s="135"/>
      <c r="I46" s="135"/>
      <c r="J46" s="135"/>
    </row>
    <row r="47" spans="1:14" ht="28.5">
      <c r="A47" s="86" t="s">
        <v>103</v>
      </c>
      <c r="B47" s="81" t="s">
        <v>104</v>
      </c>
      <c r="C47" s="87" t="s">
        <v>27</v>
      </c>
      <c r="D47" s="133"/>
      <c r="E47" s="133"/>
      <c r="F47" s="133"/>
      <c r="G47" s="133"/>
      <c r="H47" s="133"/>
      <c r="I47" s="133"/>
      <c r="J47" s="133"/>
    </row>
    <row r="48" spans="1:14" ht="28.5">
      <c r="A48" s="78" t="s">
        <v>105</v>
      </c>
      <c r="B48" s="81" t="s">
        <v>106</v>
      </c>
      <c r="C48" s="87" t="s">
        <v>27</v>
      </c>
      <c r="D48" s="133"/>
      <c r="E48" s="133"/>
      <c r="F48" s="133"/>
      <c r="G48" s="133"/>
      <c r="H48" s="133"/>
      <c r="I48" s="133"/>
      <c r="J48" s="133"/>
    </row>
    <row r="49" spans="1:13">
      <c r="A49" s="75">
        <v>7</v>
      </c>
      <c r="B49" s="76" t="s">
        <v>107</v>
      </c>
      <c r="C49" s="77"/>
      <c r="D49" s="133"/>
      <c r="E49" s="133"/>
      <c r="F49" s="133"/>
      <c r="G49" s="133"/>
      <c r="H49" s="133"/>
      <c r="I49" s="133"/>
      <c r="J49" s="133"/>
    </row>
    <row r="50" spans="1:13" ht="15">
      <c r="A50" s="73" t="s">
        <v>108</v>
      </c>
      <c r="B50" s="82" t="s">
        <v>109</v>
      </c>
      <c r="C50" s="74"/>
      <c r="D50" s="133"/>
      <c r="E50" s="133"/>
      <c r="F50" s="133"/>
      <c r="G50" s="133"/>
      <c r="H50" s="133"/>
      <c r="I50" s="133"/>
      <c r="J50" s="133"/>
    </row>
    <row r="51" spans="1:13" ht="28.5">
      <c r="A51" s="86" t="s">
        <v>110</v>
      </c>
      <c r="B51" s="81" t="s">
        <v>454</v>
      </c>
      <c r="C51" s="80" t="s">
        <v>27</v>
      </c>
      <c r="D51" s="135"/>
      <c r="E51" s="135"/>
      <c r="F51" s="135"/>
      <c r="G51" s="135"/>
      <c r="H51" s="135"/>
      <c r="I51" s="135"/>
      <c r="J51" s="135"/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28.5">
      <c r="A52" s="86" t="s">
        <v>112</v>
      </c>
      <c r="B52" s="79" t="s">
        <v>113</v>
      </c>
      <c r="C52" s="80" t="s">
        <v>27</v>
      </c>
      <c r="D52" s="135"/>
      <c r="E52" s="135"/>
      <c r="F52" s="135"/>
      <c r="G52" s="135"/>
      <c r="H52" s="135"/>
      <c r="I52" s="135"/>
      <c r="J52" s="135"/>
    </row>
    <row r="53" spans="1:13" ht="57">
      <c r="A53" s="86" t="s">
        <v>114</v>
      </c>
      <c r="B53" s="79" t="s">
        <v>115</v>
      </c>
      <c r="C53" s="80" t="s">
        <v>27</v>
      </c>
      <c r="D53" s="135"/>
      <c r="E53" s="135"/>
      <c r="F53" s="135"/>
      <c r="G53" s="135"/>
      <c r="H53" s="135"/>
      <c r="I53" s="135"/>
      <c r="J53" s="135"/>
      <c r="L53" s="5">
        <f>4.6*3.16 + (8.9+3+2.95+4.5+3.75+7.05+5.8+ 4.5+5.45+0.8+0.8+6.1+3.5)*0.5 + 1.26*13.3 + 1.42*3.2 + 7.3*2.05 + 7.6*2.1 + 8*1</f>
        <v>103.313</v>
      </c>
    </row>
    <row r="54" spans="1:13" ht="42.75">
      <c r="A54" s="86" t="s">
        <v>116</v>
      </c>
      <c r="B54" s="79" t="s">
        <v>117</v>
      </c>
      <c r="C54" s="80" t="s">
        <v>27</v>
      </c>
      <c r="D54" s="133"/>
      <c r="E54" s="133"/>
      <c r="F54" s="133"/>
      <c r="G54" s="133"/>
      <c r="H54" s="133"/>
      <c r="I54" s="133"/>
      <c r="J54" s="133"/>
    </row>
    <row r="55" spans="1:13" ht="57">
      <c r="A55" s="86" t="s">
        <v>118</v>
      </c>
      <c r="B55" s="81" t="s">
        <v>119</v>
      </c>
      <c r="C55" s="80" t="s">
        <v>60</v>
      </c>
      <c r="D55" s="133"/>
      <c r="E55" s="133"/>
      <c r="F55" s="133"/>
      <c r="G55" s="133"/>
      <c r="H55" s="133"/>
      <c r="I55" s="133"/>
      <c r="J55" s="133"/>
    </row>
    <row r="56" spans="1:13">
      <c r="A56" s="86" t="s">
        <v>120</v>
      </c>
      <c r="B56" s="79" t="s">
        <v>121</v>
      </c>
      <c r="C56" s="80" t="s">
        <v>27</v>
      </c>
      <c r="D56" s="133"/>
      <c r="E56" s="133"/>
      <c r="F56" s="133"/>
      <c r="G56" s="133"/>
      <c r="H56" s="133"/>
      <c r="I56" s="133"/>
      <c r="J56" s="133"/>
    </row>
    <row r="57" spans="1:13" ht="28.5">
      <c r="A57" s="86" t="s">
        <v>122</v>
      </c>
      <c r="B57" s="81" t="s">
        <v>455</v>
      </c>
      <c r="C57" s="80" t="s">
        <v>60</v>
      </c>
      <c r="D57" s="133"/>
      <c r="E57" s="133"/>
      <c r="F57" s="133"/>
      <c r="G57" s="133"/>
      <c r="H57" s="133"/>
      <c r="I57" s="133"/>
      <c r="J57" s="133"/>
    </row>
    <row r="58" spans="1:13" ht="107.25" customHeight="1">
      <c r="A58" s="86" t="s">
        <v>124</v>
      </c>
      <c r="B58" s="79" t="s">
        <v>125</v>
      </c>
      <c r="C58" s="80" t="s">
        <v>27</v>
      </c>
      <c r="D58" s="135"/>
      <c r="E58" s="135"/>
      <c r="F58" s="135"/>
      <c r="G58" s="135"/>
      <c r="H58" s="135"/>
      <c r="I58" s="135"/>
      <c r="J58" s="135"/>
    </row>
    <row r="59" spans="1:13" ht="42.75">
      <c r="A59" s="86" t="s">
        <v>126</v>
      </c>
      <c r="B59" s="81" t="s">
        <v>127</v>
      </c>
      <c r="C59" s="80" t="s">
        <v>60</v>
      </c>
      <c r="D59" s="133"/>
      <c r="E59" s="133"/>
      <c r="F59" s="133"/>
      <c r="G59" s="133"/>
      <c r="H59" s="133"/>
      <c r="I59" s="133"/>
      <c r="J59" s="133"/>
    </row>
    <row r="60" spans="1:13" ht="28.5">
      <c r="A60" s="86" t="s">
        <v>128</v>
      </c>
      <c r="B60" s="79" t="s">
        <v>129</v>
      </c>
      <c r="C60" s="80" t="s">
        <v>60</v>
      </c>
      <c r="D60" s="135"/>
      <c r="E60" s="135"/>
      <c r="F60" s="135"/>
      <c r="G60" s="135"/>
      <c r="H60" s="135"/>
      <c r="I60" s="135"/>
      <c r="J60" s="135"/>
      <c r="L60" s="5">
        <f>14*0.9+6*0.8+1+1.2+2+1.07+4.35</f>
        <v>27.019999999999996</v>
      </c>
    </row>
    <row r="61" spans="1:13" ht="15">
      <c r="A61" s="73" t="s">
        <v>130</v>
      </c>
      <c r="B61" s="82" t="s">
        <v>131</v>
      </c>
      <c r="C61" s="74"/>
      <c r="D61" s="133"/>
      <c r="E61" s="133"/>
      <c r="F61" s="133"/>
      <c r="G61" s="133"/>
      <c r="H61" s="133"/>
      <c r="I61" s="133"/>
      <c r="J61" s="133"/>
    </row>
    <row r="62" spans="1:13" ht="28.5">
      <c r="A62" s="86" t="s">
        <v>132</v>
      </c>
      <c r="B62" s="81" t="s">
        <v>133</v>
      </c>
      <c r="C62" s="80" t="s">
        <v>27</v>
      </c>
      <c r="D62" s="133"/>
      <c r="E62" s="133"/>
      <c r="F62" s="133"/>
      <c r="G62" s="133"/>
      <c r="H62" s="133"/>
      <c r="I62" s="133"/>
      <c r="J62" s="133"/>
    </row>
    <row r="63" spans="1:13" ht="42.75">
      <c r="A63" s="86" t="s">
        <v>134</v>
      </c>
      <c r="B63" s="81" t="s">
        <v>456</v>
      </c>
      <c r="C63" s="80" t="s">
        <v>27</v>
      </c>
      <c r="D63" s="133"/>
      <c r="E63" s="133"/>
      <c r="F63" s="133"/>
      <c r="G63" s="133"/>
      <c r="H63" s="133"/>
      <c r="I63" s="133"/>
      <c r="J63" s="133"/>
    </row>
    <row r="64" spans="1:13" ht="28.5">
      <c r="A64" s="86" t="s">
        <v>136</v>
      </c>
      <c r="B64" s="79" t="s">
        <v>137</v>
      </c>
      <c r="C64" s="80" t="s">
        <v>27</v>
      </c>
      <c r="D64" s="135"/>
      <c r="E64" s="135"/>
      <c r="F64" s="135"/>
      <c r="G64" s="135"/>
      <c r="H64" s="135"/>
      <c r="I64" s="135"/>
      <c r="J64" s="135"/>
    </row>
    <row r="65" spans="1:14" ht="87" customHeight="1">
      <c r="A65" s="86" t="s">
        <v>138</v>
      </c>
      <c r="B65" s="79" t="s">
        <v>139</v>
      </c>
      <c r="C65" s="80" t="s">
        <v>27</v>
      </c>
      <c r="D65" s="135"/>
      <c r="E65" s="135"/>
      <c r="F65" s="135"/>
      <c r="G65" s="135"/>
      <c r="H65" s="135"/>
      <c r="I65" s="135"/>
      <c r="J65" s="135"/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6" t="s">
        <v>140</v>
      </c>
      <c r="B66" s="81" t="s">
        <v>141</v>
      </c>
      <c r="C66" s="80" t="s">
        <v>27</v>
      </c>
      <c r="D66" s="133"/>
      <c r="E66" s="133"/>
      <c r="F66" s="133"/>
      <c r="G66" s="133"/>
      <c r="H66" s="133"/>
      <c r="I66" s="133"/>
      <c r="J66" s="133"/>
      <c r="M66" s="5">
        <f>1317.64-K65</f>
        <v>1317.64</v>
      </c>
      <c r="N66" s="5" t="s">
        <v>519</v>
      </c>
    </row>
    <row r="67" spans="1:14" ht="28.5">
      <c r="A67" s="86" t="s">
        <v>142</v>
      </c>
      <c r="B67" s="81" t="s">
        <v>143</v>
      </c>
      <c r="C67" s="80" t="s">
        <v>27</v>
      </c>
      <c r="D67" s="133"/>
      <c r="E67" s="133"/>
      <c r="F67" s="133"/>
      <c r="G67" s="133"/>
      <c r="H67" s="133"/>
      <c r="I67" s="133"/>
      <c r="J67" s="133"/>
      <c r="M67" s="5">
        <f>M66-K69</f>
        <v>1317.64</v>
      </c>
      <c r="N67" s="5" t="s">
        <v>520</v>
      </c>
    </row>
    <row r="68" spans="1:14">
      <c r="A68" s="86" t="s">
        <v>144</v>
      </c>
      <c r="B68" s="79" t="s">
        <v>145</v>
      </c>
      <c r="C68" s="80" t="s">
        <v>60</v>
      </c>
      <c r="D68" s="133"/>
      <c r="E68" s="133"/>
      <c r="F68" s="133"/>
      <c r="G68" s="133"/>
      <c r="H68" s="133"/>
      <c r="I68" s="133"/>
      <c r="J68" s="133"/>
    </row>
    <row r="69" spans="1:14" ht="28.5">
      <c r="A69" s="86" t="s">
        <v>146</v>
      </c>
      <c r="B69" s="79" t="s">
        <v>147</v>
      </c>
      <c r="C69" s="80" t="s">
        <v>27</v>
      </c>
      <c r="D69" s="133"/>
      <c r="E69" s="133"/>
      <c r="F69" s="133"/>
      <c r="G69" s="133"/>
      <c r="H69" s="133"/>
      <c r="I69" s="133"/>
      <c r="J69" s="133"/>
      <c r="M69" s="5" t="s">
        <v>521</v>
      </c>
    </row>
    <row r="70" spans="1:14" ht="15">
      <c r="A70" s="73" t="s">
        <v>148</v>
      </c>
      <c r="B70" s="82" t="s">
        <v>149</v>
      </c>
      <c r="C70" s="74"/>
      <c r="D70" s="133"/>
      <c r="E70" s="133"/>
      <c r="F70" s="133"/>
      <c r="G70" s="133"/>
      <c r="H70" s="133"/>
      <c r="I70" s="133"/>
      <c r="J70" s="133"/>
    </row>
    <row r="71" spans="1:14" ht="28.5">
      <c r="A71" s="86" t="s">
        <v>150</v>
      </c>
      <c r="B71" s="81" t="s">
        <v>457</v>
      </c>
      <c r="C71" s="80" t="s">
        <v>27</v>
      </c>
      <c r="D71" s="133"/>
      <c r="E71" s="133"/>
      <c r="F71" s="133"/>
      <c r="G71" s="133"/>
      <c r="H71" s="133"/>
      <c r="I71" s="133"/>
      <c r="J71" s="133"/>
    </row>
    <row r="72" spans="1:14" ht="28.5">
      <c r="A72" s="86" t="s">
        <v>152</v>
      </c>
      <c r="B72" s="81" t="s">
        <v>153</v>
      </c>
      <c r="C72" s="80" t="s">
        <v>27</v>
      </c>
      <c r="D72" s="133"/>
      <c r="E72" s="133"/>
      <c r="F72" s="133"/>
      <c r="G72" s="133"/>
      <c r="H72" s="133"/>
      <c r="I72" s="133"/>
      <c r="J72" s="133"/>
    </row>
    <row r="73" spans="1:14" ht="41.25" customHeight="1">
      <c r="A73" s="86" t="s">
        <v>154</v>
      </c>
      <c r="B73" s="81" t="s">
        <v>155</v>
      </c>
      <c r="C73" s="80" t="s">
        <v>27</v>
      </c>
      <c r="D73" s="135"/>
      <c r="E73" s="135"/>
      <c r="F73" s="135"/>
      <c r="G73" s="135"/>
      <c r="H73" s="135"/>
      <c r="I73" s="135"/>
      <c r="J73" s="135"/>
    </row>
    <row r="74" spans="1:14" ht="28.5">
      <c r="A74" s="86" t="s">
        <v>156</v>
      </c>
      <c r="B74" s="81" t="s">
        <v>143</v>
      </c>
      <c r="C74" s="80" t="s">
        <v>27</v>
      </c>
      <c r="D74" s="133"/>
      <c r="E74" s="133"/>
      <c r="F74" s="133"/>
      <c r="G74" s="133"/>
      <c r="H74" s="133"/>
      <c r="I74" s="133"/>
      <c r="J74" s="133"/>
    </row>
    <row r="75" spans="1:14" ht="28.5">
      <c r="A75" s="86" t="s">
        <v>157</v>
      </c>
      <c r="B75" s="79" t="s">
        <v>147</v>
      </c>
      <c r="C75" s="80" t="s">
        <v>27</v>
      </c>
      <c r="D75" s="133"/>
      <c r="E75" s="133"/>
      <c r="F75" s="133"/>
      <c r="G75" s="133"/>
      <c r="H75" s="133"/>
      <c r="I75" s="133"/>
      <c r="J75" s="133"/>
    </row>
    <row r="76" spans="1:14" ht="42.75">
      <c r="A76" s="86" t="s">
        <v>158</v>
      </c>
      <c r="B76" s="88" t="s">
        <v>159</v>
      </c>
      <c r="C76" s="89" t="s">
        <v>27</v>
      </c>
      <c r="D76" s="133"/>
      <c r="E76" s="133"/>
      <c r="F76" s="133"/>
      <c r="G76" s="133"/>
      <c r="H76" s="133"/>
      <c r="I76" s="133"/>
      <c r="J76" s="133"/>
    </row>
    <row r="77" spans="1:14" ht="15">
      <c r="A77" s="73" t="s">
        <v>160</v>
      </c>
      <c r="B77" s="134" t="s">
        <v>161</v>
      </c>
      <c r="C77" s="134"/>
      <c r="D77" s="133"/>
      <c r="E77" s="133"/>
      <c r="F77" s="133"/>
      <c r="G77" s="133"/>
      <c r="H77" s="133"/>
      <c r="I77" s="133"/>
      <c r="J77" s="133"/>
    </row>
    <row r="78" spans="1:14" ht="28.5">
      <c r="A78" s="86" t="s">
        <v>162</v>
      </c>
      <c r="B78" s="79" t="s">
        <v>147</v>
      </c>
      <c r="C78" s="80" t="s">
        <v>27</v>
      </c>
      <c r="D78" s="133"/>
      <c r="E78" s="133"/>
      <c r="F78" s="133"/>
      <c r="G78" s="133"/>
      <c r="H78" s="133"/>
      <c r="I78" s="133"/>
      <c r="J78" s="133"/>
    </row>
    <row r="79" spans="1:14">
      <c r="A79" s="75">
        <v>8</v>
      </c>
      <c r="B79" s="76" t="s">
        <v>163</v>
      </c>
      <c r="C79" s="77"/>
      <c r="D79" s="133"/>
      <c r="E79" s="133"/>
      <c r="F79" s="133"/>
      <c r="G79" s="133"/>
      <c r="H79" s="133"/>
      <c r="I79" s="133"/>
      <c r="J79" s="133"/>
    </row>
    <row r="80" spans="1:14" ht="15">
      <c r="A80" s="73" t="s">
        <v>164</v>
      </c>
      <c r="B80" s="90" t="s">
        <v>165</v>
      </c>
      <c r="C80" s="74"/>
      <c r="D80" s="133"/>
      <c r="E80" s="133"/>
      <c r="F80" s="133"/>
      <c r="G80" s="133"/>
      <c r="H80" s="133"/>
      <c r="I80" s="133"/>
      <c r="J80" s="133"/>
    </row>
    <row r="81" spans="1:10" ht="28.5">
      <c r="A81" s="86" t="s">
        <v>166</v>
      </c>
      <c r="B81" s="81" t="s">
        <v>167</v>
      </c>
      <c r="C81" s="80" t="s">
        <v>36</v>
      </c>
      <c r="D81" s="133"/>
      <c r="E81" s="133"/>
      <c r="F81" s="133"/>
      <c r="G81" s="133"/>
      <c r="H81" s="133"/>
      <c r="I81" s="133"/>
      <c r="J81" s="133"/>
    </row>
    <row r="82" spans="1:10" ht="28.5">
      <c r="A82" s="86" t="s">
        <v>168</v>
      </c>
      <c r="B82" s="81" t="s">
        <v>169</v>
      </c>
      <c r="C82" s="80" t="s">
        <v>36</v>
      </c>
      <c r="D82" s="133"/>
      <c r="E82" s="133"/>
      <c r="F82" s="133"/>
      <c r="G82" s="133"/>
      <c r="H82" s="133"/>
      <c r="I82" s="133"/>
      <c r="J82" s="133"/>
    </row>
    <row r="83" spans="1:10" ht="28.5">
      <c r="A83" s="86" t="s">
        <v>170</v>
      </c>
      <c r="B83" s="81" t="s">
        <v>171</v>
      </c>
      <c r="C83" s="80" t="s">
        <v>36</v>
      </c>
      <c r="D83" s="133"/>
      <c r="E83" s="133"/>
      <c r="F83" s="133"/>
      <c r="G83" s="133"/>
      <c r="H83" s="133"/>
      <c r="I83" s="133"/>
      <c r="J83" s="133"/>
    </row>
    <row r="84" spans="1:10" ht="28.5">
      <c r="A84" s="86" t="s">
        <v>172</v>
      </c>
      <c r="B84" s="81" t="s">
        <v>173</v>
      </c>
      <c r="C84" s="80" t="s">
        <v>36</v>
      </c>
      <c r="D84" s="133"/>
      <c r="E84" s="133"/>
      <c r="F84" s="133"/>
      <c r="G84" s="133"/>
      <c r="H84" s="133"/>
      <c r="I84" s="133"/>
      <c r="J84" s="133"/>
    </row>
    <row r="85" spans="1:10" ht="42.75">
      <c r="A85" s="86" t="s">
        <v>174</v>
      </c>
      <c r="B85" s="81" t="s">
        <v>175</v>
      </c>
      <c r="C85" s="80" t="s">
        <v>36</v>
      </c>
      <c r="D85" s="133"/>
      <c r="E85" s="133"/>
      <c r="F85" s="133"/>
      <c r="G85" s="133"/>
      <c r="H85" s="133"/>
      <c r="I85" s="133"/>
      <c r="J85" s="133"/>
    </row>
    <row r="86" spans="1:10" ht="42.75">
      <c r="A86" s="86" t="s">
        <v>176</v>
      </c>
      <c r="B86" s="81" t="s">
        <v>177</v>
      </c>
      <c r="C86" s="80" t="s">
        <v>36</v>
      </c>
      <c r="D86" s="133"/>
      <c r="E86" s="133"/>
      <c r="F86" s="133"/>
      <c r="G86" s="133"/>
      <c r="H86" s="133"/>
      <c r="I86" s="133"/>
      <c r="J86" s="133"/>
    </row>
    <row r="87" spans="1:10" ht="42.75">
      <c r="A87" s="86" t="s">
        <v>178</v>
      </c>
      <c r="B87" s="81" t="s">
        <v>179</v>
      </c>
      <c r="C87" s="80" t="s">
        <v>36</v>
      </c>
      <c r="D87" s="133"/>
      <c r="E87" s="133"/>
      <c r="F87" s="133"/>
      <c r="G87" s="133"/>
      <c r="H87" s="133"/>
      <c r="I87" s="133"/>
      <c r="J87" s="133"/>
    </row>
    <row r="88" spans="1:10" ht="28.5">
      <c r="A88" s="86" t="s">
        <v>180</v>
      </c>
      <c r="B88" s="81" t="s">
        <v>458</v>
      </c>
      <c r="C88" s="80" t="s">
        <v>27</v>
      </c>
      <c r="D88" s="133"/>
      <c r="E88" s="133"/>
      <c r="F88" s="133"/>
      <c r="G88" s="133"/>
      <c r="H88" s="133"/>
      <c r="I88" s="133"/>
      <c r="J88" s="133"/>
    </row>
    <row r="89" spans="1:10" ht="15">
      <c r="A89" s="73" t="s">
        <v>182</v>
      </c>
      <c r="B89" s="82" t="s">
        <v>183</v>
      </c>
      <c r="C89" s="74"/>
      <c r="D89" s="133"/>
      <c r="E89" s="133"/>
      <c r="F89" s="133"/>
      <c r="G89" s="133"/>
      <c r="H89" s="133"/>
      <c r="I89" s="133"/>
      <c r="J89" s="133"/>
    </row>
    <row r="90" spans="1:10" ht="28.5">
      <c r="A90" s="86" t="s">
        <v>184</v>
      </c>
      <c r="B90" s="81" t="s">
        <v>185</v>
      </c>
      <c r="C90" s="80" t="s">
        <v>27</v>
      </c>
      <c r="D90" s="133"/>
      <c r="E90" s="133"/>
      <c r="F90" s="133"/>
      <c r="G90" s="133"/>
      <c r="H90" s="133"/>
      <c r="I90" s="133"/>
      <c r="J90" s="133"/>
    </row>
    <row r="91" spans="1:10" ht="28.5">
      <c r="A91" s="86" t="s">
        <v>186</v>
      </c>
      <c r="B91" s="79" t="s">
        <v>187</v>
      </c>
      <c r="C91" s="80" t="s">
        <v>27</v>
      </c>
      <c r="D91" s="133"/>
      <c r="E91" s="133"/>
      <c r="F91" s="133"/>
      <c r="G91" s="133"/>
      <c r="H91" s="133"/>
      <c r="I91" s="133"/>
      <c r="J91" s="133"/>
    </row>
    <row r="92" spans="1:10">
      <c r="A92" s="86" t="s">
        <v>188</v>
      </c>
      <c r="B92" s="79" t="s">
        <v>189</v>
      </c>
      <c r="C92" s="80" t="s">
        <v>27</v>
      </c>
      <c r="D92" s="133"/>
      <c r="E92" s="133"/>
      <c r="F92" s="133"/>
      <c r="G92" s="133"/>
      <c r="H92" s="133"/>
      <c r="I92" s="133"/>
      <c r="J92" s="133"/>
    </row>
    <row r="93" spans="1:10" ht="28.5">
      <c r="A93" s="86" t="s">
        <v>190</v>
      </c>
      <c r="B93" s="81" t="s">
        <v>459</v>
      </c>
      <c r="C93" s="80" t="s">
        <v>60</v>
      </c>
      <c r="D93" s="133"/>
      <c r="E93" s="133"/>
      <c r="F93" s="133"/>
      <c r="G93" s="133"/>
      <c r="H93" s="133"/>
      <c r="I93" s="133"/>
      <c r="J93" s="133"/>
    </row>
    <row r="94" spans="1:10" ht="15">
      <c r="A94" s="73" t="s">
        <v>192</v>
      </c>
      <c r="B94" s="82" t="s">
        <v>193</v>
      </c>
      <c r="C94" s="74"/>
      <c r="D94" s="133"/>
      <c r="E94" s="133"/>
      <c r="F94" s="133"/>
      <c r="G94" s="133"/>
      <c r="H94" s="133"/>
      <c r="I94" s="133"/>
      <c r="J94" s="133"/>
    </row>
    <row r="95" spans="1:10">
      <c r="A95" s="86" t="s">
        <v>194</v>
      </c>
      <c r="B95" s="83" t="s">
        <v>195</v>
      </c>
      <c r="C95" s="80" t="s">
        <v>27</v>
      </c>
      <c r="D95" s="133"/>
      <c r="E95" s="133"/>
      <c r="F95" s="133"/>
      <c r="G95" s="133"/>
      <c r="H95" s="133"/>
      <c r="I95" s="133"/>
      <c r="J95" s="133"/>
    </row>
    <row r="96" spans="1:10">
      <c r="A96" s="86" t="s">
        <v>196</v>
      </c>
      <c r="B96" s="83" t="s">
        <v>197</v>
      </c>
      <c r="C96" s="80" t="s">
        <v>27</v>
      </c>
      <c r="D96" s="133"/>
      <c r="E96" s="133"/>
      <c r="F96" s="133"/>
      <c r="G96" s="133"/>
      <c r="H96" s="133"/>
      <c r="I96" s="133"/>
      <c r="J96" s="133"/>
    </row>
    <row r="97" spans="1:12" ht="28.5">
      <c r="A97" s="86" t="s">
        <v>198</v>
      </c>
      <c r="B97" s="84" t="s">
        <v>460</v>
      </c>
      <c r="C97" s="80" t="s">
        <v>27</v>
      </c>
      <c r="D97" s="133"/>
      <c r="E97" s="133"/>
      <c r="F97" s="133"/>
      <c r="G97" s="133"/>
      <c r="H97" s="133"/>
      <c r="I97" s="133"/>
      <c r="J97" s="133"/>
    </row>
    <row r="98" spans="1:12">
      <c r="A98" s="75">
        <v>9</v>
      </c>
      <c r="B98" s="76" t="s">
        <v>200</v>
      </c>
      <c r="C98" s="77"/>
      <c r="D98" s="133"/>
      <c r="E98" s="133"/>
      <c r="F98" s="133"/>
      <c r="G98" s="133"/>
      <c r="H98" s="133"/>
      <c r="I98" s="133"/>
      <c r="J98" s="133"/>
    </row>
    <row r="99" spans="1:12" ht="15">
      <c r="A99" s="73" t="s">
        <v>201</v>
      </c>
      <c r="B99" s="82" t="s">
        <v>202</v>
      </c>
      <c r="C99" s="74"/>
      <c r="D99" s="133"/>
      <c r="E99" s="133"/>
      <c r="F99" s="133"/>
      <c r="G99" s="133"/>
      <c r="H99" s="133"/>
      <c r="I99" s="133"/>
      <c r="J99" s="133"/>
    </row>
    <row r="100" spans="1:12" ht="28.5">
      <c r="A100" s="86" t="s">
        <v>203</v>
      </c>
      <c r="B100" s="81" t="s">
        <v>204</v>
      </c>
      <c r="C100" s="80" t="s">
        <v>36</v>
      </c>
      <c r="D100" s="133"/>
      <c r="E100" s="133"/>
      <c r="F100" s="133"/>
      <c r="G100" s="133"/>
      <c r="H100" s="133"/>
      <c r="I100" s="133"/>
      <c r="J100" s="133"/>
    </row>
    <row r="101" spans="1:12" ht="15">
      <c r="A101" s="73" t="s">
        <v>205</v>
      </c>
      <c r="B101" s="82" t="s">
        <v>206</v>
      </c>
      <c r="C101" s="74"/>
      <c r="D101" s="133"/>
      <c r="E101" s="133"/>
      <c r="F101" s="133"/>
      <c r="G101" s="133"/>
      <c r="H101" s="133"/>
      <c r="I101" s="133"/>
      <c r="J101" s="133"/>
    </row>
    <row r="102" spans="1:12" ht="42.75">
      <c r="A102" s="86" t="s">
        <v>207</v>
      </c>
      <c r="B102" s="81" t="s">
        <v>461</v>
      </c>
      <c r="C102" s="80" t="s">
        <v>36</v>
      </c>
      <c r="D102" s="133"/>
      <c r="E102" s="133"/>
      <c r="F102" s="133"/>
      <c r="G102" s="133"/>
      <c r="H102" s="133"/>
      <c r="I102" s="133"/>
      <c r="J102" s="133"/>
    </row>
    <row r="103" spans="1:12" ht="28.5">
      <c r="A103" s="86" t="s">
        <v>209</v>
      </c>
      <c r="B103" s="81" t="s">
        <v>462</v>
      </c>
      <c r="C103" s="80" t="s">
        <v>36</v>
      </c>
      <c r="D103" s="133"/>
      <c r="E103" s="133"/>
      <c r="F103" s="133"/>
      <c r="G103" s="133"/>
      <c r="H103" s="133"/>
      <c r="I103" s="133"/>
      <c r="J103" s="133"/>
    </row>
    <row r="104" spans="1:12" ht="28.5">
      <c r="A104" s="86" t="s">
        <v>211</v>
      </c>
      <c r="B104" s="79" t="s">
        <v>212</v>
      </c>
      <c r="C104" s="80" t="s">
        <v>36</v>
      </c>
      <c r="D104" s="133"/>
      <c r="E104" s="133"/>
      <c r="F104" s="133"/>
      <c r="G104" s="133"/>
      <c r="H104" s="133"/>
      <c r="I104" s="133"/>
      <c r="J104" s="133"/>
    </row>
    <row r="105" spans="1:12" ht="28.5">
      <c r="A105" s="86" t="s">
        <v>213</v>
      </c>
      <c r="B105" s="79" t="s">
        <v>214</v>
      </c>
      <c r="C105" s="80" t="s">
        <v>36</v>
      </c>
      <c r="D105" s="133"/>
      <c r="E105" s="133"/>
      <c r="F105" s="133"/>
      <c r="G105" s="133"/>
      <c r="H105" s="133"/>
      <c r="I105" s="133"/>
      <c r="J105" s="133"/>
    </row>
    <row r="106" spans="1:12" ht="42.75">
      <c r="A106" s="86" t="s">
        <v>215</v>
      </c>
      <c r="B106" s="79" t="s">
        <v>216</v>
      </c>
      <c r="C106" s="80" t="s">
        <v>36</v>
      </c>
      <c r="D106" s="133"/>
      <c r="E106" s="133"/>
      <c r="F106" s="133"/>
      <c r="G106" s="133"/>
      <c r="H106" s="133"/>
      <c r="I106" s="133"/>
      <c r="J106" s="133"/>
    </row>
    <row r="107" spans="1:12" ht="28.5">
      <c r="A107" s="86" t="s">
        <v>217</v>
      </c>
      <c r="B107" s="81" t="s">
        <v>463</v>
      </c>
      <c r="C107" s="80" t="s">
        <v>36</v>
      </c>
      <c r="D107" s="133"/>
      <c r="E107" s="133"/>
      <c r="F107" s="133"/>
      <c r="G107" s="133"/>
      <c r="H107" s="133"/>
      <c r="I107" s="133"/>
      <c r="J107" s="133"/>
    </row>
    <row r="108" spans="1:12" ht="28.5">
      <c r="A108" s="86" t="s">
        <v>219</v>
      </c>
      <c r="B108" s="81" t="s">
        <v>220</v>
      </c>
      <c r="C108" s="80" t="s">
        <v>36</v>
      </c>
      <c r="D108" s="135"/>
      <c r="E108" s="135"/>
      <c r="F108" s="135"/>
      <c r="G108" s="135"/>
      <c r="H108" s="135"/>
      <c r="I108" s="135"/>
      <c r="J108" s="135"/>
      <c r="L108" s="5">
        <f>2+5+9+3+4+1+2+2+3+4+9+6+4+1+9+8+8+3+18+3+7+6+7+16</f>
        <v>140</v>
      </c>
    </row>
    <row r="109" spans="1:12">
      <c r="A109" s="86" t="s">
        <v>221</v>
      </c>
      <c r="B109" s="79" t="s">
        <v>222</v>
      </c>
      <c r="C109" s="80" t="s">
        <v>36</v>
      </c>
      <c r="D109" s="133"/>
      <c r="E109" s="133"/>
      <c r="F109" s="133"/>
      <c r="G109" s="133"/>
      <c r="H109" s="133"/>
      <c r="I109" s="133"/>
      <c r="J109" s="133"/>
    </row>
    <row r="110" spans="1:12">
      <c r="A110" s="86" t="s">
        <v>223</v>
      </c>
      <c r="B110" s="79" t="s">
        <v>224</v>
      </c>
      <c r="C110" s="80" t="s">
        <v>36</v>
      </c>
      <c r="D110" s="133"/>
      <c r="E110" s="133"/>
      <c r="F110" s="133"/>
      <c r="G110" s="133"/>
      <c r="H110" s="133"/>
      <c r="I110" s="133"/>
      <c r="J110" s="133"/>
    </row>
    <row r="111" spans="1:12" ht="28.5">
      <c r="A111" s="86" t="s">
        <v>225</v>
      </c>
      <c r="B111" s="81" t="s">
        <v>226</v>
      </c>
      <c r="C111" s="80" t="s">
        <v>36</v>
      </c>
      <c r="D111" s="133"/>
      <c r="E111" s="133"/>
      <c r="F111" s="133"/>
      <c r="G111" s="133"/>
      <c r="H111" s="133"/>
      <c r="I111" s="133"/>
      <c r="J111" s="133"/>
    </row>
    <row r="112" spans="1:12">
      <c r="A112" s="86" t="s">
        <v>227</v>
      </c>
      <c r="B112" s="79" t="s">
        <v>224</v>
      </c>
      <c r="C112" s="80" t="s">
        <v>36</v>
      </c>
      <c r="D112" s="133"/>
      <c r="E112" s="133"/>
      <c r="F112" s="133"/>
      <c r="G112" s="133"/>
      <c r="H112" s="133"/>
      <c r="I112" s="133"/>
      <c r="J112" s="133"/>
    </row>
    <row r="113" spans="1:10">
      <c r="A113" s="86" t="s">
        <v>228</v>
      </c>
      <c r="B113" s="79" t="s">
        <v>229</v>
      </c>
      <c r="C113" s="80" t="s">
        <v>36</v>
      </c>
      <c r="D113" s="133"/>
      <c r="E113" s="133"/>
      <c r="F113" s="133"/>
      <c r="G113" s="133"/>
      <c r="H113" s="133"/>
      <c r="I113" s="133"/>
      <c r="J113" s="133"/>
    </row>
    <row r="114" spans="1:10" ht="28.5">
      <c r="A114" s="86" t="s">
        <v>230</v>
      </c>
      <c r="B114" s="81" t="s">
        <v>220</v>
      </c>
      <c r="C114" s="80" t="s">
        <v>36</v>
      </c>
      <c r="D114" s="135"/>
      <c r="E114" s="135"/>
      <c r="F114" s="135"/>
      <c r="G114" s="135"/>
      <c r="H114" s="135"/>
      <c r="I114" s="135"/>
      <c r="J114" s="135"/>
    </row>
    <row r="115" spans="1:10" ht="28.5">
      <c r="A115" s="86" t="s">
        <v>231</v>
      </c>
      <c r="B115" s="81" t="s">
        <v>232</v>
      </c>
      <c r="C115" s="80" t="s">
        <v>36</v>
      </c>
      <c r="D115" s="133"/>
      <c r="E115" s="133"/>
      <c r="F115" s="133"/>
      <c r="G115" s="133"/>
      <c r="H115" s="133"/>
      <c r="I115" s="133"/>
      <c r="J115" s="133"/>
    </row>
    <row r="116" spans="1:10" ht="28.5">
      <c r="A116" s="86" t="s">
        <v>233</v>
      </c>
      <c r="B116" s="81" t="s">
        <v>234</v>
      </c>
      <c r="C116" s="80" t="s">
        <v>36</v>
      </c>
      <c r="D116" s="133"/>
      <c r="E116" s="133"/>
      <c r="F116" s="133"/>
      <c r="G116" s="133"/>
      <c r="H116" s="133"/>
      <c r="I116" s="133"/>
      <c r="J116" s="133"/>
    </row>
    <row r="117" spans="1:10" ht="28.5">
      <c r="A117" s="86" t="s">
        <v>235</v>
      </c>
      <c r="B117" s="81" t="s">
        <v>236</v>
      </c>
      <c r="C117" s="80" t="s">
        <v>36</v>
      </c>
      <c r="D117" s="133"/>
      <c r="E117" s="133"/>
      <c r="F117" s="133"/>
      <c r="G117" s="133"/>
      <c r="H117" s="133"/>
      <c r="I117" s="133"/>
      <c r="J117" s="133"/>
    </row>
    <row r="118" spans="1:10" ht="28.5">
      <c r="A118" s="86" t="s">
        <v>237</v>
      </c>
      <c r="B118" s="81" t="s">
        <v>238</v>
      </c>
      <c r="C118" s="80" t="s">
        <v>36</v>
      </c>
      <c r="D118" s="133"/>
      <c r="E118" s="133"/>
      <c r="F118" s="133"/>
      <c r="G118" s="133"/>
      <c r="H118" s="133"/>
      <c r="I118" s="133"/>
      <c r="J118" s="133"/>
    </row>
    <row r="119" spans="1:10" ht="28.5">
      <c r="A119" s="86" t="s">
        <v>239</v>
      </c>
      <c r="B119" s="81" t="s">
        <v>240</v>
      </c>
      <c r="C119" s="80" t="s">
        <v>36</v>
      </c>
      <c r="D119" s="133"/>
      <c r="E119" s="133"/>
      <c r="F119" s="133"/>
      <c r="G119" s="133"/>
      <c r="H119" s="133"/>
      <c r="I119" s="133"/>
      <c r="J119" s="133"/>
    </row>
    <row r="120" spans="1:10">
      <c r="A120" s="86" t="s">
        <v>241</v>
      </c>
      <c r="B120" s="79" t="s">
        <v>242</v>
      </c>
      <c r="C120" s="80" t="s">
        <v>36</v>
      </c>
      <c r="D120" s="133"/>
      <c r="E120" s="133"/>
      <c r="F120" s="133"/>
      <c r="G120" s="133"/>
      <c r="H120" s="133"/>
      <c r="I120" s="133"/>
      <c r="J120" s="133"/>
    </row>
    <row r="121" spans="1:10">
      <c r="A121" s="86" t="s">
        <v>243</v>
      </c>
      <c r="B121" s="79" t="s">
        <v>244</v>
      </c>
      <c r="C121" s="80" t="s">
        <v>36</v>
      </c>
      <c r="D121" s="133"/>
      <c r="E121" s="133"/>
      <c r="F121" s="133"/>
      <c r="G121" s="133"/>
      <c r="H121" s="133"/>
      <c r="I121" s="133"/>
      <c r="J121" s="133"/>
    </row>
    <row r="122" spans="1:10" ht="28.5">
      <c r="A122" s="86" t="s">
        <v>245</v>
      </c>
      <c r="B122" s="81" t="s">
        <v>220</v>
      </c>
      <c r="C122" s="80" t="s">
        <v>36</v>
      </c>
      <c r="D122" s="135"/>
      <c r="E122" s="135"/>
      <c r="F122" s="135"/>
      <c r="G122" s="135"/>
      <c r="H122" s="135"/>
      <c r="I122" s="135"/>
      <c r="J122" s="135"/>
    </row>
    <row r="123" spans="1:10" ht="15">
      <c r="A123" s="73" t="s">
        <v>246</v>
      </c>
      <c r="B123" s="82" t="s">
        <v>247</v>
      </c>
      <c r="C123" s="74"/>
      <c r="D123" s="133"/>
      <c r="E123" s="133"/>
      <c r="F123" s="133"/>
      <c r="G123" s="133"/>
      <c r="H123" s="133"/>
      <c r="I123" s="133"/>
      <c r="J123" s="133"/>
    </row>
    <row r="124" spans="1:10" ht="57">
      <c r="A124" s="86" t="s">
        <v>248</v>
      </c>
      <c r="B124" s="79" t="s">
        <v>249</v>
      </c>
      <c r="C124" s="80" t="s">
        <v>36</v>
      </c>
      <c r="D124" s="133"/>
      <c r="E124" s="133"/>
      <c r="F124" s="133"/>
      <c r="G124" s="133"/>
      <c r="H124" s="133"/>
      <c r="I124" s="133"/>
      <c r="J124" s="133"/>
    </row>
    <row r="125" spans="1:10" ht="28.5">
      <c r="A125" s="86" t="s">
        <v>250</v>
      </c>
      <c r="B125" s="79" t="s">
        <v>251</v>
      </c>
      <c r="C125" s="80" t="s">
        <v>36</v>
      </c>
      <c r="D125" s="133"/>
      <c r="E125" s="133"/>
      <c r="F125" s="133"/>
      <c r="G125" s="133"/>
      <c r="H125" s="133"/>
      <c r="I125" s="133"/>
      <c r="J125" s="133"/>
    </row>
    <row r="126" spans="1:10" ht="28.5">
      <c r="A126" s="86" t="s">
        <v>252</v>
      </c>
      <c r="B126" s="81" t="s">
        <v>253</v>
      </c>
      <c r="C126" s="80" t="s">
        <v>36</v>
      </c>
      <c r="D126" s="133"/>
      <c r="E126" s="133"/>
      <c r="F126" s="133"/>
      <c r="G126" s="133"/>
      <c r="H126" s="133"/>
      <c r="I126" s="133"/>
      <c r="J126" s="133"/>
    </row>
    <row r="127" spans="1:10">
      <c r="A127" s="86" t="s">
        <v>254</v>
      </c>
      <c r="B127" s="79" t="s">
        <v>255</v>
      </c>
      <c r="C127" s="80" t="s">
        <v>36</v>
      </c>
      <c r="D127" s="133"/>
      <c r="E127" s="133"/>
      <c r="F127" s="133"/>
      <c r="G127" s="133"/>
      <c r="H127" s="133"/>
      <c r="I127" s="133"/>
      <c r="J127" s="133"/>
    </row>
    <row r="128" spans="1:10" ht="15">
      <c r="A128" s="73" t="s">
        <v>256</v>
      </c>
      <c r="B128" s="82" t="s">
        <v>257</v>
      </c>
      <c r="C128" s="74"/>
      <c r="D128" s="133"/>
      <c r="E128" s="133"/>
      <c r="F128" s="133"/>
      <c r="G128" s="133"/>
      <c r="H128" s="133"/>
      <c r="I128" s="133"/>
      <c r="J128" s="133"/>
    </row>
    <row r="129" spans="1:12" ht="57">
      <c r="A129" s="86" t="s">
        <v>258</v>
      </c>
      <c r="B129" s="79" t="s">
        <v>249</v>
      </c>
      <c r="C129" s="80" t="s">
        <v>36</v>
      </c>
      <c r="D129" s="133"/>
      <c r="E129" s="133"/>
      <c r="F129" s="133"/>
      <c r="G129" s="133"/>
      <c r="H129" s="133"/>
      <c r="I129" s="133"/>
      <c r="J129" s="133"/>
    </row>
    <row r="130" spans="1:12" ht="28.5">
      <c r="A130" s="86" t="s">
        <v>259</v>
      </c>
      <c r="B130" s="79" t="s">
        <v>260</v>
      </c>
      <c r="C130" s="80" t="s">
        <v>36</v>
      </c>
      <c r="D130" s="133"/>
      <c r="E130" s="133"/>
      <c r="F130" s="133"/>
      <c r="G130" s="133"/>
      <c r="H130" s="133"/>
      <c r="I130" s="133"/>
      <c r="J130" s="133"/>
    </row>
    <row r="131" spans="1:12">
      <c r="A131" s="86" t="s">
        <v>261</v>
      </c>
      <c r="B131" s="79" t="s">
        <v>255</v>
      </c>
      <c r="C131" s="80" t="s">
        <v>36</v>
      </c>
      <c r="D131" s="133"/>
      <c r="E131" s="133"/>
      <c r="F131" s="133"/>
      <c r="G131" s="133"/>
      <c r="H131" s="133"/>
      <c r="I131" s="133"/>
      <c r="J131" s="133"/>
    </row>
    <row r="132" spans="1:12" ht="28.5">
      <c r="A132" s="86" t="s">
        <v>262</v>
      </c>
      <c r="B132" s="81" t="s">
        <v>253</v>
      </c>
      <c r="C132" s="80" t="s">
        <v>36</v>
      </c>
      <c r="D132" s="133"/>
      <c r="E132" s="133"/>
      <c r="F132" s="133"/>
      <c r="G132" s="133"/>
      <c r="H132" s="133"/>
      <c r="I132" s="133"/>
      <c r="J132" s="133"/>
    </row>
    <row r="133" spans="1:12" ht="28.5">
      <c r="A133" s="86" t="s">
        <v>263</v>
      </c>
      <c r="B133" s="81" t="s">
        <v>264</v>
      </c>
      <c r="C133" s="80" t="s">
        <v>36</v>
      </c>
      <c r="D133" s="135"/>
      <c r="E133" s="135"/>
      <c r="F133" s="135"/>
      <c r="G133" s="135"/>
      <c r="H133" s="135"/>
      <c r="I133" s="135"/>
      <c r="J133" s="135"/>
      <c r="L133" s="5">
        <f>11+7+3+3</f>
        <v>24</v>
      </c>
    </row>
    <row r="134" spans="1:12" ht="28.5">
      <c r="A134" s="86" t="s">
        <v>265</v>
      </c>
      <c r="B134" s="81" t="s">
        <v>266</v>
      </c>
      <c r="C134" s="80" t="s">
        <v>36</v>
      </c>
      <c r="D134" s="133"/>
      <c r="E134" s="133"/>
      <c r="F134" s="133"/>
      <c r="G134" s="133"/>
      <c r="H134" s="133"/>
      <c r="I134" s="133"/>
      <c r="J134" s="133"/>
    </row>
    <row r="135" spans="1:12" ht="28.5">
      <c r="A135" s="86" t="s">
        <v>267</v>
      </c>
      <c r="B135" s="81" t="s">
        <v>268</v>
      </c>
      <c r="C135" s="80" t="s">
        <v>36</v>
      </c>
      <c r="D135" s="133"/>
      <c r="E135" s="133"/>
      <c r="F135" s="133"/>
      <c r="G135" s="133"/>
      <c r="H135" s="133"/>
      <c r="I135" s="133"/>
      <c r="J135" s="133"/>
    </row>
    <row r="136" spans="1:12" ht="15">
      <c r="A136" s="73" t="s">
        <v>269</v>
      </c>
      <c r="B136" s="82" t="s">
        <v>270</v>
      </c>
      <c r="C136" s="74"/>
      <c r="D136" s="133"/>
      <c r="E136" s="133"/>
      <c r="F136" s="133"/>
      <c r="G136" s="133"/>
      <c r="H136" s="133"/>
      <c r="I136" s="133"/>
      <c r="J136" s="133"/>
    </row>
    <row r="137" spans="1:12">
      <c r="A137" s="86" t="s">
        <v>271</v>
      </c>
      <c r="B137" s="79" t="s">
        <v>272</v>
      </c>
      <c r="C137" s="80" t="s">
        <v>36</v>
      </c>
      <c r="D137" s="133"/>
      <c r="E137" s="133"/>
      <c r="F137" s="133"/>
      <c r="G137" s="133"/>
      <c r="H137" s="133"/>
      <c r="I137" s="133"/>
      <c r="J137" s="133"/>
    </row>
    <row r="138" spans="1:12" ht="28.5">
      <c r="A138" s="86" t="s">
        <v>273</v>
      </c>
      <c r="B138" s="79" t="s">
        <v>274</v>
      </c>
      <c r="C138" s="80" t="s">
        <v>36</v>
      </c>
      <c r="D138" s="133"/>
      <c r="E138" s="133"/>
      <c r="F138" s="133"/>
      <c r="G138" s="133"/>
      <c r="H138" s="133"/>
      <c r="I138" s="133"/>
      <c r="J138" s="133"/>
    </row>
    <row r="139" spans="1:12" ht="28.5">
      <c r="A139" s="86" t="s">
        <v>275</v>
      </c>
      <c r="B139" s="81" t="s">
        <v>276</v>
      </c>
      <c r="C139" s="80" t="s">
        <v>36</v>
      </c>
      <c r="D139" s="133"/>
      <c r="E139" s="133"/>
      <c r="F139" s="133"/>
      <c r="G139" s="133"/>
      <c r="H139" s="133"/>
      <c r="I139" s="133"/>
      <c r="J139" s="133"/>
    </row>
    <row r="140" spans="1:12" ht="28.5">
      <c r="A140" s="86" t="s">
        <v>277</v>
      </c>
      <c r="B140" s="81" t="s">
        <v>278</v>
      </c>
      <c r="C140" s="80" t="s">
        <v>279</v>
      </c>
      <c r="D140" s="133"/>
      <c r="E140" s="133"/>
      <c r="F140" s="133"/>
      <c r="G140" s="133"/>
      <c r="H140" s="133"/>
      <c r="I140" s="133"/>
      <c r="J140" s="133"/>
    </row>
    <row r="141" spans="1:12">
      <c r="A141" s="86" t="s">
        <v>280</v>
      </c>
      <c r="B141" s="79" t="s">
        <v>281</v>
      </c>
      <c r="C141" s="80" t="s">
        <v>36</v>
      </c>
      <c r="D141" s="133"/>
      <c r="E141" s="133"/>
      <c r="F141" s="133"/>
      <c r="G141" s="133"/>
      <c r="H141" s="133"/>
      <c r="I141" s="133"/>
      <c r="J141" s="133"/>
    </row>
    <row r="142" spans="1:12">
      <c r="A142" s="86" t="s">
        <v>282</v>
      </c>
      <c r="B142" s="79" t="s">
        <v>283</v>
      </c>
      <c r="C142" s="80" t="s">
        <v>36</v>
      </c>
      <c r="D142" s="133"/>
      <c r="E142" s="133"/>
      <c r="F142" s="133"/>
      <c r="G142" s="133"/>
      <c r="H142" s="133"/>
      <c r="I142" s="133"/>
      <c r="J142" s="133"/>
    </row>
    <row r="143" spans="1:12">
      <c r="A143" s="86" t="s">
        <v>284</v>
      </c>
      <c r="B143" s="79" t="s">
        <v>285</v>
      </c>
      <c r="C143" s="80" t="s">
        <v>36</v>
      </c>
      <c r="D143" s="133"/>
      <c r="E143" s="133"/>
      <c r="F143" s="133"/>
      <c r="G143" s="133"/>
      <c r="H143" s="133"/>
      <c r="I143" s="133"/>
      <c r="J143" s="133"/>
    </row>
    <row r="144" spans="1:12">
      <c r="A144" s="86" t="s">
        <v>286</v>
      </c>
      <c r="B144" s="79" t="s">
        <v>287</v>
      </c>
      <c r="C144" s="80" t="s">
        <v>36</v>
      </c>
      <c r="D144" s="133"/>
      <c r="E144" s="133"/>
      <c r="F144" s="133"/>
      <c r="G144" s="133"/>
      <c r="H144" s="133"/>
      <c r="I144" s="133"/>
      <c r="J144" s="133"/>
    </row>
    <row r="145" spans="1:10" ht="28.5">
      <c r="A145" s="86" t="s">
        <v>288</v>
      </c>
      <c r="B145" s="79" t="s">
        <v>289</v>
      </c>
      <c r="C145" s="80" t="s">
        <v>279</v>
      </c>
      <c r="D145" s="133"/>
      <c r="E145" s="133"/>
      <c r="F145" s="133"/>
      <c r="G145" s="133"/>
      <c r="H145" s="133"/>
      <c r="I145" s="133"/>
      <c r="J145" s="133"/>
    </row>
    <row r="146" spans="1:10" ht="42.75">
      <c r="A146" s="86" t="s">
        <v>290</v>
      </c>
      <c r="B146" s="81" t="s">
        <v>291</v>
      </c>
      <c r="C146" s="80" t="s">
        <v>36</v>
      </c>
      <c r="D146" s="133"/>
      <c r="E146" s="133"/>
      <c r="F146" s="133"/>
      <c r="G146" s="133"/>
      <c r="H146" s="133"/>
      <c r="I146" s="133"/>
      <c r="J146" s="133"/>
    </row>
    <row r="147" spans="1:10" ht="28.5">
      <c r="A147" s="86" t="s">
        <v>292</v>
      </c>
      <c r="B147" s="79" t="s">
        <v>293</v>
      </c>
      <c r="C147" s="80" t="s">
        <v>36</v>
      </c>
      <c r="D147" s="133"/>
      <c r="E147" s="133"/>
      <c r="F147" s="133"/>
      <c r="G147" s="133"/>
      <c r="H147" s="133"/>
      <c r="I147" s="133"/>
      <c r="J147" s="133"/>
    </row>
    <row r="148" spans="1:10" ht="15">
      <c r="A148" s="91">
        <v>10</v>
      </c>
      <c r="B148" s="92" t="s">
        <v>294</v>
      </c>
      <c r="C148" s="93"/>
      <c r="D148" s="133"/>
      <c r="E148" s="133"/>
      <c r="F148" s="133"/>
      <c r="G148" s="133"/>
      <c r="H148" s="133"/>
      <c r="I148" s="133"/>
      <c r="J148" s="133"/>
    </row>
    <row r="149" spans="1:10" ht="15">
      <c r="A149" s="73" t="s">
        <v>295</v>
      </c>
      <c r="B149" s="82" t="s">
        <v>296</v>
      </c>
      <c r="C149" s="74"/>
      <c r="D149" s="133"/>
      <c r="E149" s="133"/>
      <c r="F149" s="133"/>
      <c r="G149" s="133"/>
      <c r="H149" s="133"/>
      <c r="I149" s="133"/>
      <c r="J149" s="133"/>
    </row>
    <row r="150" spans="1:10" ht="28.5">
      <c r="A150" s="86" t="s">
        <v>297</v>
      </c>
      <c r="B150" s="84" t="s">
        <v>298</v>
      </c>
      <c r="C150" s="80" t="s">
        <v>36</v>
      </c>
      <c r="D150" s="133"/>
      <c r="E150" s="133"/>
      <c r="F150" s="133"/>
      <c r="G150" s="133"/>
      <c r="H150" s="133"/>
      <c r="I150" s="133"/>
      <c r="J150" s="133"/>
    </row>
    <row r="151" spans="1:10" ht="28.5">
      <c r="A151" s="86" t="s">
        <v>299</v>
      </c>
      <c r="B151" s="83" t="s">
        <v>300</v>
      </c>
      <c r="C151" s="80" t="s">
        <v>36</v>
      </c>
      <c r="D151" s="133"/>
      <c r="E151" s="133"/>
      <c r="F151" s="133"/>
      <c r="G151" s="133"/>
      <c r="H151" s="133"/>
      <c r="I151" s="133"/>
      <c r="J151" s="133"/>
    </row>
    <row r="152" spans="1:10" ht="71.25">
      <c r="A152" s="86" t="s">
        <v>301</v>
      </c>
      <c r="B152" s="83" t="s">
        <v>302</v>
      </c>
      <c r="C152" s="80" t="s">
        <v>36</v>
      </c>
      <c r="D152" s="133"/>
      <c r="E152" s="133"/>
      <c r="F152" s="133"/>
      <c r="G152" s="133"/>
      <c r="H152" s="133"/>
      <c r="I152" s="133"/>
      <c r="J152" s="133"/>
    </row>
    <row r="153" spans="1:10" ht="28.5">
      <c r="A153" s="86" t="s">
        <v>303</v>
      </c>
      <c r="B153" s="83" t="s">
        <v>304</v>
      </c>
      <c r="C153" s="80" t="s">
        <v>36</v>
      </c>
      <c r="D153" s="133"/>
      <c r="E153" s="133"/>
      <c r="F153" s="133"/>
      <c r="G153" s="133"/>
      <c r="H153" s="133"/>
      <c r="I153" s="133"/>
      <c r="J153" s="133"/>
    </row>
    <row r="154" spans="1:10" ht="42.75">
      <c r="A154" s="86" t="s">
        <v>305</v>
      </c>
      <c r="B154" s="83" t="s">
        <v>306</v>
      </c>
      <c r="C154" s="80" t="s">
        <v>36</v>
      </c>
      <c r="D154" s="133"/>
      <c r="E154" s="133"/>
      <c r="F154" s="133"/>
      <c r="G154" s="133"/>
      <c r="H154" s="133"/>
      <c r="I154" s="133"/>
      <c r="J154" s="133"/>
    </row>
    <row r="155" spans="1:10">
      <c r="A155" s="86" t="s">
        <v>307</v>
      </c>
      <c r="B155" s="83" t="s">
        <v>308</v>
      </c>
      <c r="C155" s="80" t="s">
        <v>36</v>
      </c>
      <c r="D155" s="133"/>
      <c r="E155" s="133"/>
      <c r="F155" s="133"/>
      <c r="G155" s="133"/>
      <c r="H155" s="133"/>
      <c r="I155" s="133"/>
      <c r="J155" s="133"/>
    </row>
    <row r="156" spans="1:10">
      <c r="A156" s="86" t="s">
        <v>309</v>
      </c>
      <c r="B156" s="83" t="s">
        <v>310</v>
      </c>
      <c r="C156" s="80" t="s">
        <v>36</v>
      </c>
      <c r="D156" s="133"/>
      <c r="E156" s="133"/>
      <c r="F156" s="133"/>
      <c r="G156" s="133"/>
      <c r="H156" s="133"/>
      <c r="I156" s="133"/>
      <c r="J156" s="133"/>
    </row>
    <row r="157" spans="1:10">
      <c r="A157" s="86" t="s">
        <v>311</v>
      </c>
      <c r="B157" s="83" t="s">
        <v>312</v>
      </c>
      <c r="C157" s="80" t="s">
        <v>36</v>
      </c>
      <c r="D157" s="133"/>
      <c r="E157" s="133"/>
      <c r="F157" s="133"/>
      <c r="G157" s="133"/>
      <c r="H157" s="133"/>
      <c r="I157" s="133"/>
      <c r="J157" s="133"/>
    </row>
    <row r="158" spans="1:10" ht="42.75">
      <c r="A158" s="86" t="s">
        <v>313</v>
      </c>
      <c r="B158" s="83" t="s">
        <v>314</v>
      </c>
      <c r="C158" s="80" t="s">
        <v>36</v>
      </c>
      <c r="D158" s="133"/>
      <c r="E158" s="133"/>
      <c r="F158" s="133"/>
      <c r="G158" s="133"/>
      <c r="H158" s="133"/>
      <c r="I158" s="133"/>
      <c r="J158" s="133"/>
    </row>
    <row r="159" spans="1:10" ht="28.5">
      <c r="A159" s="86" t="s">
        <v>315</v>
      </c>
      <c r="B159" s="83" t="s">
        <v>316</v>
      </c>
      <c r="C159" s="80" t="s">
        <v>36</v>
      </c>
      <c r="D159" s="133"/>
      <c r="E159" s="133"/>
      <c r="F159" s="133"/>
      <c r="G159" s="133"/>
      <c r="H159" s="133"/>
      <c r="I159" s="133"/>
      <c r="J159" s="133"/>
    </row>
    <row r="160" spans="1:10" ht="28.5">
      <c r="A160" s="86" t="s">
        <v>317</v>
      </c>
      <c r="B160" s="84" t="s">
        <v>318</v>
      </c>
      <c r="C160" s="80" t="s">
        <v>60</v>
      </c>
      <c r="D160" s="133"/>
      <c r="E160" s="133"/>
      <c r="F160" s="133"/>
      <c r="G160" s="133"/>
      <c r="H160" s="133"/>
      <c r="I160" s="133"/>
      <c r="J160" s="133"/>
    </row>
    <row r="161" spans="1:10">
      <c r="A161" s="86" t="s">
        <v>319</v>
      </c>
      <c r="B161" s="83" t="s">
        <v>320</v>
      </c>
      <c r="C161" s="80" t="s">
        <v>60</v>
      </c>
      <c r="D161" s="133"/>
      <c r="E161" s="133"/>
      <c r="F161" s="133"/>
      <c r="G161" s="133"/>
      <c r="H161" s="133"/>
      <c r="I161" s="133"/>
      <c r="J161" s="133"/>
    </row>
    <row r="162" spans="1:10">
      <c r="A162" s="86" t="s">
        <v>321</v>
      </c>
      <c r="B162" s="83" t="s">
        <v>322</v>
      </c>
      <c r="C162" s="80" t="s">
        <v>60</v>
      </c>
      <c r="D162" s="133"/>
      <c r="E162" s="133"/>
      <c r="F162" s="133"/>
      <c r="G162" s="133"/>
      <c r="H162" s="133"/>
      <c r="I162" s="133"/>
      <c r="J162" s="133"/>
    </row>
    <row r="163" spans="1:10" ht="28.5">
      <c r="A163" s="86" t="s">
        <v>323</v>
      </c>
      <c r="B163" s="83" t="s">
        <v>324</v>
      </c>
      <c r="C163" s="80" t="s">
        <v>36</v>
      </c>
      <c r="D163" s="133"/>
      <c r="E163" s="133"/>
      <c r="F163" s="133"/>
      <c r="G163" s="133"/>
      <c r="H163" s="133"/>
      <c r="I163" s="133"/>
      <c r="J163" s="133"/>
    </row>
    <row r="164" spans="1:10" ht="28.5">
      <c r="A164" s="86" t="s">
        <v>325</v>
      </c>
      <c r="B164" s="84" t="s">
        <v>464</v>
      </c>
      <c r="C164" s="80" t="s">
        <v>36</v>
      </c>
      <c r="D164" s="133"/>
      <c r="E164" s="133"/>
      <c r="F164" s="133"/>
      <c r="G164" s="133"/>
      <c r="H164" s="133"/>
      <c r="I164" s="133"/>
      <c r="J164" s="133"/>
    </row>
    <row r="165" spans="1:10">
      <c r="A165" s="86" t="s">
        <v>327</v>
      </c>
      <c r="B165" s="83" t="s">
        <v>328</v>
      </c>
      <c r="C165" s="80" t="s">
        <v>36</v>
      </c>
      <c r="D165" s="133"/>
      <c r="E165" s="133"/>
      <c r="F165" s="133"/>
      <c r="G165" s="133"/>
      <c r="H165" s="133"/>
      <c r="I165" s="133"/>
      <c r="J165" s="133"/>
    </row>
    <row r="166" spans="1:10" ht="28.5">
      <c r="A166" s="86" t="s">
        <v>329</v>
      </c>
      <c r="B166" s="83" t="s">
        <v>330</v>
      </c>
      <c r="C166" s="80" t="s">
        <v>36</v>
      </c>
      <c r="D166" s="133"/>
      <c r="E166" s="133"/>
      <c r="F166" s="133"/>
      <c r="G166" s="133"/>
      <c r="H166" s="133"/>
      <c r="I166" s="133"/>
      <c r="J166" s="133"/>
    </row>
    <row r="167" spans="1:10" ht="28.5">
      <c r="A167" s="86" t="s">
        <v>331</v>
      </c>
      <c r="B167" s="83" t="s">
        <v>332</v>
      </c>
      <c r="C167" s="80" t="s">
        <v>36</v>
      </c>
      <c r="D167" s="133"/>
      <c r="E167" s="133"/>
      <c r="F167" s="133"/>
      <c r="G167" s="133"/>
      <c r="H167" s="133"/>
      <c r="I167" s="133"/>
      <c r="J167" s="133"/>
    </row>
    <row r="168" spans="1:10" ht="28.5">
      <c r="A168" s="86" t="s">
        <v>333</v>
      </c>
      <c r="B168" s="84" t="s">
        <v>334</v>
      </c>
      <c r="C168" s="80" t="s">
        <v>36</v>
      </c>
      <c r="D168" s="133"/>
      <c r="E168" s="133"/>
      <c r="F168" s="133"/>
      <c r="G168" s="133"/>
      <c r="H168" s="133"/>
      <c r="I168" s="133"/>
      <c r="J168" s="133"/>
    </row>
    <row r="169" spans="1:10" ht="42.75">
      <c r="A169" s="86" t="s">
        <v>335</v>
      </c>
      <c r="B169" s="83" t="s">
        <v>336</v>
      </c>
      <c r="C169" s="80" t="s">
        <v>36</v>
      </c>
      <c r="D169" s="133"/>
      <c r="E169" s="133"/>
      <c r="F169" s="133"/>
      <c r="G169" s="133"/>
      <c r="H169" s="133"/>
      <c r="I169" s="133"/>
      <c r="J169" s="133"/>
    </row>
    <row r="170" spans="1:10" ht="15">
      <c r="A170" s="73" t="s">
        <v>337</v>
      </c>
      <c r="B170" s="82" t="s">
        <v>338</v>
      </c>
      <c r="C170" s="74"/>
      <c r="D170" s="133"/>
      <c r="E170" s="133"/>
      <c r="F170" s="133"/>
      <c r="G170" s="133"/>
      <c r="H170" s="133"/>
      <c r="I170" s="133"/>
      <c r="J170" s="133"/>
    </row>
    <row r="171" spans="1:10" ht="28.5">
      <c r="A171" s="86" t="s">
        <v>339</v>
      </c>
      <c r="B171" s="84" t="s">
        <v>340</v>
      </c>
      <c r="C171" s="80" t="s">
        <v>36</v>
      </c>
      <c r="D171" s="133"/>
      <c r="E171" s="133"/>
      <c r="F171" s="133"/>
      <c r="G171" s="133"/>
      <c r="H171" s="133"/>
      <c r="I171" s="133"/>
      <c r="J171" s="133"/>
    </row>
    <row r="172" spans="1:10" ht="28.5">
      <c r="A172" s="86" t="s">
        <v>341</v>
      </c>
      <c r="B172" s="84" t="s">
        <v>342</v>
      </c>
      <c r="C172" s="80" t="s">
        <v>36</v>
      </c>
      <c r="D172" s="133"/>
      <c r="E172" s="133"/>
      <c r="F172" s="133"/>
      <c r="G172" s="133"/>
      <c r="H172" s="133"/>
      <c r="I172" s="133"/>
      <c r="J172" s="133"/>
    </row>
    <row r="173" spans="1:10" ht="28.5">
      <c r="A173" s="86" t="s">
        <v>343</v>
      </c>
      <c r="B173" s="84" t="s">
        <v>344</v>
      </c>
      <c r="C173" s="80" t="s">
        <v>36</v>
      </c>
      <c r="D173" s="133"/>
      <c r="E173" s="133"/>
      <c r="F173" s="133"/>
      <c r="G173" s="133"/>
      <c r="H173" s="133"/>
      <c r="I173" s="133"/>
      <c r="J173" s="133"/>
    </row>
    <row r="174" spans="1:10">
      <c r="A174" s="86" t="s">
        <v>345</v>
      </c>
      <c r="B174" s="83" t="s">
        <v>346</v>
      </c>
      <c r="C174" s="80" t="s">
        <v>36</v>
      </c>
      <c r="D174" s="133"/>
      <c r="E174" s="133"/>
      <c r="F174" s="133"/>
      <c r="G174" s="133"/>
      <c r="H174" s="133"/>
      <c r="I174" s="133"/>
      <c r="J174" s="133"/>
    </row>
    <row r="175" spans="1:10">
      <c r="A175" s="86" t="s">
        <v>347</v>
      </c>
      <c r="B175" s="83" t="s">
        <v>348</v>
      </c>
      <c r="C175" s="80" t="s">
        <v>36</v>
      </c>
      <c r="D175" s="133"/>
      <c r="E175" s="133"/>
      <c r="F175" s="133"/>
      <c r="G175" s="133"/>
      <c r="H175" s="133"/>
      <c r="I175" s="133"/>
      <c r="J175" s="133"/>
    </row>
    <row r="176" spans="1:10">
      <c r="A176" s="86" t="s">
        <v>349</v>
      </c>
      <c r="B176" s="83" t="s">
        <v>350</v>
      </c>
      <c r="C176" s="80" t="s">
        <v>351</v>
      </c>
      <c r="D176" s="133"/>
      <c r="E176" s="133"/>
      <c r="F176" s="133"/>
      <c r="G176" s="133"/>
      <c r="H176" s="133"/>
      <c r="I176" s="133"/>
      <c r="J176" s="133"/>
    </row>
    <row r="177" spans="1:10" ht="28.5">
      <c r="A177" s="86" t="s">
        <v>352</v>
      </c>
      <c r="B177" s="83" t="s">
        <v>353</v>
      </c>
      <c r="C177" s="80" t="s">
        <v>36</v>
      </c>
      <c r="D177" s="133"/>
      <c r="E177" s="133"/>
      <c r="F177" s="133"/>
      <c r="G177" s="133"/>
      <c r="H177" s="133"/>
      <c r="I177" s="133"/>
      <c r="J177" s="133"/>
    </row>
    <row r="178" spans="1:10" ht="28.5">
      <c r="A178" s="86" t="s">
        <v>354</v>
      </c>
      <c r="B178" s="84" t="s">
        <v>465</v>
      </c>
      <c r="C178" s="80" t="s">
        <v>351</v>
      </c>
      <c r="D178" s="133"/>
      <c r="E178" s="133"/>
      <c r="F178" s="133"/>
      <c r="G178" s="133"/>
      <c r="H178" s="133"/>
      <c r="I178" s="133"/>
      <c r="J178" s="133"/>
    </row>
    <row r="179" spans="1:10">
      <c r="A179" s="86" t="s">
        <v>356</v>
      </c>
      <c r="B179" s="83" t="s">
        <v>357</v>
      </c>
      <c r="C179" s="80" t="s">
        <v>36</v>
      </c>
      <c r="D179" s="133"/>
      <c r="E179" s="133"/>
      <c r="F179" s="133"/>
      <c r="G179" s="133"/>
      <c r="H179" s="133"/>
      <c r="I179" s="133"/>
      <c r="J179" s="133"/>
    </row>
    <row r="180" spans="1:10" ht="28.5">
      <c r="A180" s="86" t="s">
        <v>358</v>
      </c>
      <c r="B180" s="84" t="s">
        <v>466</v>
      </c>
      <c r="C180" s="80" t="s">
        <v>36</v>
      </c>
      <c r="D180" s="133"/>
      <c r="E180" s="133"/>
      <c r="F180" s="133"/>
      <c r="G180" s="133"/>
      <c r="H180" s="133"/>
      <c r="I180" s="133"/>
      <c r="J180" s="133"/>
    </row>
    <row r="181" spans="1:10" ht="28.5">
      <c r="A181" s="86" t="s">
        <v>360</v>
      </c>
      <c r="B181" s="84" t="s">
        <v>467</v>
      </c>
      <c r="C181" s="80" t="s">
        <v>36</v>
      </c>
      <c r="D181" s="133"/>
      <c r="E181" s="133"/>
      <c r="F181" s="133"/>
      <c r="G181" s="133"/>
      <c r="H181" s="133"/>
      <c r="I181" s="133"/>
      <c r="J181" s="133"/>
    </row>
    <row r="182" spans="1:10" ht="28.5">
      <c r="A182" s="86" t="s">
        <v>362</v>
      </c>
      <c r="B182" s="83" t="s">
        <v>363</v>
      </c>
      <c r="C182" s="80" t="s">
        <v>36</v>
      </c>
      <c r="D182" s="133"/>
      <c r="E182" s="133"/>
      <c r="F182" s="133"/>
      <c r="G182" s="133"/>
      <c r="H182" s="133"/>
      <c r="I182" s="133"/>
      <c r="J182" s="133"/>
    </row>
    <row r="183" spans="1:10" ht="28.5">
      <c r="A183" s="86" t="s">
        <v>364</v>
      </c>
      <c r="B183" s="83" t="s">
        <v>365</v>
      </c>
      <c r="C183" s="80" t="s">
        <v>36</v>
      </c>
      <c r="D183" s="133"/>
      <c r="E183" s="133"/>
      <c r="F183" s="133"/>
      <c r="G183" s="133"/>
      <c r="H183" s="133"/>
      <c r="I183" s="133"/>
      <c r="J183" s="133"/>
    </row>
    <row r="184" spans="1:10">
      <c r="A184" s="86" t="s">
        <v>366</v>
      </c>
      <c r="B184" s="83" t="s">
        <v>367</v>
      </c>
      <c r="C184" s="80" t="s">
        <v>36</v>
      </c>
      <c r="D184" s="133"/>
      <c r="E184" s="133"/>
      <c r="F184" s="133"/>
      <c r="G184" s="133"/>
      <c r="H184" s="133"/>
      <c r="I184" s="133"/>
      <c r="J184" s="133"/>
    </row>
    <row r="185" spans="1:10" ht="15">
      <c r="A185" s="73" t="s">
        <v>368</v>
      </c>
      <c r="B185" s="82" t="s">
        <v>369</v>
      </c>
      <c r="C185" s="74"/>
      <c r="D185" s="133"/>
      <c r="E185" s="133"/>
      <c r="F185" s="133"/>
      <c r="G185" s="133"/>
      <c r="H185" s="133"/>
      <c r="I185" s="133"/>
      <c r="J185" s="133"/>
    </row>
    <row r="186" spans="1:10" ht="42.75">
      <c r="A186" s="86" t="s">
        <v>370</v>
      </c>
      <c r="B186" s="84" t="s">
        <v>468</v>
      </c>
      <c r="C186" s="80" t="s">
        <v>36</v>
      </c>
      <c r="D186" s="133"/>
      <c r="E186" s="133"/>
      <c r="F186" s="133"/>
      <c r="G186" s="133"/>
      <c r="H186" s="133"/>
      <c r="I186" s="133"/>
      <c r="J186" s="133"/>
    </row>
    <row r="187" spans="1:10" ht="28.5">
      <c r="A187" s="86" t="s">
        <v>372</v>
      </c>
      <c r="B187" s="84" t="s">
        <v>469</v>
      </c>
      <c r="C187" s="80" t="s">
        <v>36</v>
      </c>
      <c r="D187" s="133"/>
      <c r="E187" s="133"/>
      <c r="F187" s="133"/>
      <c r="G187" s="133"/>
      <c r="H187" s="133"/>
      <c r="I187" s="133"/>
      <c r="J187" s="133"/>
    </row>
    <row r="188" spans="1:10" ht="28.5">
      <c r="A188" s="86" t="s">
        <v>374</v>
      </c>
      <c r="B188" s="84" t="s">
        <v>470</v>
      </c>
      <c r="C188" s="80" t="s">
        <v>36</v>
      </c>
      <c r="D188" s="133"/>
      <c r="E188" s="133"/>
      <c r="F188" s="133"/>
      <c r="G188" s="133"/>
      <c r="H188" s="133"/>
      <c r="I188" s="133"/>
      <c r="J188" s="133"/>
    </row>
    <row r="189" spans="1:10">
      <c r="A189" s="86" t="s">
        <v>376</v>
      </c>
      <c r="B189" s="83" t="s">
        <v>377</v>
      </c>
      <c r="C189" s="80" t="s">
        <v>36</v>
      </c>
      <c r="D189" s="133"/>
      <c r="E189" s="133"/>
      <c r="F189" s="133"/>
      <c r="G189" s="133"/>
      <c r="H189" s="133"/>
      <c r="I189" s="133"/>
      <c r="J189" s="133"/>
    </row>
    <row r="190" spans="1:10" ht="28.5">
      <c r="A190" s="86" t="s">
        <v>378</v>
      </c>
      <c r="B190" s="84" t="s">
        <v>379</v>
      </c>
      <c r="C190" s="80" t="s">
        <v>36</v>
      </c>
      <c r="D190" s="133"/>
      <c r="E190" s="133"/>
      <c r="F190" s="133"/>
      <c r="G190" s="133"/>
      <c r="H190" s="133"/>
      <c r="I190" s="133"/>
      <c r="J190" s="133"/>
    </row>
    <row r="191" spans="1:10">
      <c r="A191" s="86" t="s">
        <v>380</v>
      </c>
      <c r="B191" s="83" t="s">
        <v>346</v>
      </c>
      <c r="C191" s="80" t="s">
        <v>36</v>
      </c>
      <c r="D191" s="133"/>
      <c r="E191" s="133"/>
      <c r="F191" s="133"/>
      <c r="G191" s="133"/>
      <c r="H191" s="133"/>
      <c r="I191" s="133"/>
      <c r="J191" s="133"/>
    </row>
    <row r="192" spans="1:10" ht="28.5">
      <c r="A192" s="86" t="s">
        <v>381</v>
      </c>
      <c r="B192" s="83" t="s">
        <v>365</v>
      </c>
      <c r="C192" s="80" t="s">
        <v>36</v>
      </c>
      <c r="D192" s="133"/>
      <c r="E192" s="133"/>
      <c r="F192" s="133"/>
      <c r="G192" s="133"/>
      <c r="H192" s="133"/>
      <c r="I192" s="133"/>
      <c r="J192" s="133"/>
    </row>
    <row r="193" spans="1:10" ht="28.5">
      <c r="A193" s="86" t="s">
        <v>382</v>
      </c>
      <c r="B193" s="84" t="s">
        <v>471</v>
      </c>
      <c r="C193" s="80" t="s">
        <v>36</v>
      </c>
      <c r="D193" s="133"/>
      <c r="E193" s="133"/>
      <c r="F193" s="133"/>
      <c r="G193" s="133"/>
      <c r="H193" s="133"/>
      <c r="I193" s="133"/>
      <c r="J193" s="133"/>
    </row>
    <row r="194" spans="1:10" ht="15">
      <c r="A194" s="73" t="s">
        <v>384</v>
      </c>
      <c r="B194" s="82" t="s">
        <v>385</v>
      </c>
      <c r="C194" s="74"/>
      <c r="D194" s="133"/>
      <c r="E194" s="133"/>
      <c r="F194" s="133"/>
      <c r="G194" s="133"/>
      <c r="H194" s="133"/>
      <c r="I194" s="133"/>
      <c r="J194" s="133"/>
    </row>
    <row r="195" spans="1:10" ht="28.5">
      <c r="A195" s="86" t="s">
        <v>386</v>
      </c>
      <c r="B195" s="83" t="s">
        <v>387</v>
      </c>
      <c r="C195" s="80" t="s">
        <v>36</v>
      </c>
      <c r="D195" s="133"/>
      <c r="E195" s="133"/>
      <c r="F195" s="133"/>
      <c r="G195" s="133"/>
      <c r="H195" s="133"/>
      <c r="I195" s="133"/>
      <c r="J195" s="133"/>
    </row>
    <row r="196" spans="1:10" ht="28.5">
      <c r="A196" s="86" t="s">
        <v>388</v>
      </c>
      <c r="B196" s="83" t="s">
        <v>389</v>
      </c>
      <c r="C196" s="80" t="s">
        <v>36</v>
      </c>
      <c r="D196" s="133"/>
      <c r="E196" s="133"/>
      <c r="F196" s="133"/>
      <c r="G196" s="133"/>
      <c r="H196" s="133"/>
      <c r="I196" s="133"/>
      <c r="J196" s="133"/>
    </row>
    <row r="197" spans="1:10" ht="28.5">
      <c r="A197" s="86" t="s">
        <v>390</v>
      </c>
      <c r="B197" s="83" t="s">
        <v>391</v>
      </c>
      <c r="C197" s="80" t="s">
        <v>36</v>
      </c>
      <c r="D197" s="133"/>
      <c r="E197" s="133"/>
      <c r="F197" s="133"/>
      <c r="G197" s="133"/>
      <c r="H197" s="133"/>
      <c r="I197" s="133"/>
      <c r="J197" s="133"/>
    </row>
    <row r="198" spans="1:10" ht="28.5">
      <c r="A198" s="86" t="s">
        <v>392</v>
      </c>
      <c r="B198" s="83" t="s">
        <v>393</v>
      </c>
      <c r="C198" s="80" t="s">
        <v>279</v>
      </c>
      <c r="D198" s="133"/>
      <c r="E198" s="133"/>
      <c r="F198" s="133"/>
      <c r="G198" s="133"/>
      <c r="H198" s="133"/>
      <c r="I198" s="133"/>
      <c r="J198" s="133"/>
    </row>
    <row r="199" spans="1:10" ht="15">
      <c r="A199" s="73" t="s">
        <v>394</v>
      </c>
      <c r="B199" s="82" t="s">
        <v>395</v>
      </c>
      <c r="C199" s="74"/>
      <c r="D199" s="133"/>
      <c r="E199" s="133"/>
      <c r="F199" s="133"/>
      <c r="G199" s="133"/>
      <c r="H199" s="133"/>
      <c r="I199" s="133"/>
      <c r="J199" s="133"/>
    </row>
    <row r="200" spans="1:10" ht="57">
      <c r="A200" s="86" t="s">
        <v>396</v>
      </c>
      <c r="B200" s="83" t="s">
        <v>397</v>
      </c>
      <c r="C200" s="80" t="s">
        <v>36</v>
      </c>
      <c r="D200" s="133"/>
      <c r="E200" s="133"/>
      <c r="F200" s="133"/>
      <c r="G200" s="133"/>
      <c r="H200" s="133"/>
      <c r="I200" s="133"/>
      <c r="J200" s="133"/>
    </row>
    <row r="201" spans="1:10" ht="28.5">
      <c r="A201" s="86" t="s">
        <v>398</v>
      </c>
      <c r="B201" s="84" t="s">
        <v>399</v>
      </c>
      <c r="C201" s="80" t="s">
        <v>60</v>
      </c>
      <c r="D201" s="133"/>
      <c r="E201" s="133"/>
      <c r="F201" s="133"/>
      <c r="G201" s="133"/>
      <c r="H201" s="133"/>
      <c r="I201" s="133"/>
      <c r="J201" s="133"/>
    </row>
    <row r="202" spans="1:10" ht="28.5">
      <c r="A202" s="86" t="s">
        <v>400</v>
      </c>
      <c r="B202" s="84" t="s">
        <v>472</v>
      </c>
      <c r="C202" s="80" t="s">
        <v>60</v>
      </c>
      <c r="D202" s="133"/>
      <c r="E202" s="133"/>
      <c r="F202" s="133"/>
      <c r="G202" s="133"/>
      <c r="H202" s="133"/>
      <c r="I202" s="133"/>
      <c r="J202" s="133"/>
    </row>
    <row r="203" spans="1:10" ht="42.75">
      <c r="A203" s="86" t="s">
        <v>402</v>
      </c>
      <c r="B203" s="83" t="s">
        <v>403</v>
      </c>
      <c r="C203" s="80" t="s">
        <v>36</v>
      </c>
      <c r="D203" s="133"/>
      <c r="E203" s="133"/>
      <c r="F203" s="133"/>
      <c r="G203" s="133"/>
      <c r="H203" s="133"/>
      <c r="I203" s="133"/>
      <c r="J203" s="133"/>
    </row>
    <row r="204" spans="1:10" ht="42.75">
      <c r="A204" s="86" t="s">
        <v>404</v>
      </c>
      <c r="B204" s="83" t="s">
        <v>405</v>
      </c>
      <c r="C204" s="80" t="s">
        <v>36</v>
      </c>
      <c r="D204" s="133"/>
      <c r="E204" s="133"/>
      <c r="F204" s="133"/>
      <c r="G204" s="133"/>
      <c r="H204" s="133"/>
      <c r="I204" s="133"/>
      <c r="J204" s="133"/>
    </row>
    <row r="205" spans="1:10" ht="15">
      <c r="A205" s="91">
        <v>11</v>
      </c>
      <c r="B205" s="92" t="s">
        <v>406</v>
      </c>
      <c r="C205" s="93"/>
      <c r="D205" s="133"/>
      <c r="E205" s="133"/>
      <c r="F205" s="133"/>
      <c r="G205" s="133"/>
      <c r="H205" s="133"/>
      <c r="I205" s="133"/>
      <c r="J205" s="133"/>
    </row>
    <row r="206" spans="1:10">
      <c r="A206" s="78" t="s">
        <v>407</v>
      </c>
      <c r="B206" s="83" t="s">
        <v>408</v>
      </c>
      <c r="C206" s="80" t="s">
        <v>60</v>
      </c>
      <c r="D206" s="133"/>
      <c r="E206" s="133"/>
      <c r="F206" s="133"/>
      <c r="G206" s="133"/>
      <c r="H206" s="133"/>
      <c r="I206" s="133"/>
      <c r="J206" s="133"/>
    </row>
    <row r="207" spans="1:10" ht="28.5">
      <c r="A207" s="78" t="s">
        <v>409</v>
      </c>
      <c r="B207" s="83" t="s">
        <v>410</v>
      </c>
      <c r="C207" s="80" t="s">
        <v>36</v>
      </c>
      <c r="D207" s="133"/>
      <c r="E207" s="133"/>
      <c r="F207" s="133"/>
      <c r="G207" s="133"/>
      <c r="H207" s="133"/>
      <c r="I207" s="133"/>
      <c r="J207" s="133"/>
    </row>
    <row r="208" spans="1:10">
      <c r="A208" s="78" t="s">
        <v>411</v>
      </c>
      <c r="B208" s="83" t="s">
        <v>412</v>
      </c>
      <c r="C208" s="80" t="s">
        <v>36</v>
      </c>
      <c r="D208" s="133"/>
      <c r="E208" s="133"/>
      <c r="F208" s="133"/>
      <c r="G208" s="133"/>
      <c r="H208" s="133"/>
      <c r="I208" s="133"/>
      <c r="J208" s="133"/>
    </row>
    <row r="209" spans="1:11" ht="15">
      <c r="A209" s="91">
        <v>12</v>
      </c>
      <c r="B209" s="92" t="s">
        <v>413</v>
      </c>
      <c r="C209" s="93"/>
      <c r="D209" s="133"/>
      <c r="E209" s="133"/>
      <c r="F209" s="133"/>
      <c r="G209" s="133"/>
      <c r="H209" s="133"/>
      <c r="I209" s="133"/>
      <c r="J209" s="133"/>
    </row>
    <row r="210" spans="1:11" ht="57">
      <c r="A210" s="78" t="s">
        <v>414</v>
      </c>
      <c r="B210" s="84" t="s">
        <v>415</v>
      </c>
      <c r="C210" s="80" t="s">
        <v>36</v>
      </c>
      <c r="D210" s="133"/>
      <c r="E210" s="133"/>
      <c r="F210" s="133"/>
      <c r="G210" s="133"/>
      <c r="H210" s="133"/>
      <c r="I210" s="133"/>
      <c r="J210" s="133"/>
    </row>
    <row r="211" spans="1:11" ht="42.75">
      <c r="A211" s="78" t="s">
        <v>416</v>
      </c>
      <c r="B211" s="84" t="s">
        <v>417</v>
      </c>
      <c r="C211" s="80" t="s">
        <v>36</v>
      </c>
      <c r="D211" s="133"/>
      <c r="E211" s="133"/>
      <c r="F211" s="133"/>
      <c r="G211" s="133"/>
      <c r="H211" s="133"/>
      <c r="I211" s="133"/>
      <c r="J211" s="133"/>
    </row>
    <row r="212" spans="1:11" ht="42.75">
      <c r="A212" s="78" t="s">
        <v>418</v>
      </c>
      <c r="B212" s="84" t="s">
        <v>419</v>
      </c>
      <c r="C212" s="80" t="s">
        <v>36</v>
      </c>
      <c r="D212" s="133"/>
      <c r="E212" s="133"/>
      <c r="F212" s="133"/>
      <c r="G212" s="133"/>
      <c r="H212" s="133"/>
      <c r="I212" s="133"/>
      <c r="J212" s="133"/>
    </row>
    <row r="213" spans="1:11" ht="57">
      <c r="A213" s="78" t="s">
        <v>420</v>
      </c>
      <c r="B213" s="83" t="s">
        <v>421</v>
      </c>
      <c r="C213" s="80" t="s">
        <v>36</v>
      </c>
      <c r="D213" s="133"/>
      <c r="E213" s="133"/>
      <c r="F213" s="133"/>
      <c r="G213" s="133"/>
      <c r="H213" s="133"/>
      <c r="I213" s="133"/>
      <c r="J213" s="133"/>
    </row>
    <row r="214" spans="1:11" ht="42.75">
      <c r="A214" s="78" t="s">
        <v>422</v>
      </c>
      <c r="B214" s="84" t="s">
        <v>473</v>
      </c>
      <c r="C214" s="80" t="s">
        <v>36</v>
      </c>
      <c r="D214" s="133"/>
      <c r="E214" s="133"/>
      <c r="F214" s="133"/>
      <c r="G214" s="133"/>
      <c r="H214" s="133"/>
      <c r="I214" s="133"/>
      <c r="J214" s="133"/>
    </row>
    <row r="215" spans="1:11" ht="42.75">
      <c r="A215" s="78" t="s">
        <v>424</v>
      </c>
      <c r="B215" s="84" t="s">
        <v>425</v>
      </c>
      <c r="C215" s="80" t="s">
        <v>36</v>
      </c>
      <c r="D215" s="133"/>
      <c r="E215" s="133"/>
      <c r="F215" s="133"/>
      <c r="G215" s="133"/>
      <c r="H215" s="133"/>
      <c r="I215" s="133"/>
      <c r="J215" s="133"/>
    </row>
    <row r="216" spans="1:11" ht="15">
      <c r="A216" s="91">
        <v>13</v>
      </c>
      <c r="B216" s="92" t="s">
        <v>426</v>
      </c>
      <c r="C216" s="93"/>
      <c r="D216" s="133"/>
      <c r="E216" s="133"/>
      <c r="F216" s="133"/>
      <c r="G216" s="133"/>
      <c r="H216" s="133"/>
      <c r="I216" s="133"/>
      <c r="J216" s="133"/>
    </row>
    <row r="217" spans="1:11">
      <c r="A217" s="78" t="s">
        <v>427</v>
      </c>
      <c r="B217" s="83" t="s">
        <v>428</v>
      </c>
      <c r="C217" s="80" t="s">
        <v>351</v>
      </c>
      <c r="D217" s="133"/>
      <c r="E217" s="133"/>
      <c r="F217" s="133"/>
      <c r="G217" s="133"/>
      <c r="H217" s="133"/>
      <c r="I217" s="133"/>
      <c r="J217" s="133"/>
    </row>
    <row r="218" spans="1:11">
      <c r="A218" s="78" t="s">
        <v>429</v>
      </c>
      <c r="B218" s="83" t="s">
        <v>430</v>
      </c>
      <c r="C218" s="80" t="s">
        <v>36</v>
      </c>
      <c r="D218" s="133"/>
      <c r="E218" s="133"/>
      <c r="F218" s="133"/>
      <c r="G218" s="133"/>
      <c r="H218" s="133"/>
      <c r="I218" s="133"/>
      <c r="J218" s="133"/>
    </row>
    <row r="219" spans="1:11">
      <c r="A219" s="78" t="s">
        <v>431</v>
      </c>
      <c r="B219" s="83" t="s">
        <v>432</v>
      </c>
      <c r="C219" s="80" t="s">
        <v>27</v>
      </c>
      <c r="D219" s="133"/>
      <c r="E219" s="133"/>
      <c r="F219" s="133"/>
      <c r="G219" s="133"/>
      <c r="H219" s="133"/>
      <c r="I219" s="133"/>
      <c r="J219" s="133"/>
    </row>
    <row r="220" spans="1:11" ht="28.5">
      <c r="A220" s="78" t="s">
        <v>433</v>
      </c>
      <c r="B220" s="83" t="s">
        <v>434</v>
      </c>
      <c r="C220" s="80" t="s">
        <v>435</v>
      </c>
      <c r="D220" s="133"/>
      <c r="E220" s="133"/>
      <c r="F220" s="133"/>
      <c r="G220" s="133"/>
      <c r="H220" s="133"/>
      <c r="I220" s="133"/>
      <c r="J220" s="133"/>
    </row>
    <row r="221" spans="1:11" ht="28.5">
      <c r="A221" s="78" t="s">
        <v>436</v>
      </c>
      <c r="B221" s="83" t="s">
        <v>437</v>
      </c>
      <c r="C221" s="80" t="s">
        <v>438</v>
      </c>
      <c r="D221" s="133"/>
      <c r="E221" s="133"/>
      <c r="F221" s="133"/>
      <c r="G221" s="133"/>
      <c r="H221" s="133"/>
      <c r="I221" s="133"/>
      <c r="J221" s="133"/>
    </row>
    <row r="222" spans="1:11" ht="15">
      <c r="A222" s="91">
        <f>'[1]BM 05'!B229</f>
        <v>14</v>
      </c>
      <c r="B222" s="92" t="str">
        <f>'[1]BM 05'!C229</f>
        <v>ITENS ADITADOS</v>
      </c>
      <c r="C222" s="93"/>
      <c r="D222" s="133"/>
      <c r="E222" s="133"/>
      <c r="F222" s="133"/>
      <c r="G222" s="133"/>
      <c r="H222" s="133"/>
      <c r="I222" s="133"/>
      <c r="J222" s="133"/>
    </row>
    <row r="223" spans="1:11" ht="15">
      <c r="A223" s="111" t="str">
        <f>'[1]BM 05'!B230</f>
        <v>14.1</v>
      </c>
      <c r="B223" s="82" t="str">
        <f>'[1]BM 05'!C230</f>
        <v>MURO DE ENTORNO</v>
      </c>
      <c r="C223" s="112"/>
      <c r="D223" s="150"/>
      <c r="E223" s="150"/>
      <c r="F223" s="150"/>
      <c r="G223" s="150"/>
      <c r="H223" s="150"/>
      <c r="I223" s="150"/>
      <c r="J223" s="150"/>
    </row>
    <row r="224" spans="1:11" ht="57">
      <c r="A224" s="113" t="str">
        <f>'[1]BM 05'!B231</f>
        <v>14.1.1</v>
      </c>
      <c r="B224" s="83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80" t="str">
        <f>'[1]BM 05'!D231</f>
        <v>m²</v>
      </c>
      <c r="D224" s="133" t="s">
        <v>522</v>
      </c>
      <c r="E224" s="133"/>
      <c r="F224" s="133"/>
      <c r="G224" s="133"/>
      <c r="H224" s="133"/>
      <c r="I224" s="133"/>
      <c r="J224" s="133"/>
      <c r="K224" s="5">
        <f>(5.8+23.9+35+30.4)*2</f>
        <v>190.2</v>
      </c>
    </row>
    <row r="225" spans="1:12" ht="71.25">
      <c r="A225" s="113" t="str">
        <f>'[1]BM 05'!B232</f>
        <v>14.1.2</v>
      </c>
      <c r="B225" s="83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80" t="str">
        <f>'[1]BM 05'!D232</f>
        <v>m²</v>
      </c>
      <c r="D225" s="135" t="s">
        <v>523</v>
      </c>
      <c r="E225" s="135"/>
      <c r="F225" s="135"/>
      <c r="G225" s="135"/>
      <c r="H225" s="135"/>
      <c r="I225" s="135"/>
      <c r="J225" s="135"/>
      <c r="K225" s="5">
        <v>75.2</v>
      </c>
      <c r="L225" s="5">
        <f>((0.14+0.6)*28.95/2)+((0.6+1.35)*28.95/2)+((0.6+1.35)*34.65/2)+((0.38+0.45)*5.98/2)</f>
        <v>75.20320000000001</v>
      </c>
    </row>
    <row r="226" spans="1:12" ht="28.5">
      <c r="A226" s="113" t="str">
        <f>'[1]BM 05'!B233</f>
        <v>14.1.3</v>
      </c>
      <c r="B226" s="83" t="str">
        <f>'[1]BM 05'!C233</f>
        <v>CHAPISCO EM PAREDE COM ARGAMASSA TRAÇO T1 - 1:3 (CIMENTO / AREIA) - REVISADO 08/2015</v>
      </c>
      <c r="C226" s="80" t="str">
        <f>'[1]BM 05'!D233</f>
        <v>m²</v>
      </c>
      <c r="D226" s="133" t="s">
        <v>524</v>
      </c>
      <c r="E226" s="133"/>
      <c r="F226" s="133"/>
      <c r="G226" s="133"/>
      <c r="H226" s="133"/>
      <c r="I226" s="133"/>
      <c r="J226" s="133"/>
      <c r="K226" s="5">
        <f>K225</f>
        <v>75.2</v>
      </c>
    </row>
    <row r="227" spans="1:12" ht="28.5">
      <c r="A227" s="113" t="str">
        <f>'[1]BM 05'!B234</f>
        <v>14.1.4</v>
      </c>
      <c r="B227" s="83" t="str">
        <f>'[1]BM 05'!C234</f>
        <v>REBOCO OU EMBOÇO EXTERNO, DE PAREDE, COM ARGAMASSA TRAÇO T5 - 1:2:8 (CIMENTO / CAL / AREIA), ESPESSURA 2,0 CM</v>
      </c>
      <c r="C227" s="80" t="str">
        <f>'[1]BM 05'!D234</f>
        <v>m²</v>
      </c>
      <c r="D227" s="133" t="str">
        <f>D226</f>
        <v>Face externa da alvenaria de embasamento do muro</v>
      </c>
      <c r="E227" s="133"/>
      <c r="F227" s="133"/>
      <c r="G227" s="133"/>
      <c r="H227" s="133"/>
      <c r="I227" s="133"/>
      <c r="J227" s="133"/>
      <c r="K227" s="5">
        <f>K226</f>
        <v>75.2</v>
      </c>
    </row>
    <row r="228" spans="1:12" ht="15">
      <c r="A228" s="111" t="str">
        <f>'[1]BM 05'!B235</f>
        <v>14.2</v>
      </c>
      <c r="B228" s="82" t="str">
        <f>'[1]BM 05'!C235</f>
        <v>INFRAESTRUTURA</v>
      </c>
      <c r="C228" s="114"/>
      <c r="D228" s="150"/>
      <c r="E228" s="150"/>
      <c r="F228" s="150"/>
      <c r="G228" s="150"/>
      <c r="H228" s="150"/>
      <c r="I228" s="150"/>
      <c r="J228" s="150"/>
    </row>
    <row r="229" spans="1:12" ht="71.25">
      <c r="A229" s="113" t="str">
        <f>'[1]BM 05'!B236</f>
        <v>14.2.1</v>
      </c>
      <c r="B229" s="83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80" t="str">
        <f>'[1]BM 05'!D236</f>
        <v>m²</v>
      </c>
      <c r="D229" s="133" t="s">
        <v>525</v>
      </c>
      <c r="E229" s="133"/>
      <c r="F229" s="133"/>
      <c r="G229" s="133"/>
      <c r="H229" s="133"/>
      <c r="I229" s="133"/>
      <c r="J229" s="133"/>
      <c r="K229" s="5">
        <v>69.099999999999994</v>
      </c>
    </row>
    <row r="230" spans="1:12" ht="57">
      <c r="A230" s="113" t="str">
        <f>'[1]BM 05'!B237</f>
        <v>14.2.2</v>
      </c>
      <c r="B230" s="83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80" t="str">
        <f>'[1]BM 05'!D237</f>
        <v>m³</v>
      </c>
      <c r="D230" s="135" t="s">
        <v>526</v>
      </c>
      <c r="E230" s="135"/>
      <c r="F230" s="135"/>
      <c r="G230" s="135"/>
      <c r="H230" s="135"/>
      <c r="I230" s="135"/>
      <c r="J230" s="135"/>
      <c r="K230" s="5">
        <v>380.67</v>
      </c>
    </row>
    <row r="231" spans="1:12" ht="15">
      <c r="A231" s="111" t="str">
        <f>'[1]BM 05'!B238</f>
        <v>14.3</v>
      </c>
      <c r="B231" s="82" t="str">
        <f>'[1]BM 05'!C238</f>
        <v>DIVERSOS</v>
      </c>
      <c r="C231" s="114"/>
      <c r="D231" s="150"/>
      <c r="E231" s="150"/>
      <c r="F231" s="150"/>
      <c r="G231" s="150"/>
      <c r="H231" s="150"/>
      <c r="I231" s="150"/>
      <c r="J231" s="150"/>
    </row>
    <row r="232" spans="1:12" ht="28.5">
      <c r="A232" s="113" t="str">
        <f>'[1]BM 05'!B239</f>
        <v>14.3.1</v>
      </c>
      <c r="B232" s="83" t="str">
        <f>'[1]BM 05'!C239</f>
        <v>GRADIL EM ALUMÍNIO FIXADO EM VÃOS DE JANELAS, FORMADO POR TUBOS DE 3/4". AF_04/2019 (JANELAS DA FACHADA LESTE TERREO)</v>
      </c>
      <c r="C232" s="80" t="str">
        <f>'[1]BM 05'!D239</f>
        <v>m²</v>
      </c>
      <c r="D232" s="133"/>
      <c r="E232" s="133"/>
      <c r="F232" s="133"/>
      <c r="G232" s="133"/>
      <c r="H232" s="133"/>
      <c r="I232" s="133"/>
      <c r="J232" s="133"/>
    </row>
    <row r="233" spans="1:12" ht="109.5" customHeight="1">
      <c r="A233" s="113" t="str">
        <f>'[1]BM 05'!B240</f>
        <v>14.3.2</v>
      </c>
      <c r="B233" s="83" t="str">
        <f>'[1]BM 05'!C240</f>
        <v>FORRO EM PLACAS DE GESSO, PARA AMBIENTES RESIDENCIAIS. AF_05/2017_P</v>
      </c>
      <c r="C233" s="80" t="str">
        <f>'[1]BM 05'!D240</f>
        <v>m²</v>
      </c>
      <c r="D233" s="135"/>
      <c r="E233" s="135"/>
      <c r="F233" s="135"/>
      <c r="G233" s="135"/>
      <c r="H233" s="135"/>
      <c r="I233" s="135"/>
      <c r="J233" s="135"/>
    </row>
    <row r="234" spans="1:12" ht="42.75">
      <c r="A234" s="113" t="str">
        <f>'[1]BM 05'!B241</f>
        <v>14.3.3</v>
      </c>
      <c r="B234" s="83" t="str">
        <f>'[1]BM 05'!C241</f>
        <v>Portão de abrir, 2 folhas, com quadro em tubo galvanizado 2", com barra quadrada de 3/4" na vertical e esticador redondo de 3/4", inclusive fechadura e dobradiças</v>
      </c>
      <c r="C234" s="80" t="str">
        <f>'[1]BM 05'!D241</f>
        <v>m²</v>
      </c>
      <c r="D234" s="133"/>
      <c r="E234" s="133"/>
      <c r="F234" s="133"/>
      <c r="G234" s="133"/>
      <c r="H234" s="133"/>
      <c r="I234" s="133"/>
      <c r="J234" s="133"/>
    </row>
  </sheetData>
  <mergeCells count="234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</mergeCells>
  <conditionalFormatting sqref="A222">
    <cfRule type="expression" dxfId="28" priority="4">
      <formula>LEN($B222)=1</formula>
    </cfRule>
  </conditionalFormatting>
  <conditionalFormatting sqref="A4:C76 A77:B77 A78:C221">
    <cfRule type="expression" dxfId="27" priority="5">
      <formula>LEN($B4)=1</formula>
    </cfRule>
  </conditionalFormatting>
  <conditionalFormatting sqref="B222:B234">
    <cfRule type="expression" dxfId="26" priority="1">
      <formula>LEN($B222)=1</formula>
    </cfRule>
  </conditionalFormatting>
  <conditionalFormatting sqref="C222">
    <cfRule type="expression" dxfId="25" priority="3">
      <formula>LEN($B222)=1</formula>
    </cfRule>
  </conditionalFormatting>
  <conditionalFormatting sqref="C224:C234">
    <cfRule type="expression" dxfId="24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73DE3-2270-45AD-AC99-78437B4ED5FE}">
  <sheetPr>
    <tabColor theme="5" tint="-0.249977111117893"/>
  </sheetPr>
  <dimension ref="A2:M255"/>
  <sheetViews>
    <sheetView showGridLines="0" view="pageBreakPreview" topLeftCell="C1" zoomScale="90" zoomScaleNormal="80" zoomScaleSheetLayoutView="80" zoomScalePageLayoutView="80" workbookViewId="0">
      <selection activeCell="H237" sqref="H237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"/>
      <c r="M2" s="2"/>
    </row>
    <row r="3" spans="2:13" s="3" customFormat="1" ht="18">
      <c r="B3" s="127" t="s">
        <v>1</v>
      </c>
      <c r="C3" s="128"/>
      <c r="D3" s="128"/>
      <c r="E3" s="128"/>
      <c r="F3" s="128"/>
      <c r="G3" s="128"/>
      <c r="H3" s="128"/>
      <c r="I3" s="128"/>
      <c r="J3" s="128"/>
      <c r="K3" s="129"/>
      <c r="L3" s="1"/>
      <c r="M3" s="2"/>
    </row>
    <row r="4" spans="2:13" s="5" customFormat="1" ht="15">
      <c r="B4" s="130" t="s">
        <v>2</v>
      </c>
      <c r="C4" s="131"/>
      <c r="D4" s="131" t="s">
        <v>3</v>
      </c>
      <c r="E4" s="131"/>
      <c r="F4" s="131"/>
      <c r="G4" s="131"/>
      <c r="H4" s="131"/>
      <c r="I4" s="131" t="s">
        <v>527</v>
      </c>
      <c r="J4" s="131"/>
      <c r="K4" s="132"/>
      <c r="L4" s="4"/>
    </row>
    <row r="5" spans="2:13" s="5" customFormat="1" ht="15">
      <c r="B5" s="120" t="s">
        <v>5</v>
      </c>
      <c r="C5" s="121"/>
      <c r="D5" s="121" t="s">
        <v>6</v>
      </c>
      <c r="E5" s="121"/>
      <c r="F5" s="121"/>
      <c r="G5" s="121"/>
      <c r="H5" s="121"/>
      <c r="I5" s="121" t="s">
        <v>528</v>
      </c>
      <c r="J5" s="121"/>
      <c r="K5" s="122"/>
      <c r="L5" s="4"/>
    </row>
    <row r="6" spans="2:13" s="5" customFormat="1" ht="15">
      <c r="B6" s="120" t="s">
        <v>8</v>
      </c>
      <c r="C6" s="121"/>
      <c r="D6" s="121" t="s">
        <v>9</v>
      </c>
      <c r="E6" s="121"/>
      <c r="F6" s="121"/>
      <c r="G6" s="121"/>
      <c r="H6" s="121"/>
      <c r="I6" s="121" t="s">
        <v>529</v>
      </c>
      <c r="J6" s="121"/>
      <c r="K6" s="122"/>
      <c r="L6" s="4"/>
    </row>
    <row r="7" spans="2:13" s="5" customFormat="1" ht="15">
      <c r="B7" s="120" t="s">
        <v>11</v>
      </c>
      <c r="C7" s="121"/>
      <c r="D7" s="121" t="s">
        <v>12</v>
      </c>
      <c r="E7" s="121"/>
      <c r="F7" s="121"/>
      <c r="G7" s="121"/>
      <c r="H7" s="121"/>
      <c r="I7" s="6" t="s">
        <v>13</v>
      </c>
      <c r="J7" s="8">
        <f>J242</f>
        <v>107091.18910000002</v>
      </c>
      <c r="K7" s="7"/>
      <c r="L7" s="4"/>
    </row>
    <row r="8" spans="2:13" s="5" customFormat="1" ht="15">
      <c r="B8" s="120"/>
      <c r="C8" s="121"/>
      <c r="D8" s="123"/>
      <c r="E8" s="123"/>
      <c r="F8" s="123"/>
      <c r="G8" s="123"/>
      <c r="H8" s="123"/>
      <c r="I8" s="124"/>
      <c r="J8" s="124"/>
      <c r="K8" s="125"/>
      <c r="L8" s="4"/>
    </row>
    <row r="9" spans="2:13" s="5" customFormat="1" ht="15.75">
      <c r="B9" s="115" t="s">
        <v>14</v>
      </c>
      <c r="C9" s="115"/>
      <c r="D9" s="115"/>
      <c r="E9" s="115"/>
      <c r="F9" s="115"/>
      <c r="G9" s="115"/>
      <c r="H9" s="115"/>
      <c r="I9" s="115"/>
      <c r="J9" s="115"/>
      <c r="K9" s="115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[4]Planilha!$B$12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22738.183700000001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04'!K5</f>
        <v>0</v>
      </c>
      <c r="H12" s="27">
        <f>G12+'[2]BM 03'!H12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04'!K6</f>
        <v>0</v>
      </c>
      <c r="H13" s="27">
        <f>G13+'[2]BM 03'!H13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04'!K7</f>
        <v>0</v>
      </c>
      <c r="H14" s="27">
        <f>G14+'[2]BM 03'!H14</f>
        <v>48.6</v>
      </c>
      <c r="I14" s="28">
        <f t="shared" si="1"/>
        <v>3456.4199999999996</v>
      </c>
      <c r="J14" s="28">
        <f t="shared" si="0"/>
        <v>0</v>
      </c>
      <c r="K14" s="28">
        <f t="shared" si="0"/>
        <v>2545.1819999999998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04'!K8</f>
        <v>0</v>
      </c>
      <c r="H15" s="27">
        <f>G15+'[2]BM 03'!H15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04'!K9</f>
        <v>0</v>
      </c>
      <c r="H16" s="27">
        <f>G16+'[2]BM 03'!H16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04'!K10</f>
        <v>0</v>
      </c>
      <c r="H17" s="27">
        <f>G17+'[2]BM 03'!H17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04'!K11</f>
        <v>0</v>
      </c>
      <c r="H18" s="27">
        <f>G18+'[2]BM 03'!H18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04'!K12</f>
        <v>0</v>
      </c>
      <c r="H19" s="27">
        <f>G19+'[2]BM 03'!H19</f>
        <v>40</v>
      </c>
      <c r="I19" s="28">
        <f t="shared" si="1"/>
        <v>8473.6</v>
      </c>
      <c r="J19" s="28">
        <f t="shared" si="0"/>
        <v>0</v>
      </c>
      <c r="K19" s="28">
        <f t="shared" si="0"/>
        <v>8473.6</v>
      </c>
      <c r="L19" s="4"/>
    </row>
    <row r="20" spans="2:12" s="5" customFormat="1" ht="15">
      <c r="B20" s="30">
        <v>2</v>
      </c>
      <c r="C20" s="31" t="str">
        <f>[4]Planilha!$B$21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1858.8669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04'!K14</f>
        <v>0</v>
      </c>
      <c r="H21" s="27">
        <f>G21+'[2]BM 03'!H21</f>
        <v>35.21125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1580.2809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04'!K15</f>
        <v>0</v>
      </c>
      <c r="H22" s="27">
        <f>G22+'[2]BM 03'!H22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04'!K16</f>
        <v>0</v>
      </c>
      <c r="H23" s="27">
        <f>G23+'[2]BM 03'!H23</f>
        <v>0</v>
      </c>
      <c r="I23" s="28">
        <f t="shared" si="3"/>
        <v>54.450899999999997</v>
      </c>
      <c r="J23" s="28">
        <f t="shared" si="2"/>
        <v>0</v>
      </c>
      <c r="K23" s="28">
        <f t="shared" si="2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04'!K17</f>
        <v>0</v>
      </c>
      <c r="H24" s="27">
        <f>G24+'[2]BM 03'!H24</f>
        <v>0</v>
      </c>
      <c r="I24" s="28">
        <f t="shared" si="3"/>
        <v>74.711699999999993</v>
      </c>
      <c r="J24" s="28">
        <f t="shared" si="2"/>
        <v>0</v>
      </c>
      <c r="K24" s="28">
        <f t="shared" si="2"/>
        <v>0</v>
      </c>
      <c r="L24" s="4"/>
    </row>
    <row r="25" spans="2:12" s="5" customFormat="1" ht="15">
      <c r="B25" s="30">
        <v>3</v>
      </c>
      <c r="C25" s="31" t="str">
        <f>[4]Planilha!$B$26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SUBTOTAL(9,J26:J31)</f>
        <v>0</v>
      </c>
      <c r="K25" s="34">
        <f>SUBTOTAL(9,K26:K31)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04'!K19</f>
        <v>0</v>
      </c>
      <c r="H26" s="27">
        <f>G26+'[2]BM 03'!H26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04'!K20</f>
        <v>0</v>
      </c>
      <c r="H27" s="27">
        <f>G27+'[2]BM 03'!H27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04'!K21</f>
        <v>0</v>
      </c>
      <c r="H28" s="27">
        <f>G28+'[2]BM 03'!H28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04'!K22</f>
        <v>0</v>
      </c>
      <c r="H29" s="27">
        <f>G29+'[2]BM 03'!H29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04'!K23</f>
        <v>0</v>
      </c>
      <c r="H30" s="27">
        <f>G30+'[2]BM 03'!H30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04'!K24</f>
        <v>0</v>
      </c>
      <c r="H31" s="27">
        <f>G31+'[2]BM 03'!H31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68839.011500000008</v>
      </c>
      <c r="K32" s="34">
        <f t="shared" ref="K32" si="6">SUM(K33+K39)</f>
        <v>101327.1941125</v>
      </c>
      <c r="L32" s="4"/>
    </row>
    <row r="33" spans="2:12" s="43" customFormat="1" ht="15">
      <c r="B33" s="36" t="s">
        <v>66</v>
      </c>
      <c r="C33" s="37" t="str">
        <f>[4]Planilha!$B$34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7">SUM(J34:J38)</f>
        <v>0</v>
      </c>
      <c r="K33" s="41">
        <f t="shared" si="7"/>
        <v>32488.182612500001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04'!K27</f>
        <v>0</v>
      </c>
      <c r="H34" s="27">
        <f>G34+'[2]BM 03'!H34</f>
        <v>2.07125</v>
      </c>
      <c r="I34" s="28">
        <f t="shared" ref="I34:K38" si="8">$E34*F34</f>
        <v>209.00789999999998</v>
      </c>
      <c r="J34" s="28">
        <f t="shared" si="8"/>
        <v>0</v>
      </c>
      <c r="K34" s="28">
        <f t="shared" si="8"/>
        <v>209.13411250000001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04'!K28</f>
        <v>0</v>
      </c>
      <c r="H35" s="27">
        <f>G35+'[2]BM 03'!H35</f>
        <v>212.53</v>
      </c>
      <c r="I35" s="28">
        <f t="shared" si="8"/>
        <v>6110.2375000000002</v>
      </c>
      <c r="J35" s="28">
        <f t="shared" si="8"/>
        <v>0</v>
      </c>
      <c r="K35" s="28">
        <f t="shared" si="8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04'!K29</f>
        <v>0</v>
      </c>
      <c r="H36" s="27">
        <f>G36+'[2]BM 03'!H36</f>
        <v>1114.3</v>
      </c>
      <c r="I36" s="28">
        <f t="shared" si="8"/>
        <v>14017.894</v>
      </c>
      <c r="J36" s="28">
        <f t="shared" si="8"/>
        <v>0</v>
      </c>
      <c r="K36" s="28">
        <f t="shared" si="8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04'!K30</f>
        <v>0</v>
      </c>
      <c r="H37" s="27">
        <f>G37+'[2]BM 03'!H37</f>
        <v>225.7</v>
      </c>
      <c r="I37" s="28">
        <f t="shared" si="8"/>
        <v>1762.7169999999999</v>
      </c>
      <c r="J37" s="28">
        <f t="shared" si="8"/>
        <v>0</v>
      </c>
      <c r="K37" s="28">
        <f t="shared" si="8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04'!K31</f>
        <v>0</v>
      </c>
      <c r="H38" s="27">
        <f>G38+'[2]BM 03'!H38</f>
        <v>20</v>
      </c>
      <c r="I38" s="28">
        <f t="shared" si="8"/>
        <v>10388.199999999999</v>
      </c>
      <c r="J38" s="28">
        <f t="shared" si="8"/>
        <v>0</v>
      </c>
      <c r="K38" s="28">
        <f t="shared" si="8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9">SUM(J40:J47)</f>
        <v>68839.011500000008</v>
      </c>
      <c r="K39" s="41">
        <f t="shared" si="9"/>
        <v>68839.011500000008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04'!K33</f>
        <v>324.26</v>
      </c>
      <c r="H40" s="27">
        <f>G40+'[2]BM 03'!H40</f>
        <v>324.26</v>
      </c>
      <c r="I40" s="28">
        <f t="shared" ref="I40:K47" si="10">$E40*F40</f>
        <v>11300.460999999999</v>
      </c>
      <c r="J40" s="28">
        <f t="shared" si="10"/>
        <v>11300.460999999999</v>
      </c>
      <c r="K40" s="28">
        <f t="shared" si="10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04'!K34</f>
        <v>1569.8000000000002</v>
      </c>
      <c r="H41" s="27">
        <f>G41+'[2]BM 03'!H41</f>
        <v>1569.8000000000002</v>
      </c>
      <c r="I41" s="28">
        <f t="shared" si="10"/>
        <v>19748.083999999999</v>
      </c>
      <c r="J41" s="28">
        <f t="shared" si="10"/>
        <v>19748.084000000003</v>
      </c>
      <c r="K41" s="28">
        <f t="shared" si="10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04'!K35</f>
        <v>379.5</v>
      </c>
      <c r="H42" s="27">
        <f>G42+'[2]BM 03'!H42</f>
        <v>379.5</v>
      </c>
      <c r="I42" s="28">
        <f t="shared" si="10"/>
        <v>2963.895</v>
      </c>
      <c r="J42" s="28">
        <f t="shared" si="10"/>
        <v>2963.895</v>
      </c>
      <c r="K42" s="28">
        <f t="shared" si="10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04'!K36</f>
        <v>18.189999999999998</v>
      </c>
      <c r="H43" s="27">
        <f>G43+'[2]BM 03'!H43</f>
        <v>18.189999999999998</v>
      </c>
      <c r="I43" s="28">
        <f t="shared" si="10"/>
        <v>6276.2776000000013</v>
      </c>
      <c r="J43" s="28">
        <f t="shared" si="10"/>
        <v>6276.2775999999994</v>
      </c>
      <c r="K43" s="28">
        <f t="shared" si="10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04'!K37</f>
        <v>18.189999999999998</v>
      </c>
      <c r="H44" s="27">
        <f>G44+'[2]BM 03'!H44</f>
        <v>18.189999999999998</v>
      </c>
      <c r="I44" s="28">
        <f t="shared" si="10"/>
        <v>2396.8963000000003</v>
      </c>
      <c r="J44" s="28">
        <f t="shared" si="10"/>
        <v>2396.8962999999999</v>
      </c>
      <c r="K44" s="28">
        <f t="shared" si="10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04'!K38</f>
        <v>276.43</v>
      </c>
      <c r="H45" s="27">
        <f>G45+'[2]BM 03'!H45</f>
        <v>276.43</v>
      </c>
      <c r="I45" s="28">
        <f t="shared" si="10"/>
        <v>23502.078600000001</v>
      </c>
      <c r="J45" s="28">
        <f t="shared" si="10"/>
        <v>23502.078600000001</v>
      </c>
      <c r="K45" s="28">
        <f t="shared" si="10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04'!K39</f>
        <v>0</v>
      </c>
      <c r="H46" s="27">
        <f>G46+'[2]BM 03'!H46</f>
        <v>0</v>
      </c>
      <c r="I46" s="28">
        <f t="shared" si="10"/>
        <v>2541.8910000000001</v>
      </c>
      <c r="J46" s="28">
        <f t="shared" si="10"/>
        <v>0</v>
      </c>
      <c r="K46" s="28">
        <f t="shared" si="10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04'!K40</f>
        <v>124.3</v>
      </c>
      <c r="H47" s="27">
        <f>G47+'[2]BM 03'!H47</f>
        <v>124.3</v>
      </c>
      <c r="I47" s="28">
        <f t="shared" si="10"/>
        <v>3246.4259999999995</v>
      </c>
      <c r="J47" s="28">
        <f t="shared" si="10"/>
        <v>2651.3189999999995</v>
      </c>
      <c r="K47" s="28">
        <f t="shared" si="10"/>
        <v>2651.3189999999995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 t="shared" ref="J48:K48" si="11">J49+J51</f>
        <v>38252.177600000003</v>
      </c>
      <c r="K48" s="34">
        <f t="shared" si="11"/>
        <v>38252.177600000003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04'!K42</f>
        <v>644.41000000000008</v>
      </c>
      <c r="H49" s="27">
        <f>G49+'[2]BM 03'!H49</f>
        <v>644.41000000000008</v>
      </c>
      <c r="I49" s="28">
        <f>$E49*F49</f>
        <v>46948.417600000001</v>
      </c>
      <c r="J49" s="28">
        <f t="shared" ref="J49:K51" si="12">$E49*G49</f>
        <v>38252.177600000003</v>
      </c>
      <c r="K49" s="28">
        <f>$E49*H49</f>
        <v>38252.177600000003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26">
        <f>'[2]Memória 04'!K43</f>
        <v>0</v>
      </c>
      <c r="H50" s="27">
        <f>G50+'[2]BM 03'!H50</f>
        <v>0</v>
      </c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04'!K44</f>
        <v>0</v>
      </c>
      <c r="H51" s="27">
        <f>G51+'[2]BM 03'!H51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0</v>
      </c>
      <c r="K52" s="34">
        <f t="shared" si="15"/>
        <v>1229.904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04'!K46</f>
        <v>0</v>
      </c>
      <c r="H53" s="27">
        <f>G53+'[2]BM 03'!H53</f>
        <v>142.35</v>
      </c>
      <c r="I53" s="28">
        <f>$E53*F53</f>
        <v>1229.904</v>
      </c>
      <c r="J53" s="28">
        <f t="shared" ref="J53:K55" si="16">$E53*G53</f>
        <v>0</v>
      </c>
      <c r="K53" s="28">
        <f t="shared" si="16"/>
        <v>1229.904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04'!K47</f>
        <v>0</v>
      </c>
      <c r="H54" s="27">
        <f>G54+'[2]BM 03'!H54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04'!K48</f>
        <v>0</v>
      </c>
      <c r="H55" s="27">
        <f>G55+'[2]BM 03'!H55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 t="shared" ref="J56:K56" si="18">J57+J68+J77+J84</f>
        <v>0</v>
      </c>
      <c r="K56" s="34">
        <f t="shared" si="18"/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 t="shared" ref="J57:K57" si="19">SUM(J58:J67)</f>
        <v>0</v>
      </c>
      <c r="K57" s="41">
        <f t="shared" si="19"/>
        <v>0</v>
      </c>
      <c r="L57" s="4"/>
    </row>
    <row r="58" spans="2:12" s="5" customFormat="1" ht="24">
      <c r="B58" s="50" t="s">
        <v>110</v>
      </c>
      <c r="C58" s="29" t="s">
        <v>454</v>
      </c>
      <c r="D58" s="23" t="s">
        <v>27</v>
      </c>
      <c r="E58" s="35">
        <v>38.299999999999997</v>
      </c>
      <c r="F58" s="25">
        <v>234.35</v>
      </c>
      <c r="G58" s="26">
        <f>'[2]Memória 04'!K51</f>
        <v>0</v>
      </c>
      <c r="H58" s="27">
        <f>G58+'[2]BM 03'!H58</f>
        <v>0</v>
      </c>
      <c r="I58" s="28">
        <f t="shared" ref="I58:K67" si="20">$E58*F58</f>
        <v>8975.6049999999996</v>
      </c>
      <c r="J58" s="28">
        <f t="shared" si="20"/>
        <v>0</v>
      </c>
      <c r="K58" s="28">
        <f t="shared" si="20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04'!K52</f>
        <v>0</v>
      </c>
      <c r="H59" s="27">
        <f>G59+'[2]BM 03'!H59</f>
        <v>0</v>
      </c>
      <c r="I59" s="28">
        <f t="shared" si="20"/>
        <v>4586.6959999999999</v>
      </c>
      <c r="J59" s="28">
        <f t="shared" si="20"/>
        <v>0</v>
      </c>
      <c r="K59" s="28">
        <f t="shared" si="20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04'!K53</f>
        <v>0</v>
      </c>
      <c r="H60" s="27">
        <f>G60+'[2]BM 03'!H60</f>
        <v>0</v>
      </c>
      <c r="I60" s="28">
        <f t="shared" si="20"/>
        <v>7814.9655000000002</v>
      </c>
      <c r="J60" s="28">
        <f t="shared" si="20"/>
        <v>0</v>
      </c>
      <c r="K60" s="28">
        <f t="shared" si="20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04'!K54</f>
        <v>0</v>
      </c>
      <c r="H61" s="27">
        <f>G61+'[2]BM 03'!H61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04'!K55</f>
        <v>0</v>
      </c>
      <c r="H62" s="27">
        <f>G62+'[2]BM 03'!H62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04'!K56</f>
        <v>0</v>
      </c>
      <c r="H63" s="27">
        <f>G63+'[2]BM 03'!H63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04'!K57</f>
        <v>0</v>
      </c>
      <c r="H64" s="27">
        <f>G64+'[2]BM 03'!H64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04'!K58</f>
        <v>0</v>
      </c>
      <c r="H65" s="27">
        <f>G65+'[2]BM 03'!H65</f>
        <v>0</v>
      </c>
      <c r="I65" s="28">
        <f t="shared" si="20"/>
        <v>18663.633999999998</v>
      </c>
      <c r="J65" s="28">
        <f t="shared" si="20"/>
        <v>0</v>
      </c>
      <c r="K65" s="28">
        <f t="shared" si="20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04'!K59</f>
        <v>0</v>
      </c>
      <c r="H66" s="27">
        <f>G66+'[2]BM 03'!H66</f>
        <v>0</v>
      </c>
      <c r="I66" s="28">
        <f t="shared" si="20"/>
        <v>3317.0199999999995</v>
      </c>
      <c r="J66" s="28">
        <f t="shared" si="20"/>
        <v>0</v>
      </c>
      <c r="K66" s="28">
        <f t="shared" si="20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04'!K60</f>
        <v>0</v>
      </c>
      <c r="H67" s="27">
        <f>G67+'[2]BM 03'!H67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0</v>
      </c>
      <c r="K68" s="41">
        <f t="shared" si="21"/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04'!K62</f>
        <v>0</v>
      </c>
      <c r="H69" s="27">
        <f>G69+'[2]BM 03'!H69</f>
        <v>0</v>
      </c>
      <c r="I69" s="28">
        <f t="shared" ref="I69:K76" si="22">$E69*F69</f>
        <v>3061.2526999999995</v>
      </c>
      <c r="J69" s="28">
        <f t="shared" si="22"/>
        <v>0</v>
      </c>
      <c r="K69" s="28">
        <f t="shared" si="22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04'!K63</f>
        <v>0</v>
      </c>
      <c r="H70" s="27">
        <f>G70+'[2]BM 03'!H70</f>
        <v>0</v>
      </c>
      <c r="I70" s="28">
        <f t="shared" si="22"/>
        <v>2724.0911999999998</v>
      </c>
      <c r="J70" s="28">
        <f t="shared" si="22"/>
        <v>0</v>
      </c>
      <c r="K70" s="28">
        <f t="shared" si="22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04'!K64</f>
        <v>0</v>
      </c>
      <c r="H71" s="27">
        <f>G71+'[2]BM 03'!H71</f>
        <v>0</v>
      </c>
      <c r="I71" s="28">
        <f t="shared" si="22"/>
        <v>35879.399399999995</v>
      </c>
      <c r="J71" s="28">
        <f t="shared" si="22"/>
        <v>0</v>
      </c>
      <c r="K71" s="28">
        <f t="shared" si="22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04'!K65</f>
        <v>0</v>
      </c>
      <c r="H72" s="27">
        <f>G72+'[2]BM 03'!H72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04'!K66</f>
        <v>0</v>
      </c>
      <c r="H73" s="27">
        <f>G73+'[2]BM 03'!H73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04'!K67</f>
        <v>0</v>
      </c>
      <c r="H74" s="27">
        <f>G74+'[2]BM 03'!H74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04'!K68</f>
        <v>0</v>
      </c>
      <c r="H75" s="27">
        <f>G75+'[2]BM 03'!H75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04'!K69</f>
        <v>0</v>
      </c>
      <c r="H76" s="27">
        <f>G76+'[2]BM 03'!H76</f>
        <v>0</v>
      </c>
      <c r="I76" s="28">
        <f t="shared" si="22"/>
        <v>11697.7035</v>
      </c>
      <c r="J76" s="28">
        <f t="shared" si="22"/>
        <v>0</v>
      </c>
      <c r="K76" s="28">
        <f t="shared" si="22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SUM(J78:J83)</f>
        <v>0</v>
      </c>
      <c r="K77" s="41">
        <f t="shared" ref="K77" si="23">SUM(K78:K83)</f>
        <v>0</v>
      </c>
      <c r="L77" s="4"/>
    </row>
    <row r="78" spans="2:12" s="5" customFormat="1" ht="24">
      <c r="B78" s="103" t="s">
        <v>150</v>
      </c>
      <c r="C78" s="104" t="s">
        <v>151</v>
      </c>
      <c r="D78" s="105" t="s">
        <v>27</v>
      </c>
      <c r="E78" s="106">
        <v>8.5500000000000007</v>
      </c>
      <c r="F78" s="107">
        <v>0</v>
      </c>
      <c r="G78" s="26">
        <f>'[2]Memória 04'!K71</f>
        <v>0</v>
      </c>
      <c r="H78" s="27">
        <f>G78+'[2]BM 03'!H78</f>
        <v>0</v>
      </c>
      <c r="I78" s="108">
        <f t="shared" ref="I78:K83" si="24">$E78*F78</f>
        <v>0</v>
      </c>
      <c r="J78" s="108">
        <f t="shared" si="24"/>
        <v>0</v>
      </c>
      <c r="K78" s="108">
        <f t="shared" si="24"/>
        <v>0</v>
      </c>
      <c r="L78" s="4"/>
    </row>
    <row r="79" spans="2:12" s="5" customFormat="1" ht="24">
      <c r="B79" s="103" t="s">
        <v>152</v>
      </c>
      <c r="C79" s="104" t="s">
        <v>153</v>
      </c>
      <c r="D79" s="105" t="s">
        <v>27</v>
      </c>
      <c r="E79" s="106">
        <v>23.26</v>
      </c>
      <c r="F79" s="107">
        <v>0</v>
      </c>
      <c r="G79" s="26">
        <f>'[2]Memória 04'!K72</f>
        <v>0</v>
      </c>
      <c r="H79" s="27">
        <f>G79+'[2]BM 03'!H79</f>
        <v>0</v>
      </c>
      <c r="I79" s="108">
        <f t="shared" si="24"/>
        <v>0</v>
      </c>
      <c r="J79" s="108">
        <f t="shared" si="24"/>
        <v>0</v>
      </c>
      <c r="K79" s="108">
        <f t="shared" si="2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04'!K73</f>
        <v>0</v>
      </c>
      <c r="H80" s="27">
        <f>G80+'[2]BM 03'!H80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04'!K74</f>
        <v>0</v>
      </c>
      <c r="H81" s="27">
        <f>G81+'[2]BM 03'!H81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04'!K75</f>
        <v>0</v>
      </c>
      <c r="H82" s="27">
        <f>G82+'[2]BM 03'!H82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04'!K76</f>
        <v>0</v>
      </c>
      <c r="H83" s="27">
        <f>G83+'[2]BM 03'!H83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>
      <c r="B84" s="36" t="s">
        <v>160</v>
      </c>
      <c r="C84" s="116" t="s">
        <v>161</v>
      </c>
      <c r="D84" s="116"/>
      <c r="E84" s="46"/>
      <c r="F84" s="46"/>
      <c r="G84" s="26">
        <f>'[2]Memória 04'!K77</f>
        <v>0</v>
      </c>
      <c r="H84" s="27">
        <f>G84+'[2]BM 03'!H84</f>
        <v>0</v>
      </c>
      <c r="I84" s="41">
        <f>I85</f>
        <v>656.98199999999997</v>
      </c>
      <c r="J84" s="41">
        <f t="shared" ref="J84:K84" si="25">J85</f>
        <v>0</v>
      </c>
      <c r="K84" s="41">
        <f t="shared" si="25"/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04'!K78</f>
        <v>0</v>
      </c>
      <c r="H85" s="27">
        <f>G85+'[2]BM 03'!H85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6">J87+J96+J101</f>
        <v>0</v>
      </c>
      <c r="K86" s="34">
        <f t="shared" si="26"/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7">SUM(J88:J95)</f>
        <v>0</v>
      </c>
      <c r="K87" s="41">
        <f t="shared" si="27"/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04'!K81</f>
        <v>0</v>
      </c>
      <c r="H88" s="27">
        <f>G88+'[2]BM 03'!H88</f>
        <v>0</v>
      </c>
      <c r="I88" s="28">
        <f t="shared" ref="I88:K95" si="28">$E88*F88</f>
        <v>3442.74</v>
      </c>
      <c r="J88" s="28">
        <f t="shared" si="28"/>
        <v>0</v>
      </c>
      <c r="K88" s="28">
        <f t="shared" si="28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04'!K82</f>
        <v>0</v>
      </c>
      <c r="H89" s="27">
        <f>G89+'[2]BM 03'!H89</f>
        <v>0</v>
      </c>
      <c r="I89" s="28">
        <f t="shared" si="28"/>
        <v>7354.2000000000007</v>
      </c>
      <c r="J89" s="28">
        <f t="shared" si="28"/>
        <v>0</v>
      </c>
      <c r="K89" s="28">
        <f t="shared" si="28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04'!K83</f>
        <v>0</v>
      </c>
      <c r="H90" s="27">
        <f>G90+'[2]BM 03'!H90</f>
        <v>0</v>
      </c>
      <c r="I90" s="28">
        <f t="shared" si="28"/>
        <v>741.28</v>
      </c>
      <c r="J90" s="28">
        <f t="shared" si="28"/>
        <v>0</v>
      </c>
      <c r="K90" s="28">
        <f t="shared" si="28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04'!K84</f>
        <v>0</v>
      </c>
      <c r="H91" s="27">
        <f>G91+'[2]BM 03'!H91</f>
        <v>0</v>
      </c>
      <c r="I91" s="28">
        <f t="shared" si="28"/>
        <v>1386.43</v>
      </c>
      <c r="J91" s="28">
        <f t="shared" si="28"/>
        <v>0</v>
      </c>
      <c r="K91" s="28">
        <f t="shared" si="28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04'!K85</f>
        <v>0</v>
      </c>
      <c r="H92" s="27">
        <f>G92+'[2]BM 03'!H92</f>
        <v>0</v>
      </c>
      <c r="I92" s="28">
        <f t="shared" si="28"/>
        <v>374.34</v>
      </c>
      <c r="J92" s="28">
        <f t="shared" si="28"/>
        <v>0</v>
      </c>
      <c r="K92" s="28">
        <f t="shared" si="28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04'!K86</f>
        <v>0</v>
      </c>
      <c r="H93" s="27">
        <f>G93+'[2]BM 03'!H93</f>
        <v>0</v>
      </c>
      <c r="I93" s="28">
        <f t="shared" si="28"/>
        <v>474.3</v>
      </c>
      <c r="J93" s="28">
        <f t="shared" si="28"/>
        <v>0</v>
      </c>
      <c r="K93" s="28">
        <f t="shared" si="28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04'!K87</f>
        <v>0</v>
      </c>
      <c r="H94" s="27">
        <f>G94+'[2]BM 03'!H94</f>
        <v>0</v>
      </c>
      <c r="I94" s="28">
        <f t="shared" si="28"/>
        <v>551.98</v>
      </c>
      <c r="J94" s="28">
        <f t="shared" si="28"/>
        <v>0</v>
      </c>
      <c r="K94" s="28">
        <f t="shared" si="28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04'!K88</f>
        <v>0</v>
      </c>
      <c r="H95" s="27">
        <f>G95+'[2]BM 03'!H95</f>
        <v>0</v>
      </c>
      <c r="I95" s="28">
        <f t="shared" si="28"/>
        <v>2253.069</v>
      </c>
      <c r="J95" s="28">
        <f t="shared" si="28"/>
        <v>0</v>
      </c>
      <c r="K95" s="28">
        <f t="shared" si="28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9">SUM(J97:J100)</f>
        <v>0</v>
      </c>
      <c r="K96" s="41">
        <f t="shared" si="29"/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04'!K90</f>
        <v>0</v>
      </c>
      <c r="H97" s="27">
        <f>G97+'[2]BM 03'!H97</f>
        <v>0</v>
      </c>
      <c r="I97" s="28">
        <f t="shared" ref="I97:K100" si="30">$E97*F97</f>
        <v>18004.346000000001</v>
      </c>
      <c r="J97" s="28">
        <f t="shared" si="30"/>
        <v>0</v>
      </c>
      <c r="K97" s="28">
        <f t="shared" si="30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04'!K91</f>
        <v>0</v>
      </c>
      <c r="H98" s="27">
        <f>G98+'[2]BM 03'!H98</f>
        <v>0</v>
      </c>
      <c r="I98" s="28">
        <f t="shared" si="30"/>
        <v>473.39200000000005</v>
      </c>
      <c r="J98" s="28">
        <f t="shared" si="30"/>
        <v>0</v>
      </c>
      <c r="K98" s="28">
        <f t="shared" si="30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04'!K92</f>
        <v>0</v>
      </c>
      <c r="H99" s="27">
        <f>G99+'[2]BM 03'!H99</f>
        <v>0</v>
      </c>
      <c r="I99" s="28">
        <f t="shared" si="30"/>
        <v>10536.165199999999</v>
      </c>
      <c r="J99" s="28">
        <f t="shared" si="30"/>
        <v>0</v>
      </c>
      <c r="K99" s="28">
        <f t="shared" si="30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04'!K93</f>
        <v>0</v>
      </c>
      <c r="H100" s="27">
        <f>G100+'[2]BM 03'!H100</f>
        <v>0</v>
      </c>
      <c r="I100" s="28">
        <f t="shared" si="30"/>
        <v>149.44999999999999</v>
      </c>
      <c r="J100" s="28">
        <f t="shared" si="30"/>
        <v>0</v>
      </c>
      <c r="K100" s="28">
        <f t="shared" si="30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 t="shared" ref="J101:K101" si="31">SUM(J102:J104)</f>
        <v>0</v>
      </c>
      <c r="K101" s="41">
        <f t="shared" si="31"/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04'!K95</f>
        <v>0</v>
      </c>
      <c r="H102" s="27">
        <f>G102+'[2]BM 03'!H102</f>
        <v>0</v>
      </c>
      <c r="I102" s="28">
        <f t="shared" ref="I102:K104" si="32">$E102*F102</f>
        <v>6197.4107999999997</v>
      </c>
      <c r="J102" s="28">
        <f t="shared" si="32"/>
        <v>0</v>
      </c>
      <c r="K102" s="28">
        <f t="shared" si="32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04'!K96</f>
        <v>0</v>
      </c>
      <c r="H103" s="27">
        <f>G103+'[2]BM 03'!H103</f>
        <v>0</v>
      </c>
      <c r="I103" s="28">
        <f t="shared" si="32"/>
        <v>3777.5155999999997</v>
      </c>
      <c r="J103" s="28">
        <f t="shared" si="32"/>
        <v>0</v>
      </c>
      <c r="K103" s="28">
        <f t="shared" si="32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04'!K97</f>
        <v>0</v>
      </c>
      <c r="H104" s="27">
        <f>G104+'[2]BM 03'!H104</f>
        <v>0</v>
      </c>
      <c r="I104" s="28">
        <f t="shared" si="32"/>
        <v>1274.6487999999999</v>
      </c>
      <c r="J104" s="28">
        <f t="shared" si="32"/>
        <v>0</v>
      </c>
      <c r="K104" s="28">
        <f t="shared" si="32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3">J106+J108+J130+J135+J143</f>
        <v>0</v>
      </c>
      <c r="K105" s="34">
        <f t="shared" si="33"/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 t="shared" ref="J106:K106" si="34">J107</f>
        <v>0</v>
      </c>
      <c r="K106" s="41">
        <f t="shared" si="34"/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04'!K100</f>
        <v>0</v>
      </c>
      <c r="H107" s="27">
        <f>G107+'[2]BM 03'!H107</f>
        <v>0</v>
      </c>
      <c r="I107" s="28">
        <f t="shared" ref="I107:K107" si="35">$E107*F107</f>
        <v>1687.24</v>
      </c>
      <c r="J107" s="28">
        <f t="shared" si="35"/>
        <v>0</v>
      </c>
      <c r="K107" s="28">
        <f t="shared" si="35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6">SUM(J109:J129)</f>
        <v>0</v>
      </c>
      <c r="K108" s="41">
        <f t="shared" si="36"/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04'!K102</f>
        <v>0</v>
      </c>
      <c r="H109" s="27">
        <f>G109+'[2]BM 03'!H109</f>
        <v>0</v>
      </c>
      <c r="I109" s="28">
        <f t="shared" ref="I109:K124" si="37">$E109*F109</f>
        <v>4015.61</v>
      </c>
      <c r="J109" s="28">
        <f t="shared" si="37"/>
        <v>0</v>
      </c>
      <c r="K109" s="28">
        <f t="shared" si="37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04'!K103</f>
        <v>0</v>
      </c>
      <c r="H110" s="27">
        <f>G110+'[2]BM 03'!H110</f>
        <v>0</v>
      </c>
      <c r="I110" s="28">
        <f t="shared" si="37"/>
        <v>616</v>
      </c>
      <c r="J110" s="28">
        <f t="shared" si="37"/>
        <v>0</v>
      </c>
      <c r="K110" s="28">
        <f t="shared" si="37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04'!K104</f>
        <v>0</v>
      </c>
      <c r="H111" s="27">
        <f>G111+'[2]BM 03'!H111</f>
        <v>0</v>
      </c>
      <c r="I111" s="28">
        <f t="shared" si="37"/>
        <v>1205.28</v>
      </c>
      <c r="J111" s="28">
        <f t="shared" si="37"/>
        <v>0</v>
      </c>
      <c r="K111" s="28">
        <f t="shared" si="37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04'!K105</f>
        <v>0</v>
      </c>
      <c r="H112" s="27">
        <f>G112+'[2]BM 03'!H112</f>
        <v>0</v>
      </c>
      <c r="I112" s="28">
        <f t="shared" si="37"/>
        <v>632.93999999999994</v>
      </c>
      <c r="J112" s="28">
        <f t="shared" si="37"/>
        <v>0</v>
      </c>
      <c r="K112" s="28">
        <f t="shared" si="37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04'!K106</f>
        <v>0</v>
      </c>
      <c r="H113" s="27">
        <f>G113+'[2]BM 03'!H113</f>
        <v>0</v>
      </c>
      <c r="I113" s="28">
        <f t="shared" si="37"/>
        <v>240.86</v>
      </c>
      <c r="J113" s="28">
        <f t="shared" si="37"/>
        <v>0</v>
      </c>
      <c r="K113" s="28">
        <f t="shared" si="37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04'!K107</f>
        <v>0</v>
      </c>
      <c r="H114" s="27">
        <f>G114+'[2]BM 03'!H114</f>
        <v>0</v>
      </c>
      <c r="I114" s="28">
        <f t="shared" si="37"/>
        <v>61.56</v>
      </c>
      <c r="J114" s="28">
        <f t="shared" si="37"/>
        <v>0</v>
      </c>
      <c r="K114" s="28">
        <f t="shared" si="37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04'!K108</f>
        <v>0</v>
      </c>
      <c r="H115" s="27">
        <f>G115+'[2]BM 03'!H115</f>
        <v>0</v>
      </c>
      <c r="I115" s="28">
        <f t="shared" si="37"/>
        <v>12512</v>
      </c>
      <c r="J115" s="28">
        <f t="shared" si="37"/>
        <v>0</v>
      </c>
      <c r="K115" s="28">
        <f t="shared" si="37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04'!K109</f>
        <v>0</v>
      </c>
      <c r="H116" s="27">
        <f>G116+'[2]BM 03'!H116</f>
        <v>0</v>
      </c>
      <c r="I116" s="28">
        <f t="shared" si="37"/>
        <v>2.96</v>
      </c>
      <c r="J116" s="28">
        <f t="shared" si="37"/>
        <v>0</v>
      </c>
      <c r="K116" s="28">
        <f t="shared" si="37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04'!K110</f>
        <v>0</v>
      </c>
      <c r="H117" s="27">
        <f>G117+'[2]BM 03'!H117</f>
        <v>0</v>
      </c>
      <c r="I117" s="28">
        <f t="shared" si="37"/>
        <v>738.72</v>
      </c>
      <c r="J117" s="28">
        <f t="shared" si="37"/>
        <v>0</v>
      </c>
      <c r="K117" s="28">
        <f t="shared" si="37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04'!K111</f>
        <v>0</v>
      </c>
      <c r="H118" s="27">
        <f>G118+'[2]BM 03'!H118</f>
        <v>0</v>
      </c>
      <c r="I118" s="28">
        <f t="shared" si="37"/>
        <v>71.25</v>
      </c>
      <c r="J118" s="28">
        <f t="shared" si="37"/>
        <v>0</v>
      </c>
      <c r="K118" s="28">
        <f t="shared" si="37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04'!K112</f>
        <v>0</v>
      </c>
      <c r="H119" s="27">
        <f>G119+'[2]BM 03'!H119</f>
        <v>0</v>
      </c>
      <c r="I119" s="28">
        <f t="shared" si="37"/>
        <v>25.92</v>
      </c>
      <c r="J119" s="28">
        <f t="shared" si="37"/>
        <v>0</v>
      </c>
      <c r="K119" s="28">
        <f t="shared" si="37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04'!K113</f>
        <v>0</v>
      </c>
      <c r="H120" s="27">
        <f>G120+'[2]BM 03'!H120</f>
        <v>0</v>
      </c>
      <c r="I120" s="28">
        <f t="shared" si="37"/>
        <v>15.52</v>
      </c>
      <c r="J120" s="28">
        <f t="shared" si="37"/>
        <v>0</v>
      </c>
      <c r="K120" s="28">
        <f t="shared" si="37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04'!K114</f>
        <v>0</v>
      </c>
      <c r="H121" s="27">
        <f>G121+'[2]BM 03'!H121</f>
        <v>0</v>
      </c>
      <c r="I121" s="28">
        <f t="shared" si="37"/>
        <v>11224</v>
      </c>
      <c r="J121" s="28">
        <f t="shared" si="37"/>
        <v>0</v>
      </c>
      <c r="K121" s="28">
        <f t="shared" si="37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04'!K115</f>
        <v>0</v>
      </c>
      <c r="H122" s="27">
        <f>G122+'[2]BM 03'!H122</f>
        <v>0</v>
      </c>
      <c r="I122" s="28">
        <f t="shared" si="37"/>
        <v>144.60000000000002</v>
      </c>
      <c r="J122" s="28">
        <f t="shared" si="37"/>
        <v>0</v>
      </c>
      <c r="K122" s="28">
        <f t="shared" si="37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04'!K116</f>
        <v>0</v>
      </c>
      <c r="H123" s="27">
        <f>G123+'[2]BM 03'!H123</f>
        <v>0</v>
      </c>
      <c r="I123" s="28">
        <f t="shared" si="37"/>
        <v>162.9</v>
      </c>
      <c r="J123" s="28">
        <f t="shared" si="37"/>
        <v>0</v>
      </c>
      <c r="K123" s="28">
        <f t="shared" si="37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04'!K117</f>
        <v>0</v>
      </c>
      <c r="H124" s="27">
        <f>G124+'[2]BM 03'!H124</f>
        <v>0</v>
      </c>
      <c r="I124" s="28">
        <f t="shared" si="37"/>
        <v>56.16</v>
      </c>
      <c r="J124" s="28">
        <f t="shared" si="37"/>
        <v>0</v>
      </c>
      <c r="K124" s="28">
        <f t="shared" si="37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04'!K118</f>
        <v>0</v>
      </c>
      <c r="H125" s="27">
        <f>G125+'[2]BM 03'!H125</f>
        <v>0</v>
      </c>
      <c r="I125" s="28">
        <f t="shared" ref="I125:K129" si="38">$E125*F125</f>
        <v>34.630000000000003</v>
      </c>
      <c r="J125" s="28">
        <f t="shared" si="38"/>
        <v>0</v>
      </c>
      <c r="K125" s="28">
        <f t="shared" si="38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04'!K119</f>
        <v>0</v>
      </c>
      <c r="H126" s="27">
        <f>G126+'[2]BM 03'!H126</f>
        <v>0</v>
      </c>
      <c r="I126" s="28">
        <f t="shared" si="38"/>
        <v>22.72</v>
      </c>
      <c r="J126" s="28">
        <f t="shared" si="38"/>
        <v>0</v>
      </c>
      <c r="K126" s="28">
        <f t="shared" si="38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04'!K120</f>
        <v>0</v>
      </c>
      <c r="H127" s="27">
        <f>G127+'[2]BM 03'!H127</f>
        <v>0</v>
      </c>
      <c r="I127" s="28">
        <f t="shared" si="38"/>
        <v>5.94</v>
      </c>
      <c r="J127" s="28">
        <f t="shared" si="38"/>
        <v>0</v>
      </c>
      <c r="K127" s="28">
        <f t="shared" si="38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04'!K121</f>
        <v>0</v>
      </c>
      <c r="H128" s="27">
        <f>G128+'[2]BM 03'!H128</f>
        <v>0</v>
      </c>
      <c r="I128" s="28">
        <f t="shared" si="38"/>
        <v>181.98</v>
      </c>
      <c r="J128" s="28">
        <f t="shared" si="38"/>
        <v>0</v>
      </c>
      <c r="K128" s="28">
        <f t="shared" si="38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04'!K122</f>
        <v>0</v>
      </c>
      <c r="H129" s="27">
        <f>G129+'[2]BM 03'!H129</f>
        <v>0</v>
      </c>
      <c r="I129" s="28">
        <f t="shared" si="38"/>
        <v>5336</v>
      </c>
      <c r="J129" s="28">
        <f t="shared" si="38"/>
        <v>0</v>
      </c>
      <c r="K129" s="28">
        <f t="shared" si="38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9">SUM(J131:J134)</f>
        <v>0</v>
      </c>
      <c r="K130" s="41">
        <f t="shared" si="39"/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04'!K124</f>
        <v>0</v>
      </c>
      <c r="H131" s="27">
        <f>G131+'[2]BM 03'!H131</f>
        <v>0</v>
      </c>
      <c r="I131" s="28">
        <f t="shared" ref="I131:K134" si="40">$E131*F131</f>
        <v>408.32</v>
      </c>
      <c r="J131" s="28">
        <f t="shared" si="40"/>
        <v>0</v>
      </c>
      <c r="K131" s="28">
        <f t="shared" si="40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04'!K125</f>
        <v>0</v>
      </c>
      <c r="H132" s="27">
        <f>G132+'[2]BM 03'!H132</f>
        <v>0</v>
      </c>
      <c r="I132" s="28">
        <f t="shared" si="40"/>
        <v>235.01</v>
      </c>
      <c r="J132" s="28">
        <f t="shared" si="40"/>
        <v>0</v>
      </c>
      <c r="K132" s="28">
        <f t="shared" si="40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04'!K126</f>
        <v>0</v>
      </c>
      <c r="H133" s="27">
        <f>G133+'[2]BM 03'!H133</f>
        <v>0</v>
      </c>
      <c r="I133" s="28">
        <f t="shared" si="40"/>
        <v>165.94</v>
      </c>
      <c r="J133" s="28">
        <f t="shared" si="40"/>
        <v>0</v>
      </c>
      <c r="K133" s="28">
        <f t="shared" si="40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04'!K127</f>
        <v>0</v>
      </c>
      <c r="H134" s="27">
        <f>G134+'[2]BM 03'!H134</f>
        <v>0</v>
      </c>
      <c r="I134" s="28">
        <f t="shared" si="40"/>
        <v>61.63</v>
      </c>
      <c r="J134" s="28">
        <f t="shared" si="40"/>
        <v>0</v>
      </c>
      <c r="K134" s="28">
        <f t="shared" si="40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1">SUM(J136:J142)</f>
        <v>0</v>
      </c>
      <c r="K135" s="41">
        <f t="shared" si="41"/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04'!K129</f>
        <v>0</v>
      </c>
      <c r="H136" s="27">
        <f>G136+'[2]BM 03'!H136</f>
        <v>0</v>
      </c>
      <c r="I136" s="28">
        <f t="shared" ref="I136:K142" si="42">$E136*F136</f>
        <v>816.64</v>
      </c>
      <c r="J136" s="28">
        <f t="shared" si="42"/>
        <v>0</v>
      </c>
      <c r="K136" s="28">
        <f t="shared" si="4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04'!K130</f>
        <v>0</v>
      </c>
      <c r="H137" s="27">
        <f>G137+'[2]BM 03'!H137</f>
        <v>0</v>
      </c>
      <c r="I137" s="28">
        <f t="shared" si="42"/>
        <v>352.6</v>
      </c>
      <c r="J137" s="28">
        <f t="shared" si="42"/>
        <v>0</v>
      </c>
      <c r="K137" s="28">
        <f t="shared" si="4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04'!K131</f>
        <v>0</v>
      </c>
      <c r="H138" s="27">
        <f>G138+'[2]BM 03'!H138</f>
        <v>0</v>
      </c>
      <c r="I138" s="28">
        <f t="shared" si="42"/>
        <v>184.89000000000001</v>
      </c>
      <c r="J138" s="28">
        <f t="shared" si="42"/>
        <v>0</v>
      </c>
      <c r="K138" s="28">
        <f t="shared" si="4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04'!K132</f>
        <v>0</v>
      </c>
      <c r="H139" s="27">
        <f>G139+'[2]BM 03'!H139</f>
        <v>0</v>
      </c>
      <c r="I139" s="28">
        <f t="shared" si="42"/>
        <v>165.94</v>
      </c>
      <c r="J139" s="28">
        <f t="shared" si="42"/>
        <v>0</v>
      </c>
      <c r="K139" s="28">
        <f t="shared" si="4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04'!K133</f>
        <v>0</v>
      </c>
      <c r="H140" s="27">
        <f>G140+'[2]BM 03'!H140</f>
        <v>0</v>
      </c>
      <c r="I140" s="28">
        <f t="shared" si="42"/>
        <v>95.9</v>
      </c>
      <c r="J140" s="28">
        <f t="shared" si="42"/>
        <v>0</v>
      </c>
      <c r="K140" s="28">
        <f t="shared" si="4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04'!K134</f>
        <v>0</v>
      </c>
      <c r="H141" s="27">
        <f>G141+'[2]BM 03'!H141</f>
        <v>0</v>
      </c>
      <c r="I141" s="28">
        <f t="shared" si="42"/>
        <v>147</v>
      </c>
      <c r="J141" s="28">
        <f t="shared" si="42"/>
        <v>0</v>
      </c>
      <c r="K141" s="28">
        <f t="shared" si="4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04'!K135</f>
        <v>0</v>
      </c>
      <c r="H142" s="27">
        <f>G142+'[2]BM 03'!H142</f>
        <v>0</v>
      </c>
      <c r="I142" s="28">
        <f t="shared" si="42"/>
        <v>215.45000000000002</v>
      </c>
      <c r="J142" s="28">
        <f t="shared" si="42"/>
        <v>0</v>
      </c>
      <c r="K142" s="28">
        <f t="shared" si="4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3">SUM(J144:J154)</f>
        <v>0</v>
      </c>
      <c r="K143" s="41">
        <f t="shared" si="43"/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04'!K137</f>
        <v>0</v>
      </c>
      <c r="H144" s="27">
        <f>G144+'[2]BM 03'!H144</f>
        <v>0</v>
      </c>
      <c r="I144" s="28">
        <f t="shared" ref="I144:K154" si="44">$E144*F144</f>
        <v>1122.6600000000001</v>
      </c>
      <c r="J144" s="28">
        <f t="shared" si="44"/>
        <v>0</v>
      </c>
      <c r="K144" s="28">
        <f t="shared" si="44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04'!K138</f>
        <v>0</v>
      </c>
      <c r="H145" s="27">
        <f>G145+'[2]BM 03'!H145</f>
        <v>0</v>
      </c>
      <c r="I145" s="28">
        <f t="shared" si="44"/>
        <v>1325.3899999999999</v>
      </c>
      <c r="J145" s="28">
        <f t="shared" si="44"/>
        <v>0</v>
      </c>
      <c r="K145" s="28">
        <f t="shared" si="44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04'!K139</f>
        <v>0</v>
      </c>
      <c r="H146" s="27">
        <f>G146+'[2]BM 03'!H146</f>
        <v>0</v>
      </c>
      <c r="I146" s="28">
        <f t="shared" si="44"/>
        <v>140.57999999999998</v>
      </c>
      <c r="J146" s="28">
        <f t="shared" si="44"/>
        <v>0</v>
      </c>
      <c r="K146" s="28">
        <f t="shared" si="44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04'!K140</f>
        <v>0</v>
      </c>
      <c r="H147" s="27">
        <f>G147+'[2]BM 03'!H147</f>
        <v>0</v>
      </c>
      <c r="I147" s="28">
        <f t="shared" si="44"/>
        <v>835.66</v>
      </c>
      <c r="J147" s="28">
        <f t="shared" si="44"/>
        <v>0</v>
      </c>
      <c r="K147" s="28">
        <f t="shared" si="44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04'!K141</f>
        <v>0</v>
      </c>
      <c r="H148" s="27">
        <f>G148+'[2]BM 03'!H148</f>
        <v>0</v>
      </c>
      <c r="I148" s="28">
        <f t="shared" si="44"/>
        <v>863.64</v>
      </c>
      <c r="J148" s="28">
        <f t="shared" si="44"/>
        <v>0</v>
      </c>
      <c r="K148" s="28">
        <f t="shared" si="44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04'!K142</f>
        <v>0</v>
      </c>
      <c r="H149" s="27">
        <f>G149+'[2]BM 03'!H149</f>
        <v>0</v>
      </c>
      <c r="I149" s="28">
        <f t="shared" si="44"/>
        <v>497.35</v>
      </c>
      <c r="J149" s="28">
        <f t="shared" si="44"/>
        <v>0</v>
      </c>
      <c r="K149" s="28">
        <f t="shared" si="44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04'!K143</f>
        <v>0</v>
      </c>
      <c r="H150" s="27">
        <f>G150+'[2]BM 03'!H150</f>
        <v>0</v>
      </c>
      <c r="I150" s="28">
        <f t="shared" si="44"/>
        <v>284.01</v>
      </c>
      <c r="J150" s="28">
        <f t="shared" si="44"/>
        <v>0</v>
      </c>
      <c r="K150" s="28">
        <f t="shared" si="44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04'!K144</f>
        <v>0</v>
      </c>
      <c r="H151" s="27">
        <f>G151+'[2]BM 03'!H151</f>
        <v>0</v>
      </c>
      <c r="I151" s="28">
        <f t="shared" si="44"/>
        <v>9.86</v>
      </c>
      <c r="J151" s="28">
        <f t="shared" si="44"/>
        <v>0</v>
      </c>
      <c r="K151" s="28">
        <f t="shared" si="44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04'!K145</f>
        <v>0</v>
      </c>
      <c r="H152" s="27">
        <f>G152+'[2]BM 03'!H152</f>
        <v>0</v>
      </c>
      <c r="I152" s="28">
        <f t="shared" si="44"/>
        <v>318.08</v>
      </c>
      <c r="J152" s="28">
        <f t="shared" si="44"/>
        <v>0</v>
      </c>
      <c r="K152" s="28">
        <f t="shared" si="44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04'!K146</f>
        <v>0</v>
      </c>
      <c r="H153" s="27">
        <f>G153+'[2]BM 03'!H153</f>
        <v>0</v>
      </c>
      <c r="I153" s="28">
        <f t="shared" si="44"/>
        <v>161.66999999999999</v>
      </c>
      <c r="J153" s="28">
        <f t="shared" si="44"/>
        <v>0</v>
      </c>
      <c r="K153" s="28">
        <f t="shared" si="44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04'!K147</f>
        <v>0</v>
      </c>
      <c r="H154" s="27">
        <f>G154+'[2]BM 03'!H154</f>
        <v>0</v>
      </c>
      <c r="I154" s="28">
        <f t="shared" si="44"/>
        <v>542.01</v>
      </c>
      <c r="J154" s="28">
        <f t="shared" si="44"/>
        <v>0</v>
      </c>
      <c r="K154" s="28">
        <f t="shared" si="44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5">J156+J177+J192+J201+J206</f>
        <v>0</v>
      </c>
      <c r="K155" s="63">
        <f t="shared" si="45"/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 t="shared" ref="J156:K156" si="46">SUM(J157:J176)</f>
        <v>0</v>
      </c>
      <c r="K156" s="41">
        <f t="shared" si="46"/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04'!K150</f>
        <v>0</v>
      </c>
      <c r="H157" s="27">
        <f>G157+'[2]BM 03'!H157</f>
        <v>0</v>
      </c>
      <c r="I157" s="28">
        <f t="shared" ref="I157:K172" si="47">$E157*F157</f>
        <v>351.46</v>
      </c>
      <c r="J157" s="28">
        <f t="shared" si="47"/>
        <v>0</v>
      </c>
      <c r="K157" s="28">
        <f t="shared" si="4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04'!K151</f>
        <v>0</v>
      </c>
      <c r="H158" s="27">
        <f>G158+'[2]BM 03'!H158</f>
        <v>0</v>
      </c>
      <c r="I158" s="28">
        <f t="shared" si="47"/>
        <v>9.44</v>
      </c>
      <c r="J158" s="28">
        <f t="shared" si="47"/>
        <v>0</v>
      </c>
      <c r="K158" s="28">
        <f t="shared" si="4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04'!K152</f>
        <v>0</v>
      </c>
      <c r="H159" s="27">
        <f>G159+'[2]BM 03'!H159</f>
        <v>0</v>
      </c>
      <c r="I159" s="28">
        <f t="shared" si="47"/>
        <v>1171.04</v>
      </c>
      <c r="J159" s="28">
        <f t="shared" si="47"/>
        <v>0</v>
      </c>
      <c r="K159" s="28">
        <f t="shared" si="4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04'!K153</f>
        <v>0</v>
      </c>
      <c r="H160" s="27">
        <f>G160+'[2]BM 03'!H160</f>
        <v>0</v>
      </c>
      <c r="I160" s="28">
        <f t="shared" si="47"/>
        <v>305.85000000000002</v>
      </c>
      <c r="J160" s="28">
        <f t="shared" si="47"/>
        <v>0</v>
      </c>
      <c r="K160" s="28">
        <f t="shared" si="4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04'!K154</f>
        <v>0</v>
      </c>
      <c r="H161" s="27">
        <f>G161+'[2]BM 03'!H161</f>
        <v>0</v>
      </c>
      <c r="I161" s="28">
        <f t="shared" si="47"/>
        <v>1438.44</v>
      </c>
      <c r="J161" s="28">
        <f t="shared" si="47"/>
        <v>0</v>
      </c>
      <c r="K161" s="28">
        <f t="shared" si="4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04'!K155</f>
        <v>0</v>
      </c>
      <c r="H162" s="27">
        <f>G162+'[2]BM 03'!H162</f>
        <v>0</v>
      </c>
      <c r="I162" s="28">
        <f t="shared" si="47"/>
        <v>2430.9</v>
      </c>
      <c r="J162" s="28">
        <f t="shared" si="47"/>
        <v>0</v>
      </c>
      <c r="K162" s="28">
        <f t="shared" si="4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04'!K156</f>
        <v>0</v>
      </c>
      <c r="H163" s="27">
        <f>G163+'[2]BM 03'!H163</f>
        <v>0</v>
      </c>
      <c r="I163" s="28">
        <f t="shared" si="47"/>
        <v>1594.6000000000001</v>
      </c>
      <c r="J163" s="28">
        <f t="shared" si="47"/>
        <v>0</v>
      </c>
      <c r="K163" s="28">
        <f t="shared" si="4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04'!K157</f>
        <v>0</v>
      </c>
      <c r="H164" s="27">
        <f>G164+'[2]BM 03'!H164</f>
        <v>0</v>
      </c>
      <c r="I164" s="28">
        <f t="shared" si="47"/>
        <v>594.57999999999993</v>
      </c>
      <c r="J164" s="28">
        <f t="shared" si="47"/>
        <v>0</v>
      </c>
      <c r="K164" s="28">
        <f t="shared" si="4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04'!K158</f>
        <v>0</v>
      </c>
      <c r="H165" s="27">
        <f>G165+'[2]BM 03'!H165</f>
        <v>0</v>
      </c>
      <c r="I165" s="28">
        <f t="shared" si="47"/>
        <v>1009.45</v>
      </c>
      <c r="J165" s="28">
        <f t="shared" si="47"/>
        <v>0</v>
      </c>
      <c r="K165" s="28">
        <f t="shared" si="4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04'!K159</f>
        <v>0</v>
      </c>
      <c r="H166" s="27">
        <f>G166+'[2]BM 03'!H166</f>
        <v>0</v>
      </c>
      <c r="I166" s="28">
        <f t="shared" si="47"/>
        <v>598.77</v>
      </c>
      <c r="J166" s="28">
        <f t="shared" si="47"/>
        <v>0</v>
      </c>
      <c r="K166" s="28">
        <f t="shared" si="4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04'!K160</f>
        <v>0</v>
      </c>
      <c r="H167" s="27">
        <f>G167+'[2]BM 03'!H167</f>
        <v>0</v>
      </c>
      <c r="I167" s="28">
        <f t="shared" si="47"/>
        <v>5320.26</v>
      </c>
      <c r="J167" s="28">
        <f t="shared" si="47"/>
        <v>0</v>
      </c>
      <c r="K167" s="28">
        <f t="shared" si="4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04'!K161</f>
        <v>0</v>
      </c>
      <c r="H168" s="27">
        <f>G168+'[2]BM 03'!H168</f>
        <v>0</v>
      </c>
      <c r="I168" s="28">
        <f t="shared" si="47"/>
        <v>1008.4230000000001</v>
      </c>
      <c r="J168" s="28">
        <f t="shared" si="47"/>
        <v>0</v>
      </c>
      <c r="K168" s="28">
        <f t="shared" si="4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04'!K162</f>
        <v>0</v>
      </c>
      <c r="H169" s="27">
        <f>G169+'[2]BM 03'!H169</f>
        <v>0</v>
      </c>
      <c r="I169" s="28">
        <f t="shared" si="47"/>
        <v>2264.808</v>
      </c>
      <c r="J169" s="28">
        <f t="shared" si="47"/>
        <v>0</v>
      </c>
      <c r="K169" s="28">
        <f t="shared" si="4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04'!K163</f>
        <v>0</v>
      </c>
      <c r="H170" s="27">
        <f>G170+'[2]BM 03'!H170</f>
        <v>0</v>
      </c>
      <c r="I170" s="28">
        <f t="shared" si="47"/>
        <v>715.99</v>
      </c>
      <c r="J170" s="28">
        <f t="shared" si="47"/>
        <v>0</v>
      </c>
      <c r="K170" s="28">
        <f t="shared" si="4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04'!K164</f>
        <v>0</v>
      </c>
      <c r="H171" s="27">
        <f>G171+'[2]BM 03'!H171</f>
        <v>0</v>
      </c>
      <c r="I171" s="28">
        <f t="shared" si="47"/>
        <v>2123.52</v>
      </c>
      <c r="J171" s="28">
        <f t="shared" si="47"/>
        <v>0</v>
      </c>
      <c r="K171" s="28">
        <f t="shared" si="4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04'!K165</f>
        <v>0</v>
      </c>
      <c r="H172" s="27">
        <f>G172+'[2]BM 03'!H172</f>
        <v>0</v>
      </c>
      <c r="I172" s="28">
        <f t="shared" si="47"/>
        <v>550.42000000000007</v>
      </c>
      <c r="J172" s="28">
        <f t="shared" si="47"/>
        <v>0</v>
      </c>
      <c r="K172" s="28">
        <f t="shared" si="4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04'!K166</f>
        <v>0</v>
      </c>
      <c r="H173" s="27">
        <f>G173+'[2]BM 03'!H173</f>
        <v>0</v>
      </c>
      <c r="I173" s="28">
        <f t="shared" ref="I173:K176" si="48">$E173*F173</f>
        <v>181.76</v>
      </c>
      <c r="J173" s="28">
        <f t="shared" si="48"/>
        <v>0</v>
      </c>
      <c r="K173" s="28">
        <f t="shared" si="4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04'!K167</f>
        <v>0</v>
      </c>
      <c r="H174" s="27">
        <f>G174+'[2]BM 03'!H174</f>
        <v>0</v>
      </c>
      <c r="I174" s="28">
        <f t="shared" si="48"/>
        <v>770.40000000000009</v>
      </c>
      <c r="J174" s="28">
        <f t="shared" si="48"/>
        <v>0</v>
      </c>
      <c r="K174" s="28">
        <f t="shared" si="4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04'!K168</f>
        <v>0</v>
      </c>
      <c r="H175" s="27">
        <f>G175+'[2]BM 03'!H175</f>
        <v>0</v>
      </c>
      <c r="I175" s="28">
        <f t="shared" si="48"/>
        <v>152.56</v>
      </c>
      <c r="J175" s="28">
        <f t="shared" si="48"/>
        <v>0</v>
      </c>
      <c r="K175" s="28">
        <f t="shared" si="4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04'!K169</f>
        <v>0</v>
      </c>
      <c r="H176" s="27">
        <f>G176+'[2]BM 03'!H176</f>
        <v>0</v>
      </c>
      <c r="I176" s="28">
        <f t="shared" si="48"/>
        <v>867.48</v>
      </c>
      <c r="J176" s="28">
        <f t="shared" si="48"/>
        <v>0</v>
      </c>
      <c r="K176" s="28">
        <f t="shared" si="4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 t="shared" ref="J177:K177" si="49">SUM(J178:J191)</f>
        <v>0</v>
      </c>
      <c r="K177" s="41">
        <f t="shared" si="49"/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04'!K171</f>
        <v>0</v>
      </c>
      <c r="H178" s="27">
        <f>G178+'[2]BM 03'!H178</f>
        <v>0</v>
      </c>
      <c r="I178" s="28">
        <f t="shared" ref="I178:K191" si="50">$E178*F178</f>
        <v>1380.75</v>
      </c>
      <c r="J178" s="28">
        <f t="shared" si="50"/>
        <v>0</v>
      </c>
      <c r="K178" s="28">
        <f t="shared" si="50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04'!K172</f>
        <v>0</v>
      </c>
      <c r="H179" s="27">
        <f>G179+'[2]BM 03'!H179</f>
        <v>0</v>
      </c>
      <c r="I179" s="28">
        <f t="shared" si="50"/>
        <v>74.37</v>
      </c>
      <c r="J179" s="28">
        <f t="shared" si="50"/>
        <v>0</v>
      </c>
      <c r="K179" s="28">
        <f t="shared" si="50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04'!K173</f>
        <v>0</v>
      </c>
      <c r="H180" s="27">
        <f>G180+'[2]BM 03'!H180</f>
        <v>0</v>
      </c>
      <c r="I180" s="28">
        <f t="shared" si="50"/>
        <v>45.19</v>
      </c>
      <c r="J180" s="28">
        <f t="shared" si="50"/>
        <v>0</v>
      </c>
      <c r="K180" s="28">
        <f t="shared" si="50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04'!K174</f>
        <v>0</v>
      </c>
      <c r="H181" s="27">
        <f>G181+'[2]BM 03'!H181</f>
        <v>0</v>
      </c>
      <c r="I181" s="28">
        <f t="shared" si="50"/>
        <v>11.73</v>
      </c>
      <c r="J181" s="28">
        <f t="shared" si="50"/>
        <v>0</v>
      </c>
      <c r="K181" s="28">
        <f t="shared" si="50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04'!K175</f>
        <v>0</v>
      </c>
      <c r="H182" s="27">
        <f>G182+'[2]BM 03'!H182</f>
        <v>0</v>
      </c>
      <c r="I182" s="28">
        <f t="shared" si="50"/>
        <v>1438.95</v>
      </c>
      <c r="J182" s="28">
        <f t="shared" si="50"/>
        <v>0</v>
      </c>
      <c r="K182" s="28">
        <f t="shared" si="50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04'!K176</f>
        <v>0</v>
      </c>
      <c r="H183" s="27">
        <f>G183+'[2]BM 03'!H183</f>
        <v>0</v>
      </c>
      <c r="I183" s="28">
        <f t="shared" si="50"/>
        <v>95.64</v>
      </c>
      <c r="J183" s="28">
        <f t="shared" si="50"/>
        <v>0</v>
      </c>
      <c r="K183" s="28">
        <f t="shared" si="50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04'!K177</f>
        <v>0</v>
      </c>
      <c r="H184" s="27">
        <f>G184+'[2]BM 03'!H184</f>
        <v>0</v>
      </c>
      <c r="I184" s="28">
        <f t="shared" si="50"/>
        <v>230.64</v>
      </c>
      <c r="J184" s="28">
        <f t="shared" si="50"/>
        <v>0</v>
      </c>
      <c r="K184" s="28">
        <f t="shared" si="50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04'!K178</f>
        <v>0</v>
      </c>
      <c r="H185" s="27">
        <f>G185+'[2]BM 03'!H185</f>
        <v>0</v>
      </c>
      <c r="I185" s="28">
        <f t="shared" si="50"/>
        <v>307.66000000000003</v>
      </c>
      <c r="J185" s="28">
        <f t="shared" si="50"/>
        <v>0</v>
      </c>
      <c r="K185" s="28">
        <f t="shared" si="50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04'!K179</f>
        <v>0</v>
      </c>
      <c r="H186" s="27">
        <f>G186+'[2]BM 03'!H186</f>
        <v>0</v>
      </c>
      <c r="I186" s="28">
        <f t="shared" si="50"/>
        <v>195.98</v>
      </c>
      <c r="J186" s="28">
        <f t="shared" si="50"/>
        <v>0</v>
      </c>
      <c r="K186" s="28">
        <f t="shared" si="50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04'!K180</f>
        <v>0</v>
      </c>
      <c r="H187" s="27">
        <f>G187+'[2]BM 03'!H187</f>
        <v>0</v>
      </c>
      <c r="I187" s="28">
        <f t="shared" si="50"/>
        <v>65.16</v>
      </c>
      <c r="J187" s="28">
        <f t="shared" si="50"/>
        <v>0</v>
      </c>
      <c r="K187" s="28">
        <f t="shared" si="50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04'!K181</f>
        <v>0</v>
      </c>
      <c r="H188" s="27">
        <f>G188+'[2]BM 03'!H188</f>
        <v>0</v>
      </c>
      <c r="I188" s="28">
        <f t="shared" si="50"/>
        <v>301.19</v>
      </c>
      <c r="J188" s="28">
        <f t="shared" si="50"/>
        <v>0</v>
      </c>
      <c r="K188" s="28">
        <f t="shared" si="50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04'!K182</f>
        <v>0</v>
      </c>
      <c r="H189" s="27">
        <f>G189+'[2]BM 03'!H189</f>
        <v>0</v>
      </c>
      <c r="I189" s="28">
        <f t="shared" si="50"/>
        <v>80.14</v>
      </c>
      <c r="J189" s="28">
        <f t="shared" si="50"/>
        <v>0</v>
      </c>
      <c r="K189" s="28">
        <f t="shared" si="50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04'!K183</f>
        <v>0</v>
      </c>
      <c r="H190" s="27">
        <f>G190+'[2]BM 03'!H190</f>
        <v>0</v>
      </c>
      <c r="I190" s="28">
        <f t="shared" si="50"/>
        <v>41.3</v>
      </c>
      <c r="J190" s="28">
        <f t="shared" si="50"/>
        <v>0</v>
      </c>
      <c r="K190" s="28">
        <f t="shared" si="50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04'!K184</f>
        <v>0</v>
      </c>
      <c r="H191" s="27">
        <f>G191+'[2]BM 03'!H191</f>
        <v>0</v>
      </c>
      <c r="I191" s="28">
        <f t="shared" si="50"/>
        <v>56.5</v>
      </c>
      <c r="J191" s="28">
        <f t="shared" si="50"/>
        <v>0</v>
      </c>
      <c r="K191" s="28">
        <f t="shared" si="50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 t="shared" ref="J192:K192" si="51">SUM(J193:J200)</f>
        <v>0</v>
      </c>
      <c r="K192" s="41">
        <f t="shared" si="51"/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04'!K186</f>
        <v>0</v>
      </c>
      <c r="H193" s="27">
        <f>G193+'[2]BM 03'!H193</f>
        <v>0</v>
      </c>
      <c r="I193" s="28">
        <f t="shared" ref="I193:K200" si="52">$E193*F193</f>
        <v>135.52000000000001</v>
      </c>
      <c r="J193" s="28">
        <f t="shared" si="52"/>
        <v>0</v>
      </c>
      <c r="K193" s="28">
        <f t="shared" si="52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04'!K187</f>
        <v>0</v>
      </c>
      <c r="H194" s="27">
        <f>G194+'[2]BM 03'!H194</f>
        <v>0</v>
      </c>
      <c r="I194" s="28">
        <f t="shared" si="52"/>
        <v>1265.05</v>
      </c>
      <c r="J194" s="28">
        <f t="shared" si="52"/>
        <v>0</v>
      </c>
      <c r="K194" s="28">
        <f t="shared" si="52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04'!K188</f>
        <v>0</v>
      </c>
      <c r="H195" s="27">
        <f>G195+'[2]BM 03'!H195</f>
        <v>0</v>
      </c>
      <c r="I195" s="28">
        <f t="shared" si="52"/>
        <v>1294.72</v>
      </c>
      <c r="J195" s="28">
        <f t="shared" si="52"/>
        <v>0</v>
      </c>
      <c r="K195" s="28">
        <f t="shared" si="52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04'!K189</f>
        <v>0</v>
      </c>
      <c r="H196" s="27">
        <f>G196+'[2]BM 03'!H196</f>
        <v>0</v>
      </c>
      <c r="I196" s="28">
        <f t="shared" si="52"/>
        <v>6864.26</v>
      </c>
      <c r="J196" s="28">
        <f t="shared" si="52"/>
        <v>0</v>
      </c>
      <c r="K196" s="28">
        <f t="shared" si="52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04'!K190</f>
        <v>0</v>
      </c>
      <c r="H197" s="27">
        <f>G197+'[2]BM 03'!H197</f>
        <v>0</v>
      </c>
      <c r="I197" s="28">
        <f t="shared" si="52"/>
        <v>45.19</v>
      </c>
      <c r="J197" s="28">
        <f t="shared" si="52"/>
        <v>0</v>
      </c>
      <c r="K197" s="28">
        <f t="shared" si="52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04'!K191</f>
        <v>0</v>
      </c>
      <c r="H198" s="27">
        <f>G198+'[2]BM 03'!H198</f>
        <v>0</v>
      </c>
      <c r="I198" s="28">
        <f t="shared" si="52"/>
        <v>11.73</v>
      </c>
      <c r="J198" s="28">
        <f t="shared" si="52"/>
        <v>0</v>
      </c>
      <c r="K198" s="28">
        <f t="shared" si="52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04'!K192</f>
        <v>0</v>
      </c>
      <c r="H199" s="27">
        <f>G199+'[2]BM 03'!H199</f>
        <v>0</v>
      </c>
      <c r="I199" s="28">
        <f t="shared" si="52"/>
        <v>82.6</v>
      </c>
      <c r="J199" s="28">
        <f t="shared" si="52"/>
        <v>0</v>
      </c>
      <c r="K199" s="28">
        <f t="shared" si="52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04'!K193</f>
        <v>0</v>
      </c>
      <c r="H200" s="27">
        <f>G200+'[2]BM 03'!H200</f>
        <v>0</v>
      </c>
      <c r="I200" s="28">
        <f t="shared" si="52"/>
        <v>344.07</v>
      </c>
      <c r="J200" s="28">
        <f t="shared" si="52"/>
        <v>0</v>
      </c>
      <c r="K200" s="28">
        <f t="shared" si="52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 t="shared" ref="J201:K201" si="53">SUM(J202:J205)</f>
        <v>0</v>
      </c>
      <c r="K201" s="41">
        <f t="shared" si="53"/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04'!K195</f>
        <v>0</v>
      </c>
      <c r="H202" s="27">
        <f>G202+'[2]BM 03'!H202</f>
        <v>0</v>
      </c>
      <c r="I202" s="28">
        <f t="shared" ref="I202:K205" si="54">$E202*F202</f>
        <v>4535.9399999999996</v>
      </c>
      <c r="J202" s="28">
        <f t="shared" si="54"/>
        <v>0</v>
      </c>
      <c r="K202" s="28">
        <f t="shared" si="54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04'!K196</f>
        <v>0</v>
      </c>
      <c r="H203" s="27">
        <f>G203+'[2]BM 03'!H203</f>
        <v>0</v>
      </c>
      <c r="I203" s="28">
        <f t="shared" si="54"/>
        <v>629.15</v>
      </c>
      <c r="J203" s="28">
        <f t="shared" si="54"/>
        <v>0</v>
      </c>
      <c r="K203" s="28">
        <f t="shared" si="54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04'!K197</f>
        <v>0</v>
      </c>
      <c r="H204" s="27">
        <f>G204+'[2]BM 03'!H204</f>
        <v>0</v>
      </c>
      <c r="I204" s="28">
        <f t="shared" si="54"/>
        <v>2589.1000000000004</v>
      </c>
      <c r="J204" s="28">
        <f t="shared" si="54"/>
        <v>0</v>
      </c>
      <c r="K204" s="28">
        <f t="shared" si="54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04'!K198</f>
        <v>0</v>
      </c>
      <c r="H205" s="27">
        <f>G205+'[2]BM 03'!H205</f>
        <v>0</v>
      </c>
      <c r="I205" s="28">
        <f t="shared" si="54"/>
        <v>388.8</v>
      </c>
      <c r="J205" s="28">
        <f t="shared" si="54"/>
        <v>0</v>
      </c>
      <c r="K205" s="28">
        <f t="shared" si="54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 t="shared" ref="J206:K206" si="55">SUM(J207:J211)</f>
        <v>0</v>
      </c>
      <c r="K206" s="41">
        <f t="shared" si="55"/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04'!K200</f>
        <v>0</v>
      </c>
      <c r="H207" s="27">
        <f>G207+'[2]BM 03'!H207</f>
        <v>0</v>
      </c>
      <c r="I207" s="28">
        <f t="shared" ref="I207:K211" si="56">$E207*F207</f>
        <v>2723.04</v>
      </c>
      <c r="J207" s="28">
        <f t="shared" si="56"/>
        <v>0</v>
      </c>
      <c r="K207" s="28">
        <f t="shared" si="56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04'!K201</f>
        <v>0</v>
      </c>
      <c r="H208" s="27">
        <f>G208+'[2]BM 03'!H208</f>
        <v>0</v>
      </c>
      <c r="I208" s="28">
        <f t="shared" si="56"/>
        <v>1292.912</v>
      </c>
      <c r="J208" s="28">
        <f t="shared" si="56"/>
        <v>0</v>
      </c>
      <c r="K208" s="28">
        <f t="shared" si="56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04'!K202</f>
        <v>0</v>
      </c>
      <c r="H209" s="27">
        <f>G209+'[2]BM 03'!H209</f>
        <v>0</v>
      </c>
      <c r="I209" s="28">
        <f t="shared" si="56"/>
        <v>1579.8999999999999</v>
      </c>
      <c r="J209" s="28">
        <f t="shared" si="56"/>
        <v>0</v>
      </c>
      <c r="K209" s="28">
        <f t="shared" si="56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04'!K203</f>
        <v>0</v>
      </c>
      <c r="H210" s="27">
        <f>G210+'[2]BM 03'!H210</f>
        <v>0</v>
      </c>
      <c r="I210" s="28">
        <f t="shared" si="56"/>
        <v>7371.21</v>
      </c>
      <c r="J210" s="28">
        <f t="shared" si="56"/>
        <v>0</v>
      </c>
      <c r="K210" s="28">
        <f t="shared" si="56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04'!K204</f>
        <v>0</v>
      </c>
      <c r="H211" s="27">
        <f>G211+'[2]BM 03'!H211</f>
        <v>0</v>
      </c>
      <c r="I211" s="28">
        <f t="shared" si="56"/>
        <v>5894.83</v>
      </c>
      <c r="J211" s="28">
        <f t="shared" si="56"/>
        <v>0</v>
      </c>
      <c r="K211" s="28">
        <f t="shared" si="56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04'!K206</f>
        <v>0</v>
      </c>
      <c r="H213" s="27">
        <f>G213+'[2]BM 03'!H213</f>
        <v>0</v>
      </c>
      <c r="I213" s="28">
        <f>$E213*F213</f>
        <v>957.6</v>
      </c>
      <c r="J213" s="28">
        <f t="shared" ref="J213:K215" si="57">$E213*G213</f>
        <v>0</v>
      </c>
      <c r="K213" s="28">
        <f t="shared" si="57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04'!K207</f>
        <v>0</v>
      </c>
      <c r="H214" s="27">
        <f>G214+'[2]BM 03'!H214</f>
        <v>0</v>
      </c>
      <c r="I214" s="28">
        <f t="shared" ref="I214:I215" si="58">$E214*F214</f>
        <v>54.36</v>
      </c>
      <c r="J214" s="28">
        <f t="shared" si="57"/>
        <v>0</v>
      </c>
      <c r="K214" s="28">
        <f t="shared" si="57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04'!K208</f>
        <v>0</v>
      </c>
      <c r="H215" s="27">
        <f>G215+'[2]BM 03'!H215</f>
        <v>0</v>
      </c>
      <c r="I215" s="28">
        <f t="shared" si="58"/>
        <v>489.79999999999995</v>
      </c>
      <c r="J215" s="28">
        <f t="shared" si="57"/>
        <v>0</v>
      </c>
      <c r="K215" s="28">
        <f t="shared" si="57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04'!K210</f>
        <v>0</v>
      </c>
      <c r="H217" s="27">
        <f>G217+'[2]BM 03'!H217</f>
        <v>0</v>
      </c>
      <c r="I217" s="28">
        <f>$E217*F217</f>
        <v>250.53</v>
      </c>
      <c r="J217" s="28">
        <f t="shared" ref="J217:K222" si="59">$E217*G217</f>
        <v>0</v>
      </c>
      <c r="K217" s="28">
        <f t="shared" si="59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04'!K211</f>
        <v>0</v>
      </c>
      <c r="H218" s="27">
        <f>G218+'[2]BM 03'!H218</f>
        <v>0</v>
      </c>
      <c r="I218" s="28">
        <f t="shared" ref="I218:I222" si="60">$E218*F218</f>
        <v>29.96</v>
      </c>
      <c r="J218" s="28">
        <f t="shared" si="59"/>
        <v>0</v>
      </c>
      <c r="K218" s="28">
        <f t="shared" si="59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04'!K212</f>
        <v>0</v>
      </c>
      <c r="H219" s="27">
        <f>G219+'[2]BM 03'!H219</f>
        <v>0</v>
      </c>
      <c r="I219" s="28">
        <f t="shared" si="60"/>
        <v>35.880000000000003</v>
      </c>
      <c r="J219" s="28">
        <f t="shared" si="59"/>
        <v>0</v>
      </c>
      <c r="K219" s="28">
        <f t="shared" si="59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04'!K213</f>
        <v>0</v>
      </c>
      <c r="H220" s="27">
        <f>G220+'[2]BM 03'!H220</f>
        <v>0</v>
      </c>
      <c r="I220" s="28">
        <f t="shared" si="60"/>
        <v>58.95</v>
      </c>
      <c r="J220" s="28">
        <f t="shared" si="59"/>
        <v>0</v>
      </c>
      <c r="K220" s="28">
        <f t="shared" si="59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04'!K214</f>
        <v>0</v>
      </c>
      <c r="H221" s="27">
        <f>G221+'[2]BM 03'!H221</f>
        <v>0</v>
      </c>
      <c r="I221" s="28">
        <f t="shared" si="60"/>
        <v>158.19999999999999</v>
      </c>
      <c r="J221" s="28">
        <f t="shared" si="59"/>
        <v>0</v>
      </c>
      <c r="K221" s="28">
        <f t="shared" si="59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04'!K215</f>
        <v>0</v>
      </c>
      <c r="H222" s="27">
        <f>G222+'[2]BM 03'!H222</f>
        <v>0</v>
      </c>
      <c r="I222" s="28">
        <f t="shared" si="60"/>
        <v>31.64</v>
      </c>
      <c r="J222" s="28">
        <f t="shared" si="59"/>
        <v>0</v>
      </c>
      <c r="K222" s="28">
        <f t="shared" si="59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04'!K217</f>
        <v>0</v>
      </c>
      <c r="H224" s="27">
        <f>G224+'[2]BM 03'!H224</f>
        <v>0</v>
      </c>
      <c r="I224" s="28">
        <f>$E224*F224</f>
        <v>324.92</v>
      </c>
      <c r="J224" s="28">
        <f t="shared" ref="J224:K228" si="61">$E224*G224</f>
        <v>0</v>
      </c>
      <c r="K224" s="28">
        <f t="shared" si="61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04'!K218</f>
        <v>0</v>
      </c>
      <c r="H225" s="27">
        <f>G225+'[2]BM 03'!H225</f>
        <v>0</v>
      </c>
      <c r="I225" s="28">
        <f t="shared" ref="I225:I228" si="62">$E225*F225</f>
        <v>167.37</v>
      </c>
      <c r="J225" s="28">
        <f t="shared" si="61"/>
        <v>0</v>
      </c>
      <c r="K225" s="28">
        <f t="shared" si="61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04'!K219</f>
        <v>0</v>
      </c>
      <c r="H226" s="27">
        <f>G226+'[2]BM 03'!H226</f>
        <v>0</v>
      </c>
      <c r="I226" s="28">
        <f t="shared" si="62"/>
        <v>624.68500000000006</v>
      </c>
      <c r="J226" s="28">
        <f t="shared" si="61"/>
        <v>0</v>
      </c>
      <c r="K226" s="28">
        <f t="shared" si="61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04'!K220</f>
        <v>0</v>
      </c>
      <c r="H227" s="27">
        <f>G227+'[2]BM 03'!H227</f>
        <v>0</v>
      </c>
      <c r="I227" s="28">
        <f t="shared" si="62"/>
        <v>200.67060000000001</v>
      </c>
      <c r="J227" s="28">
        <f t="shared" si="61"/>
        <v>0</v>
      </c>
      <c r="K227" s="28">
        <f t="shared" si="61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04'!K221</f>
        <v>0</v>
      </c>
      <c r="H228" s="27">
        <f>G228+'[2]BM 03'!H228</f>
        <v>0</v>
      </c>
      <c r="I228" s="28">
        <f t="shared" si="62"/>
        <v>40.371600000000001</v>
      </c>
      <c r="J228" s="28">
        <f t="shared" si="61"/>
        <v>0</v>
      </c>
      <c r="K228" s="28">
        <f t="shared" si="61"/>
        <v>0</v>
      </c>
      <c r="L228" s="4"/>
    </row>
    <row r="229" spans="2:12" s="5" customFormat="1" ht="15">
      <c r="B229" s="59">
        <v>14</v>
      </c>
      <c r="C229" s="60" t="s">
        <v>495</v>
      </c>
      <c r="D229" s="61"/>
      <c r="E229" s="62"/>
      <c r="F229" s="62"/>
      <c r="G229" s="62"/>
      <c r="H229" s="62"/>
      <c r="I229" s="63">
        <f>I230+I235+I238</f>
        <v>92256.01479175</v>
      </c>
      <c r="J229" s="63">
        <f t="shared" ref="J229:K229" si="63">J230+J235+J238</f>
        <v>0</v>
      </c>
      <c r="K229" s="63">
        <f t="shared" si="63"/>
        <v>69233.863064300007</v>
      </c>
      <c r="L229" s="4"/>
    </row>
    <row r="230" spans="2:12" s="5" customFormat="1" ht="15">
      <c r="B230" s="109" t="s">
        <v>496</v>
      </c>
      <c r="C230" s="44" t="s">
        <v>497</v>
      </c>
      <c r="D230" s="45"/>
      <c r="E230" s="45"/>
      <c r="F230" s="45"/>
      <c r="G230" s="45"/>
      <c r="H230" s="45"/>
      <c r="I230" s="110">
        <f>SUM(I231:I234)</f>
        <v>53075.522384000004</v>
      </c>
      <c r="J230" s="110">
        <f t="shared" ref="J230:K230" si="64">SUM(J231:J234)</f>
        <v>0</v>
      </c>
      <c r="K230" s="110">
        <f t="shared" si="64"/>
        <v>52882.428000000007</v>
      </c>
      <c r="L230" s="4"/>
    </row>
    <row r="231" spans="2:12" s="5" customFormat="1" ht="36">
      <c r="B231" s="109" t="s">
        <v>498</v>
      </c>
      <c r="C231" s="64" t="s">
        <v>499</v>
      </c>
      <c r="D231" s="23" t="s">
        <v>27</v>
      </c>
      <c r="E231" s="35">
        <v>224.02</v>
      </c>
      <c r="F231" s="25">
        <v>191.06</v>
      </c>
      <c r="G231" s="26">
        <f>'[2]Memória 04'!K224</f>
        <v>0</v>
      </c>
      <c r="H231" s="27">
        <f>G231+'[2]BM 03'!H231</f>
        <v>190.2</v>
      </c>
      <c r="I231" s="28">
        <f t="shared" ref="I231:K241" si="65">$E231*F231</f>
        <v>42801.261200000001</v>
      </c>
      <c r="J231" s="28">
        <f t="shared" si="65"/>
        <v>0</v>
      </c>
      <c r="K231" s="28">
        <f t="shared" si="65"/>
        <v>42608.603999999999</v>
      </c>
      <c r="L231" s="4"/>
    </row>
    <row r="232" spans="2:12" s="5" customFormat="1" ht="48">
      <c r="B232" s="109" t="s">
        <v>500</v>
      </c>
      <c r="C232" s="64" t="s">
        <v>501</v>
      </c>
      <c r="D232" s="23" t="s">
        <v>27</v>
      </c>
      <c r="E232" s="35">
        <v>109.37</v>
      </c>
      <c r="F232" s="25">
        <v>75.20320000000001</v>
      </c>
      <c r="G232" s="26">
        <f>'[2]Memória 04'!K225</f>
        <v>0</v>
      </c>
      <c r="H232" s="27">
        <f>G232+'[2]BM 03'!H232</f>
        <v>75.2</v>
      </c>
      <c r="I232" s="28">
        <f t="shared" si="65"/>
        <v>8224.973984000002</v>
      </c>
      <c r="J232" s="28">
        <f t="shared" si="65"/>
        <v>0</v>
      </c>
      <c r="K232" s="28">
        <f t="shared" si="65"/>
        <v>8224.6239999999998</v>
      </c>
      <c r="L232" s="4"/>
    </row>
    <row r="233" spans="2:12" s="5" customFormat="1" ht="24">
      <c r="B233" s="109" t="s">
        <v>502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04'!K226</f>
        <v>0</v>
      </c>
      <c r="H233" s="27">
        <f>G233+'[2]BM 03'!H233</f>
        <v>75.2</v>
      </c>
      <c r="I233" s="28">
        <f t="shared" si="65"/>
        <v>339.16643200000004</v>
      </c>
      <c r="J233" s="28">
        <f t="shared" si="65"/>
        <v>0</v>
      </c>
      <c r="K233" s="28">
        <f t="shared" si="65"/>
        <v>339.15199999999999</v>
      </c>
      <c r="L233" s="4"/>
    </row>
    <row r="234" spans="2:12" s="5" customFormat="1" ht="24">
      <c r="B234" s="109" t="s">
        <v>503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04'!K227</f>
        <v>0</v>
      </c>
      <c r="H234" s="27">
        <f>G234+'[2]BM 03'!H234</f>
        <v>75.2</v>
      </c>
      <c r="I234" s="28">
        <f t="shared" si="65"/>
        <v>1710.120768</v>
      </c>
      <c r="J234" s="28">
        <f t="shared" si="65"/>
        <v>0</v>
      </c>
      <c r="K234" s="28">
        <f t="shared" si="65"/>
        <v>1710.048</v>
      </c>
      <c r="L234" s="4"/>
    </row>
    <row r="235" spans="2:12" s="5" customFormat="1" ht="15">
      <c r="B235" s="109" t="s">
        <v>504</v>
      </c>
      <c r="C235" s="44" t="s">
        <v>505</v>
      </c>
      <c r="D235" s="44"/>
      <c r="E235" s="44"/>
      <c r="F235" s="44"/>
      <c r="G235" s="26">
        <f>'[2]Memória 04'!K228</f>
        <v>0</v>
      </c>
      <c r="H235" s="27">
        <f>G235+'[2]BM 03'!H235</f>
        <v>0</v>
      </c>
      <c r="I235" s="110">
        <f>SUM(I236:I237)</f>
        <v>16351.4350643</v>
      </c>
      <c r="J235" s="110">
        <f t="shared" ref="J235:K235" si="66">SUM(J236:J237)</f>
        <v>0</v>
      </c>
      <c r="K235" s="110">
        <f t="shared" si="66"/>
        <v>16351.4350643</v>
      </c>
      <c r="L235" s="4"/>
    </row>
    <row r="236" spans="2:12" s="5" customFormat="1" ht="48">
      <c r="B236" s="109" t="s">
        <v>506</v>
      </c>
      <c r="C236" s="64" t="s">
        <v>501</v>
      </c>
      <c r="D236" s="23" t="s">
        <v>27</v>
      </c>
      <c r="E236" s="35">
        <v>109.37</v>
      </c>
      <c r="F236" s="25">
        <v>69.099999999999994</v>
      </c>
      <c r="G236" s="26">
        <f>'[2]Memória 04'!K229</f>
        <v>0</v>
      </c>
      <c r="H236" s="27">
        <f>G236+'[2]BM 03'!H236</f>
        <v>69.099999999999994</v>
      </c>
      <c r="I236" s="28">
        <f t="shared" si="65"/>
        <v>7557.4669999999996</v>
      </c>
      <c r="J236" s="28">
        <f t="shared" si="65"/>
        <v>0</v>
      </c>
      <c r="K236" s="28">
        <f t="shared" si="65"/>
        <v>7557.4669999999996</v>
      </c>
      <c r="L236" s="4"/>
    </row>
    <row r="237" spans="2:12" s="5" customFormat="1" ht="36">
      <c r="B237" s="109" t="s">
        <v>507</v>
      </c>
      <c r="C237" s="64" t="s">
        <v>508</v>
      </c>
      <c r="D237" s="23" t="s">
        <v>45</v>
      </c>
      <c r="E237" s="35">
        <v>23.101289999999999</v>
      </c>
      <c r="F237" s="25">
        <v>380.67</v>
      </c>
      <c r="G237" s="26">
        <f>'[2]Memória 04'!K230</f>
        <v>0</v>
      </c>
      <c r="H237" s="27">
        <f>G237+'[2]BM 03'!H237</f>
        <v>380.67</v>
      </c>
      <c r="I237" s="28">
        <f t="shared" si="65"/>
        <v>8793.9680642999992</v>
      </c>
      <c r="J237" s="28">
        <f t="shared" si="65"/>
        <v>0</v>
      </c>
      <c r="K237" s="28">
        <f t="shared" si="65"/>
        <v>8793.9680642999992</v>
      </c>
      <c r="L237" s="4"/>
    </row>
    <row r="238" spans="2:12" s="5" customFormat="1" ht="15">
      <c r="B238" s="109" t="s">
        <v>509</v>
      </c>
      <c r="C238" s="44" t="s">
        <v>510</v>
      </c>
      <c r="D238" s="44"/>
      <c r="E238" s="44"/>
      <c r="F238" s="44"/>
      <c r="G238" s="26">
        <f>'[2]Memória 04'!K231</f>
        <v>0</v>
      </c>
      <c r="H238" s="27">
        <f>G238+'[2]BM 03'!H238</f>
        <v>0</v>
      </c>
      <c r="I238" s="110">
        <f>SUM(I239:I241)</f>
        <v>22829.057343450004</v>
      </c>
      <c r="J238" s="110">
        <f t="shared" ref="J238" si="67">SUM(J239:J241)</f>
        <v>0</v>
      </c>
      <c r="K238" s="110">
        <f>SUM(K239:K241)</f>
        <v>0</v>
      </c>
      <c r="L238" s="4"/>
    </row>
    <row r="239" spans="2:12" s="5" customFormat="1" ht="24">
      <c r="B239" s="109" t="s">
        <v>511</v>
      </c>
      <c r="C239" s="64" t="s">
        <v>512</v>
      </c>
      <c r="D239" s="23" t="s">
        <v>27</v>
      </c>
      <c r="E239" s="35">
        <v>380.10154500000004</v>
      </c>
      <c r="F239" s="25">
        <v>28.36</v>
      </c>
      <c r="G239" s="26">
        <f>'[2]Memória 04'!K232</f>
        <v>0</v>
      </c>
      <c r="H239" s="27">
        <f>G239+'[2]BM 03'!H239</f>
        <v>0</v>
      </c>
      <c r="I239" s="28">
        <f t="shared" si="65"/>
        <v>10779.679816200001</v>
      </c>
      <c r="J239" s="28">
        <f t="shared" si="65"/>
        <v>0</v>
      </c>
      <c r="K239" s="28">
        <f t="shared" si="65"/>
        <v>0</v>
      </c>
      <c r="L239" s="4"/>
    </row>
    <row r="240" spans="2:12" s="5" customFormat="1" ht="14.25">
      <c r="B240" s="109" t="s">
        <v>513</v>
      </c>
      <c r="C240" s="64" t="s">
        <v>514</v>
      </c>
      <c r="D240" s="23" t="s">
        <v>27</v>
      </c>
      <c r="E240" s="35">
        <v>30.500325</v>
      </c>
      <c r="F240" s="25">
        <v>285.93</v>
      </c>
      <c r="G240" s="26">
        <f>'[2]Memória 04'!K233</f>
        <v>0</v>
      </c>
      <c r="H240" s="27">
        <f>G240+'[2]BM 03'!H240</f>
        <v>0</v>
      </c>
      <c r="I240" s="28">
        <f t="shared" si="65"/>
        <v>8720.9579272499996</v>
      </c>
      <c r="J240" s="28">
        <f t="shared" si="65"/>
        <v>0</v>
      </c>
      <c r="K240" s="28">
        <f t="shared" si="65"/>
        <v>0</v>
      </c>
      <c r="L240" s="4"/>
    </row>
    <row r="241" spans="2:12" s="5" customFormat="1" ht="24.75" thickBot="1">
      <c r="B241" s="109" t="s">
        <v>515</v>
      </c>
      <c r="C241" s="64" t="s">
        <v>516</v>
      </c>
      <c r="D241" s="23" t="s">
        <v>27</v>
      </c>
      <c r="E241" s="35">
        <v>416.05245000000002</v>
      </c>
      <c r="F241" s="25">
        <v>8</v>
      </c>
      <c r="G241" s="26">
        <f>'[2]Memória 04'!K234</f>
        <v>0</v>
      </c>
      <c r="H241" s="27">
        <f>G241+'[2]BM 03'!H241</f>
        <v>0</v>
      </c>
      <c r="I241" s="28">
        <f t="shared" si="65"/>
        <v>3328.4196000000002</v>
      </c>
      <c r="J241" s="28">
        <f t="shared" si="65"/>
        <v>0</v>
      </c>
      <c r="K241" s="28">
        <f t="shared" si="65"/>
        <v>0</v>
      </c>
      <c r="L241" s="4"/>
    </row>
    <row r="242" spans="2:12" s="5" customFormat="1" ht="15">
      <c r="B242" s="117" t="s">
        <v>439</v>
      </c>
      <c r="C242" s="118"/>
      <c r="D242" s="118"/>
      <c r="E242" s="118"/>
      <c r="F242" s="118"/>
      <c r="G242" s="118"/>
      <c r="H242" s="119"/>
      <c r="I242" s="66">
        <f>SUM(I223+I216+I212+I155+I105+I86+I56+I52+I48+I32+I25+I20+I11+I229)</f>
        <v>649116.54869174992</v>
      </c>
      <c r="J242" s="66">
        <f t="shared" ref="J242:K242" si="68">SUM(J223+J216+J212+J155+J105+J86+J56+J52+J48+J32+J25+J20+J11+J229)</f>
        <v>107091.18910000002</v>
      </c>
      <c r="K242" s="66">
        <f t="shared" si="68"/>
        <v>234640.1893768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 ht="13.5" thickBot="1">
      <c r="I245" s="70"/>
    </row>
    <row r="246" spans="2:12">
      <c r="B246" s="155" t="s">
        <v>517</v>
      </c>
      <c r="C246" s="156"/>
      <c r="D246" s="156"/>
      <c r="E246" s="156"/>
      <c r="F246" s="156"/>
      <c r="G246" s="156"/>
      <c r="H246" s="156"/>
      <c r="I246" s="156"/>
      <c r="J246" s="156"/>
      <c r="K246" s="157"/>
    </row>
    <row r="247" spans="2:12">
      <c r="B247" s="158"/>
      <c r="C247" s="149"/>
      <c r="D247" s="149"/>
      <c r="E247" s="149"/>
      <c r="F247" s="149"/>
      <c r="G247" s="149"/>
      <c r="H247" s="149"/>
      <c r="I247" s="149"/>
      <c r="J247" s="149"/>
      <c r="K247" s="159"/>
    </row>
    <row r="248" spans="2:12" ht="13.5" thickBot="1">
      <c r="B248" s="160"/>
      <c r="C248" s="161"/>
      <c r="D248" s="161"/>
      <c r="E248" s="161"/>
      <c r="F248" s="161"/>
      <c r="G248" s="161"/>
      <c r="H248" s="161"/>
      <c r="I248" s="161"/>
      <c r="J248" s="161"/>
      <c r="K248" s="162"/>
    </row>
    <row r="249" spans="2:12" hidden="1">
      <c r="B249" s="155" t="s">
        <v>530</v>
      </c>
      <c r="C249" s="156"/>
      <c r="D249" s="156"/>
      <c r="E249" s="156"/>
      <c r="F249" s="156"/>
      <c r="G249" s="156"/>
      <c r="H249" s="156"/>
      <c r="I249" s="156"/>
      <c r="J249" s="156"/>
      <c r="K249" s="157"/>
    </row>
    <row r="250" spans="2:12" hidden="1">
      <c r="B250" s="158"/>
      <c r="C250" s="149"/>
      <c r="D250" s="149"/>
      <c r="E250" s="149"/>
      <c r="F250" s="149"/>
      <c r="G250" s="149"/>
      <c r="H250" s="149"/>
      <c r="I250" s="149"/>
      <c r="J250" s="149"/>
      <c r="K250" s="159"/>
    </row>
    <row r="251" spans="2:12" ht="13.5" hidden="1" thickBot="1">
      <c r="B251" s="160"/>
      <c r="C251" s="161"/>
      <c r="D251" s="161"/>
      <c r="E251" s="161"/>
      <c r="F251" s="161"/>
      <c r="G251" s="161"/>
      <c r="H251" s="161"/>
      <c r="I251" s="161"/>
      <c r="J251" s="161"/>
      <c r="K251" s="162"/>
    </row>
    <row r="252" spans="2:12" ht="16.5" hidden="1" customHeight="1" thickBot="1">
      <c r="G252" s="151" t="s">
        <v>531</v>
      </c>
      <c r="H252" s="152"/>
      <c r="I252" s="152"/>
      <c r="J252" s="153">
        <f>ROUND(J242*1.1157,2)</f>
        <v>119481.64</v>
      </c>
      <c r="K252" s="154"/>
    </row>
    <row r="255" spans="2:12">
      <c r="J255" s="71">
        <f>K242/I242</f>
        <v>0.36147620924116214</v>
      </c>
    </row>
  </sheetData>
  <mergeCells count="23">
    <mergeCell ref="G252:I252"/>
    <mergeCell ref="J252:K252"/>
    <mergeCell ref="B6:C6"/>
    <mergeCell ref="D6:H6"/>
    <mergeCell ref="I6:K6"/>
    <mergeCell ref="B7:C7"/>
    <mergeCell ref="D7:H7"/>
    <mergeCell ref="B8:C8"/>
    <mergeCell ref="D8:H8"/>
    <mergeCell ref="I8:K8"/>
    <mergeCell ref="B9:K9"/>
    <mergeCell ref="C84:D84"/>
    <mergeCell ref="B242:H242"/>
    <mergeCell ref="B246:K248"/>
    <mergeCell ref="B249:K251"/>
    <mergeCell ref="B5:C5"/>
    <mergeCell ref="D5:H5"/>
    <mergeCell ref="I5:K5"/>
    <mergeCell ref="B2:K2"/>
    <mergeCell ref="B3:K3"/>
    <mergeCell ref="B4:C4"/>
    <mergeCell ref="D4:H4"/>
    <mergeCell ref="I4:K4"/>
  </mergeCells>
  <conditionalFormatting sqref="B11:K12 B13:F83 B84:C84 B85:F241">
    <cfRule type="expression" dxfId="23" priority="3">
      <formula>LEN($B11)=1</formula>
    </cfRule>
  </conditionalFormatting>
  <conditionalFormatting sqref="E84:F84">
    <cfRule type="expression" dxfId="22" priority="2">
      <formula>LEN($B84)=1</formula>
    </cfRule>
  </conditionalFormatting>
  <conditionalFormatting sqref="G13:K241">
    <cfRule type="expression" dxfId="21" priority="1">
      <formula>LEN($B13)=1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  <rowBreaks count="3" manualBreakCount="3">
    <brk id="38" min="1" max="10" man="1"/>
    <brk id="85" min="1" max="10" man="1"/>
    <brk id="227" min="1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CA088-3B6F-4F86-89DE-C4EDFBC75531}">
  <dimension ref="A2:N234"/>
  <sheetViews>
    <sheetView view="pageBreakPreview" topLeftCell="A58" zoomScale="80" zoomScaleNormal="100" zoomScaleSheetLayoutView="90" workbookViewId="0">
      <selection activeCell="D42" sqref="D42:J42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9" width="9.140625" style="95"/>
    <col min="10" max="10" width="13.140625" style="95" customWidth="1"/>
    <col min="11" max="16384" width="9.140625" style="5"/>
  </cols>
  <sheetData>
    <row r="2" spans="1:10" ht="15">
      <c r="A2" s="136" t="s">
        <v>532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0" ht="15">
      <c r="A3" s="73" t="s">
        <v>15</v>
      </c>
      <c r="B3" s="74" t="s">
        <v>441</v>
      </c>
      <c r="C3" s="73" t="s">
        <v>17</v>
      </c>
      <c r="D3" s="138" t="s">
        <v>442</v>
      </c>
      <c r="E3" s="138"/>
      <c r="F3" s="138"/>
      <c r="G3" s="138"/>
      <c r="H3" s="138"/>
      <c r="I3" s="138"/>
      <c r="J3" s="138"/>
    </row>
    <row r="4" spans="1:10">
      <c r="A4" s="75">
        <v>1</v>
      </c>
      <c r="B4" s="76" t="s">
        <v>443</v>
      </c>
      <c r="C4" s="77"/>
      <c r="D4" s="133"/>
      <c r="E4" s="133"/>
      <c r="F4" s="133"/>
      <c r="G4" s="133"/>
      <c r="H4" s="133"/>
      <c r="I4" s="133"/>
      <c r="J4" s="133"/>
    </row>
    <row r="5" spans="1:10">
      <c r="A5" s="78" t="s">
        <v>25</v>
      </c>
      <c r="B5" s="79" t="s">
        <v>26</v>
      </c>
      <c r="C5" s="80" t="s">
        <v>27</v>
      </c>
      <c r="D5" s="133"/>
      <c r="E5" s="133"/>
      <c r="F5" s="133"/>
      <c r="G5" s="133"/>
      <c r="H5" s="133"/>
      <c r="I5" s="133"/>
      <c r="J5" s="133"/>
    </row>
    <row r="6" spans="1:10" ht="42.75">
      <c r="A6" s="78" t="s">
        <v>28</v>
      </c>
      <c r="B6" s="79" t="s">
        <v>29</v>
      </c>
      <c r="C6" s="80" t="s">
        <v>27</v>
      </c>
      <c r="D6" s="133"/>
      <c r="E6" s="133"/>
      <c r="F6" s="133"/>
      <c r="G6" s="133"/>
      <c r="H6" s="133"/>
      <c r="I6" s="133"/>
      <c r="J6" s="133"/>
    </row>
    <row r="7" spans="1:10" ht="28.5">
      <c r="A7" s="78" t="s">
        <v>30</v>
      </c>
      <c r="B7" s="81" t="s">
        <v>446</v>
      </c>
      <c r="C7" s="80" t="s">
        <v>27</v>
      </c>
      <c r="D7" s="133"/>
      <c r="E7" s="133"/>
      <c r="F7" s="133"/>
      <c r="G7" s="133"/>
      <c r="H7" s="133"/>
      <c r="I7" s="133"/>
      <c r="J7" s="133"/>
    </row>
    <row r="8" spans="1:10" ht="28.5">
      <c r="A8" s="78" t="s">
        <v>32</v>
      </c>
      <c r="B8" s="81" t="s">
        <v>447</v>
      </c>
      <c r="C8" s="80" t="s">
        <v>27</v>
      </c>
      <c r="D8" s="133"/>
      <c r="E8" s="133"/>
      <c r="F8" s="133"/>
      <c r="G8" s="133"/>
      <c r="H8" s="133"/>
      <c r="I8" s="133"/>
      <c r="J8" s="133"/>
    </row>
    <row r="9" spans="1:10" ht="28.5">
      <c r="A9" s="78" t="s">
        <v>34</v>
      </c>
      <c r="B9" s="79" t="s">
        <v>35</v>
      </c>
      <c r="C9" s="80" t="s">
        <v>36</v>
      </c>
      <c r="D9" s="133"/>
      <c r="E9" s="133"/>
      <c r="F9" s="133"/>
      <c r="G9" s="133"/>
      <c r="H9" s="133"/>
      <c r="I9" s="133"/>
      <c r="J9" s="133"/>
    </row>
    <row r="10" spans="1:10">
      <c r="A10" s="78" t="s">
        <v>37</v>
      </c>
      <c r="B10" s="79" t="s">
        <v>38</v>
      </c>
      <c r="C10" s="80" t="s">
        <v>36</v>
      </c>
      <c r="D10" s="133"/>
      <c r="E10" s="133"/>
      <c r="F10" s="133"/>
      <c r="G10" s="133"/>
      <c r="H10" s="133"/>
      <c r="I10" s="133"/>
      <c r="J10" s="133"/>
    </row>
    <row r="11" spans="1:10" ht="28.5">
      <c r="A11" s="78" t="s">
        <v>39</v>
      </c>
      <c r="B11" s="81" t="s">
        <v>40</v>
      </c>
      <c r="C11" s="80" t="s">
        <v>27</v>
      </c>
      <c r="D11" s="133"/>
      <c r="E11" s="133"/>
      <c r="F11" s="133"/>
      <c r="G11" s="133"/>
      <c r="H11" s="133"/>
      <c r="I11" s="133"/>
      <c r="J11" s="133"/>
    </row>
    <row r="12" spans="1:10" ht="42.75">
      <c r="A12" s="78" t="s">
        <v>41</v>
      </c>
      <c r="B12" s="81" t="s">
        <v>448</v>
      </c>
      <c r="C12" s="80" t="s">
        <v>27</v>
      </c>
      <c r="D12" s="133"/>
      <c r="E12" s="133"/>
      <c r="F12" s="133"/>
      <c r="G12" s="133"/>
      <c r="H12" s="133"/>
      <c r="I12" s="133"/>
      <c r="J12" s="133"/>
    </row>
    <row r="13" spans="1:10">
      <c r="A13" s="75">
        <v>2</v>
      </c>
      <c r="B13" s="76" t="str">
        <f>[4]Planilha!$B$21</f>
        <v>MOVIMENTO DE TERRA</v>
      </c>
      <c r="C13" s="77"/>
      <c r="D13" s="133"/>
      <c r="E13" s="133"/>
      <c r="F13" s="133"/>
      <c r="G13" s="133"/>
      <c r="H13" s="133"/>
      <c r="I13" s="133"/>
      <c r="J13" s="133"/>
    </row>
    <row r="14" spans="1:10" ht="42.75">
      <c r="A14" s="78" t="s">
        <v>43</v>
      </c>
      <c r="B14" s="81" t="s">
        <v>44</v>
      </c>
      <c r="C14" s="80" t="s">
        <v>45</v>
      </c>
      <c r="D14" s="135"/>
      <c r="E14" s="135"/>
      <c r="F14" s="135"/>
      <c r="G14" s="135"/>
      <c r="H14" s="135"/>
      <c r="I14" s="135"/>
      <c r="J14" s="135"/>
    </row>
    <row r="15" spans="1:10" ht="44.25" customHeight="1">
      <c r="A15" s="78" t="s">
        <v>46</v>
      </c>
      <c r="B15" s="81" t="s">
        <v>47</v>
      </c>
      <c r="C15" s="80" t="s">
        <v>45</v>
      </c>
      <c r="D15" s="135"/>
      <c r="E15" s="135"/>
      <c r="F15" s="135"/>
      <c r="G15" s="135"/>
      <c r="H15" s="135"/>
      <c r="I15" s="135"/>
      <c r="J15" s="135"/>
    </row>
    <row r="16" spans="1:10" ht="28.5">
      <c r="A16" s="78" t="s">
        <v>48</v>
      </c>
      <c r="B16" s="81" t="s">
        <v>49</v>
      </c>
      <c r="C16" s="80" t="s">
        <v>45</v>
      </c>
      <c r="D16" s="135"/>
      <c r="E16" s="135"/>
      <c r="F16" s="135"/>
      <c r="G16" s="135"/>
      <c r="H16" s="135"/>
      <c r="I16" s="135"/>
      <c r="J16" s="135"/>
    </row>
    <row r="17" spans="1:10" ht="28.5">
      <c r="A17" s="78" t="s">
        <v>50</v>
      </c>
      <c r="B17" s="81" t="s">
        <v>449</v>
      </c>
      <c r="C17" s="80" t="s">
        <v>45</v>
      </c>
      <c r="D17" s="133"/>
      <c r="E17" s="133"/>
      <c r="F17" s="133"/>
      <c r="G17" s="133"/>
      <c r="H17" s="133"/>
      <c r="I17" s="133"/>
      <c r="J17" s="133"/>
    </row>
    <row r="18" spans="1:10">
      <c r="A18" s="75">
        <v>3</v>
      </c>
      <c r="B18" s="76" t="str">
        <f>[4]Planilha!$B$26</f>
        <v>COBERTURA</v>
      </c>
      <c r="C18" s="77"/>
      <c r="D18" s="133"/>
      <c r="E18" s="133"/>
      <c r="F18" s="133"/>
      <c r="G18" s="133"/>
      <c r="H18" s="133"/>
      <c r="I18" s="133"/>
      <c r="J18" s="133"/>
    </row>
    <row r="19" spans="1:10" ht="28.5">
      <c r="A19" s="78" t="s">
        <v>52</v>
      </c>
      <c r="B19" s="81" t="s">
        <v>53</v>
      </c>
      <c r="C19" s="80" t="s">
        <v>27</v>
      </c>
      <c r="D19" s="133"/>
      <c r="E19" s="133"/>
      <c r="F19" s="133"/>
      <c r="G19" s="133"/>
      <c r="H19" s="133"/>
      <c r="I19" s="133"/>
      <c r="J19" s="133"/>
    </row>
    <row r="20" spans="1:10" ht="28.5">
      <c r="A20" s="78" t="s">
        <v>54</v>
      </c>
      <c r="B20" s="81" t="s">
        <v>55</v>
      </c>
      <c r="C20" s="80" t="s">
        <v>27</v>
      </c>
      <c r="D20" s="133"/>
      <c r="E20" s="133"/>
      <c r="F20" s="133"/>
      <c r="G20" s="133"/>
      <c r="H20" s="133"/>
      <c r="I20" s="133"/>
      <c r="J20" s="133"/>
    </row>
    <row r="21" spans="1:10">
      <c r="A21" s="78" t="s">
        <v>56</v>
      </c>
      <c r="B21" s="79" t="s">
        <v>57</v>
      </c>
      <c r="C21" s="80" t="s">
        <v>27</v>
      </c>
      <c r="D21" s="133"/>
      <c r="E21" s="133"/>
      <c r="F21" s="133"/>
      <c r="G21" s="133"/>
      <c r="H21" s="133"/>
      <c r="I21" s="133"/>
      <c r="J21" s="133"/>
    </row>
    <row r="22" spans="1:10" ht="28.5">
      <c r="A22" s="78" t="s">
        <v>58</v>
      </c>
      <c r="B22" s="81" t="s">
        <v>450</v>
      </c>
      <c r="C22" s="80" t="s">
        <v>60</v>
      </c>
      <c r="D22" s="133"/>
      <c r="E22" s="133"/>
      <c r="F22" s="133"/>
      <c r="G22" s="133"/>
      <c r="H22" s="133"/>
      <c r="I22" s="133"/>
      <c r="J22" s="133"/>
    </row>
    <row r="23" spans="1:10" ht="28.5">
      <c r="A23" s="78" t="s">
        <v>61</v>
      </c>
      <c r="B23" s="81" t="s">
        <v>62</v>
      </c>
      <c r="C23" s="80" t="s">
        <v>60</v>
      </c>
      <c r="D23" s="133"/>
      <c r="E23" s="133"/>
      <c r="F23" s="133"/>
      <c r="G23" s="133"/>
      <c r="H23" s="133"/>
      <c r="I23" s="133"/>
      <c r="J23" s="133"/>
    </row>
    <row r="24" spans="1:10" ht="28.5">
      <c r="A24" s="78" t="s">
        <v>63</v>
      </c>
      <c r="B24" s="81" t="s">
        <v>64</v>
      </c>
      <c r="C24" s="80" t="s">
        <v>60</v>
      </c>
      <c r="D24" s="133"/>
      <c r="E24" s="133"/>
      <c r="F24" s="133"/>
      <c r="G24" s="133"/>
      <c r="H24" s="133"/>
      <c r="I24" s="133"/>
      <c r="J24" s="133"/>
    </row>
    <row r="25" spans="1:10">
      <c r="A25" s="75">
        <v>4</v>
      </c>
      <c r="B25" s="76" t="s">
        <v>65</v>
      </c>
      <c r="C25" s="77"/>
      <c r="D25" s="133"/>
      <c r="E25" s="133"/>
      <c r="F25" s="133"/>
      <c r="G25" s="133"/>
      <c r="H25" s="133"/>
      <c r="I25" s="133"/>
      <c r="J25" s="133"/>
    </row>
    <row r="26" spans="1:10" ht="15">
      <c r="A26" s="73" t="s">
        <v>66</v>
      </c>
      <c r="B26" s="82" t="s">
        <v>451</v>
      </c>
      <c r="C26" s="74"/>
      <c r="D26" s="133"/>
      <c r="E26" s="133"/>
      <c r="F26" s="133"/>
      <c r="G26" s="133"/>
      <c r="H26" s="133"/>
      <c r="I26" s="133"/>
      <c r="J26" s="133"/>
    </row>
    <row r="27" spans="1:10">
      <c r="A27" s="78" t="s">
        <v>67</v>
      </c>
      <c r="B27" s="79" t="s">
        <v>68</v>
      </c>
      <c r="C27" s="80" t="s">
        <v>45</v>
      </c>
      <c r="D27" s="135"/>
      <c r="E27" s="135"/>
      <c r="F27" s="135"/>
      <c r="G27" s="135"/>
      <c r="H27" s="135"/>
      <c r="I27" s="135"/>
      <c r="J27" s="135"/>
    </row>
    <row r="28" spans="1:10" ht="28.5">
      <c r="A28" s="78" t="s">
        <v>69</v>
      </c>
      <c r="B28" s="79" t="s">
        <v>70</v>
      </c>
      <c r="C28" s="80" t="s">
        <v>27</v>
      </c>
      <c r="D28" s="135"/>
      <c r="E28" s="135"/>
      <c r="F28" s="135"/>
      <c r="G28" s="135"/>
      <c r="H28" s="135"/>
      <c r="I28" s="135"/>
      <c r="J28" s="135"/>
    </row>
    <row r="29" spans="1:10" ht="28.5">
      <c r="A29" s="78" t="s">
        <v>71</v>
      </c>
      <c r="B29" s="79" t="s">
        <v>72</v>
      </c>
      <c r="C29" s="80" t="s">
        <v>73</v>
      </c>
      <c r="D29" s="135"/>
      <c r="E29" s="135"/>
      <c r="F29" s="135"/>
      <c r="G29" s="135"/>
      <c r="H29" s="135"/>
      <c r="I29" s="135"/>
      <c r="J29" s="135"/>
    </row>
    <row r="30" spans="1:10" ht="28.5">
      <c r="A30" s="78" t="s">
        <v>74</v>
      </c>
      <c r="B30" s="81" t="s">
        <v>75</v>
      </c>
      <c r="C30" s="80" t="s">
        <v>73</v>
      </c>
      <c r="D30" s="135"/>
      <c r="E30" s="135"/>
      <c r="F30" s="135"/>
      <c r="G30" s="135"/>
      <c r="H30" s="135"/>
      <c r="I30" s="135"/>
      <c r="J30" s="135"/>
    </row>
    <row r="31" spans="1:10" ht="28.5">
      <c r="A31" s="78" t="s">
        <v>76</v>
      </c>
      <c r="B31" s="79" t="s">
        <v>77</v>
      </c>
      <c r="C31" s="80" t="s">
        <v>45</v>
      </c>
      <c r="D31" s="135"/>
      <c r="E31" s="135"/>
      <c r="F31" s="135"/>
      <c r="G31" s="135"/>
      <c r="H31" s="135"/>
      <c r="I31" s="135"/>
      <c r="J31" s="135"/>
    </row>
    <row r="32" spans="1:10" ht="15">
      <c r="A32" s="73" t="s">
        <v>78</v>
      </c>
      <c r="B32" s="82" t="s">
        <v>65</v>
      </c>
      <c r="C32" s="74"/>
      <c r="D32" s="133"/>
      <c r="E32" s="133"/>
      <c r="F32" s="133"/>
      <c r="G32" s="133"/>
      <c r="H32" s="133"/>
      <c r="I32" s="133"/>
      <c r="J32" s="133"/>
    </row>
    <row r="33" spans="1:14" ht="57">
      <c r="A33" s="78" t="s">
        <v>79</v>
      </c>
      <c r="B33" s="83" t="s">
        <v>80</v>
      </c>
      <c r="C33" s="80" t="s">
        <v>27</v>
      </c>
      <c r="D33" s="133" t="s">
        <v>533</v>
      </c>
      <c r="E33" s="133"/>
      <c r="F33" s="133"/>
      <c r="G33" s="133"/>
      <c r="H33" s="133"/>
      <c r="I33" s="133"/>
      <c r="J33" s="133"/>
      <c r="K33" s="5">
        <v>324.26</v>
      </c>
    </row>
    <row r="34" spans="1:14" ht="28.5" customHeight="1">
      <c r="A34" s="78" t="s">
        <v>81</v>
      </c>
      <c r="B34" s="83" t="s">
        <v>72</v>
      </c>
      <c r="C34" s="80" t="s">
        <v>73</v>
      </c>
      <c r="D34" s="135" t="s">
        <v>534</v>
      </c>
      <c r="E34" s="135"/>
      <c r="F34" s="135"/>
      <c r="G34" s="135"/>
      <c r="H34" s="135"/>
      <c r="I34" s="135"/>
      <c r="J34" s="135"/>
      <c r="K34" s="5">
        <f>826.7+743.1</f>
        <v>1569.8000000000002</v>
      </c>
    </row>
    <row r="35" spans="1:14" ht="28.5" customHeight="1">
      <c r="A35" s="78" t="s">
        <v>82</v>
      </c>
      <c r="B35" s="84" t="s">
        <v>452</v>
      </c>
      <c r="C35" s="80" t="s">
        <v>73</v>
      </c>
      <c r="D35" s="135" t="s">
        <v>535</v>
      </c>
      <c r="E35" s="135"/>
      <c r="F35" s="135"/>
      <c r="G35" s="135"/>
      <c r="H35" s="135"/>
      <c r="I35" s="135"/>
      <c r="J35" s="135"/>
      <c r="K35" s="5">
        <f>170.9+208.6</f>
        <v>379.5</v>
      </c>
    </row>
    <row r="36" spans="1:14" ht="28.5" customHeight="1">
      <c r="A36" s="78" t="s">
        <v>83</v>
      </c>
      <c r="B36" s="83" t="s">
        <v>84</v>
      </c>
      <c r="C36" s="80" t="s">
        <v>45</v>
      </c>
      <c r="D36" s="135" t="s">
        <v>536</v>
      </c>
      <c r="E36" s="135"/>
      <c r="F36" s="135"/>
      <c r="G36" s="135"/>
      <c r="H36" s="135"/>
      <c r="I36" s="135"/>
      <c r="J36" s="135"/>
      <c r="K36" s="5">
        <f>10.85+7.34</f>
        <v>18.189999999999998</v>
      </c>
    </row>
    <row r="37" spans="1:14" ht="28.5">
      <c r="A37" s="78" t="s">
        <v>85</v>
      </c>
      <c r="B37" s="84" t="s">
        <v>453</v>
      </c>
      <c r="C37" s="80" t="s">
        <v>45</v>
      </c>
      <c r="D37" s="133" t="s">
        <v>537</v>
      </c>
      <c r="E37" s="133"/>
      <c r="F37" s="133"/>
      <c r="G37" s="133"/>
      <c r="H37" s="133"/>
      <c r="I37" s="133"/>
      <c r="J37" s="133"/>
      <c r="K37" s="5">
        <f>K36</f>
        <v>18.189999999999998</v>
      </c>
    </row>
    <row r="38" spans="1:14" ht="42.75">
      <c r="A38" s="78" t="s">
        <v>87</v>
      </c>
      <c r="B38" s="84" t="s">
        <v>88</v>
      </c>
      <c r="C38" s="80" t="s">
        <v>27</v>
      </c>
      <c r="D38" s="133" t="s">
        <v>538</v>
      </c>
      <c r="E38" s="133"/>
      <c r="F38" s="133"/>
      <c r="G38" s="133"/>
      <c r="H38" s="133"/>
      <c r="I38" s="133"/>
      <c r="J38" s="133"/>
      <c r="K38" s="5">
        <v>276.43</v>
      </c>
    </row>
    <row r="39" spans="1:14" ht="42.75">
      <c r="A39" s="78" t="s">
        <v>89</v>
      </c>
      <c r="B39" s="84" t="s">
        <v>90</v>
      </c>
      <c r="C39" s="80" t="s">
        <v>27</v>
      </c>
      <c r="D39" s="133"/>
      <c r="E39" s="133"/>
      <c r="F39" s="133"/>
      <c r="G39" s="133"/>
      <c r="H39" s="133"/>
      <c r="I39" s="133"/>
      <c r="J39" s="133"/>
    </row>
    <row r="40" spans="1:14" ht="129.75" customHeight="1">
      <c r="A40" s="78" t="s">
        <v>91</v>
      </c>
      <c r="B40" s="83" t="s">
        <v>92</v>
      </c>
      <c r="C40" s="80" t="s">
        <v>60</v>
      </c>
      <c r="D40" s="135" t="s">
        <v>539</v>
      </c>
      <c r="E40" s="135"/>
      <c r="F40" s="135"/>
      <c r="G40" s="135"/>
      <c r="H40" s="135"/>
      <c r="I40" s="135"/>
      <c r="J40" s="135"/>
      <c r="K40" s="5">
        <v>124.3</v>
      </c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  <c r="N40" s="5">
        <f>M40</f>
        <v>46.29</v>
      </c>
    </row>
    <row r="41" spans="1:14" ht="15">
      <c r="A41" s="75">
        <v>5</v>
      </c>
      <c r="B41" s="85" t="s">
        <v>93</v>
      </c>
      <c r="C41" s="77"/>
      <c r="D41" s="133"/>
      <c r="E41" s="133"/>
      <c r="F41" s="133"/>
      <c r="G41" s="133"/>
      <c r="H41" s="133"/>
      <c r="I41" s="133"/>
      <c r="J41" s="133"/>
    </row>
    <row r="42" spans="1:14" ht="219" customHeight="1">
      <c r="A42" s="86" t="s">
        <v>94</v>
      </c>
      <c r="B42" s="79" t="s">
        <v>95</v>
      </c>
      <c r="C42" s="80" t="s">
        <v>27</v>
      </c>
      <c r="D42" s="135" t="s">
        <v>540</v>
      </c>
      <c r="E42" s="135"/>
      <c r="F42" s="135"/>
      <c r="G42" s="135"/>
      <c r="H42" s="135"/>
      <c r="I42" s="135"/>
      <c r="J42" s="135"/>
      <c r="K42" s="5">
        <f>L42-M42+N42</f>
        <v>644.41000000000008</v>
      </c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  <c r="N42" s="5">
        <f>(5.9+5.2+10+ 5+6.2+4.4+1.8+2.2+1.8+4.5+5.35+9+4.45+3.2+3.2+2.25+ 4.45)*1.7 + 2.15*(2+1.6+2+1.6)+3.7*(5.7+4.7+5.7+4.7)</f>
        <v>226.57</v>
      </c>
    </row>
    <row r="43" spans="1:14" ht="15">
      <c r="A43" s="73" t="s">
        <v>96</v>
      </c>
      <c r="B43" s="82" t="s">
        <v>97</v>
      </c>
      <c r="C43" s="74"/>
      <c r="D43" s="133"/>
      <c r="E43" s="133"/>
      <c r="F43" s="133"/>
      <c r="G43" s="133"/>
      <c r="H43" s="133"/>
      <c r="I43" s="133"/>
      <c r="J43" s="133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6" t="s">
        <v>98</v>
      </c>
      <c r="B44" s="83" t="s">
        <v>99</v>
      </c>
      <c r="C44" s="80" t="s">
        <v>27</v>
      </c>
      <c r="D44" s="133"/>
      <c r="E44" s="133"/>
      <c r="F44" s="133"/>
      <c r="G44" s="133"/>
      <c r="H44" s="133"/>
      <c r="I44" s="133"/>
      <c r="J44" s="133"/>
    </row>
    <row r="45" spans="1:14">
      <c r="A45" s="75">
        <v>6</v>
      </c>
      <c r="B45" s="76" t="s">
        <v>100</v>
      </c>
      <c r="C45" s="77"/>
      <c r="D45" s="133"/>
      <c r="E45" s="133"/>
      <c r="F45" s="133"/>
      <c r="G45" s="133"/>
      <c r="H45" s="133"/>
      <c r="I45" s="133"/>
      <c r="J45" s="133"/>
    </row>
    <row r="46" spans="1:14" ht="28.5">
      <c r="A46" s="86" t="s">
        <v>101</v>
      </c>
      <c r="B46" s="81" t="s">
        <v>102</v>
      </c>
      <c r="C46" s="87" t="s">
        <v>27</v>
      </c>
      <c r="D46" s="135"/>
      <c r="E46" s="135"/>
      <c r="F46" s="135"/>
      <c r="G46" s="135"/>
      <c r="H46" s="135"/>
      <c r="I46" s="135"/>
      <c r="J46" s="135"/>
    </row>
    <row r="47" spans="1:14" ht="28.5">
      <c r="A47" s="86" t="s">
        <v>103</v>
      </c>
      <c r="B47" s="81" t="s">
        <v>104</v>
      </c>
      <c r="C47" s="87" t="s">
        <v>27</v>
      </c>
      <c r="D47" s="133"/>
      <c r="E47" s="133"/>
      <c r="F47" s="133"/>
      <c r="G47" s="133"/>
      <c r="H47" s="133"/>
      <c r="I47" s="133"/>
      <c r="J47" s="133"/>
    </row>
    <row r="48" spans="1:14" ht="28.5">
      <c r="A48" s="78" t="s">
        <v>105</v>
      </c>
      <c r="B48" s="81" t="s">
        <v>106</v>
      </c>
      <c r="C48" s="87" t="s">
        <v>27</v>
      </c>
      <c r="D48" s="133"/>
      <c r="E48" s="133"/>
      <c r="F48" s="133"/>
      <c r="G48" s="133"/>
      <c r="H48" s="133"/>
      <c r="I48" s="133"/>
      <c r="J48" s="133"/>
    </row>
    <row r="49" spans="1:13">
      <c r="A49" s="75">
        <v>7</v>
      </c>
      <c r="B49" s="76" t="s">
        <v>107</v>
      </c>
      <c r="C49" s="77"/>
      <c r="D49" s="133"/>
      <c r="E49" s="133"/>
      <c r="F49" s="133"/>
      <c r="G49" s="133"/>
      <c r="H49" s="133"/>
      <c r="I49" s="133"/>
      <c r="J49" s="133"/>
    </row>
    <row r="50" spans="1:13" ht="15">
      <c r="A50" s="73" t="s">
        <v>108</v>
      </c>
      <c r="B50" s="82" t="s">
        <v>109</v>
      </c>
      <c r="C50" s="74"/>
      <c r="D50" s="133"/>
      <c r="E50" s="133"/>
      <c r="F50" s="133"/>
      <c r="G50" s="133"/>
      <c r="H50" s="133"/>
      <c r="I50" s="133"/>
      <c r="J50" s="133"/>
    </row>
    <row r="51" spans="1:13" ht="28.5">
      <c r="A51" s="86" t="s">
        <v>110</v>
      </c>
      <c r="B51" s="81" t="s">
        <v>454</v>
      </c>
      <c r="C51" s="80" t="s">
        <v>27</v>
      </c>
      <c r="D51" s="135"/>
      <c r="E51" s="135"/>
      <c r="F51" s="135"/>
      <c r="G51" s="135"/>
      <c r="H51" s="135"/>
      <c r="I51" s="135"/>
      <c r="J51" s="135"/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28.5">
      <c r="A52" s="86" t="s">
        <v>112</v>
      </c>
      <c r="B52" s="79" t="s">
        <v>113</v>
      </c>
      <c r="C52" s="80" t="s">
        <v>27</v>
      </c>
      <c r="D52" s="135"/>
      <c r="E52" s="135"/>
      <c r="F52" s="135"/>
      <c r="G52" s="135"/>
      <c r="H52" s="135"/>
      <c r="I52" s="135"/>
      <c r="J52" s="135"/>
    </row>
    <row r="53" spans="1:13" ht="57">
      <c r="A53" s="86" t="s">
        <v>114</v>
      </c>
      <c r="B53" s="79" t="s">
        <v>115</v>
      </c>
      <c r="C53" s="80" t="s">
        <v>27</v>
      </c>
      <c r="D53" s="135"/>
      <c r="E53" s="135"/>
      <c r="F53" s="135"/>
      <c r="G53" s="135"/>
      <c r="H53" s="135"/>
      <c r="I53" s="135"/>
      <c r="J53" s="135"/>
      <c r="L53" s="5">
        <f>4.6*3.16 + (8.9+3+2.95+4.5+3.75+7.05+5.8+ 4.5+5.45+0.8+0.8+6.1+3.5)*0.5 + 1.26*13.3 + 1.42*3.2 + 7.3*2.05 + 7.6*2.1 + 8*1</f>
        <v>103.313</v>
      </c>
    </row>
    <row r="54" spans="1:13" ht="42.75">
      <c r="A54" s="86" t="s">
        <v>116</v>
      </c>
      <c r="B54" s="79" t="s">
        <v>117</v>
      </c>
      <c r="C54" s="80" t="s">
        <v>27</v>
      </c>
      <c r="D54" s="133"/>
      <c r="E54" s="133"/>
      <c r="F54" s="133"/>
      <c r="G54" s="133"/>
      <c r="H54" s="133"/>
      <c r="I54" s="133"/>
      <c r="J54" s="133"/>
    </row>
    <row r="55" spans="1:13" ht="57">
      <c r="A55" s="86" t="s">
        <v>118</v>
      </c>
      <c r="B55" s="81" t="s">
        <v>119</v>
      </c>
      <c r="C55" s="80" t="s">
        <v>60</v>
      </c>
      <c r="D55" s="133"/>
      <c r="E55" s="133"/>
      <c r="F55" s="133"/>
      <c r="G55" s="133"/>
      <c r="H55" s="133"/>
      <c r="I55" s="133"/>
      <c r="J55" s="133"/>
    </row>
    <row r="56" spans="1:13">
      <c r="A56" s="86" t="s">
        <v>120</v>
      </c>
      <c r="B56" s="79" t="s">
        <v>121</v>
      </c>
      <c r="C56" s="80" t="s">
        <v>27</v>
      </c>
      <c r="D56" s="133"/>
      <c r="E56" s="133"/>
      <c r="F56" s="133"/>
      <c r="G56" s="133"/>
      <c r="H56" s="133"/>
      <c r="I56" s="133"/>
      <c r="J56" s="133"/>
    </row>
    <row r="57" spans="1:13" ht="28.5">
      <c r="A57" s="86" t="s">
        <v>122</v>
      </c>
      <c r="B57" s="81" t="s">
        <v>455</v>
      </c>
      <c r="C57" s="80" t="s">
        <v>60</v>
      </c>
      <c r="D57" s="133"/>
      <c r="E57" s="133"/>
      <c r="F57" s="133"/>
      <c r="G57" s="133"/>
      <c r="H57" s="133"/>
      <c r="I57" s="133"/>
      <c r="J57" s="133"/>
    </row>
    <row r="58" spans="1:13" ht="107.25" customHeight="1">
      <c r="A58" s="86" t="s">
        <v>124</v>
      </c>
      <c r="B58" s="79" t="s">
        <v>125</v>
      </c>
      <c r="C58" s="80" t="s">
        <v>27</v>
      </c>
      <c r="D58" s="135"/>
      <c r="E58" s="135"/>
      <c r="F58" s="135"/>
      <c r="G58" s="135"/>
      <c r="H58" s="135"/>
      <c r="I58" s="135"/>
      <c r="J58" s="135"/>
    </row>
    <row r="59" spans="1:13" ht="42.75">
      <c r="A59" s="86" t="s">
        <v>126</v>
      </c>
      <c r="B59" s="81" t="s">
        <v>127</v>
      </c>
      <c r="C59" s="80" t="s">
        <v>60</v>
      </c>
      <c r="D59" s="133"/>
      <c r="E59" s="133"/>
      <c r="F59" s="133"/>
      <c r="G59" s="133"/>
      <c r="H59" s="133"/>
      <c r="I59" s="133"/>
      <c r="J59" s="133"/>
    </row>
    <row r="60" spans="1:13" ht="28.5">
      <c r="A60" s="86" t="s">
        <v>128</v>
      </c>
      <c r="B60" s="79" t="s">
        <v>129</v>
      </c>
      <c r="C60" s="80" t="s">
        <v>60</v>
      </c>
      <c r="D60" s="135"/>
      <c r="E60" s="135"/>
      <c r="F60" s="135"/>
      <c r="G60" s="135"/>
      <c r="H60" s="135"/>
      <c r="I60" s="135"/>
      <c r="J60" s="135"/>
      <c r="L60" s="5">
        <f>14*0.9+6*0.8+1+1.2+2+1.07+4.35</f>
        <v>27.019999999999996</v>
      </c>
    </row>
    <row r="61" spans="1:13" ht="15">
      <c r="A61" s="73" t="s">
        <v>130</v>
      </c>
      <c r="B61" s="82" t="s">
        <v>131</v>
      </c>
      <c r="C61" s="74"/>
      <c r="D61" s="133"/>
      <c r="E61" s="133"/>
      <c r="F61" s="133"/>
      <c r="G61" s="133"/>
      <c r="H61" s="133"/>
      <c r="I61" s="133"/>
      <c r="J61" s="133"/>
    </row>
    <row r="62" spans="1:13" ht="28.5">
      <c r="A62" s="86" t="s">
        <v>132</v>
      </c>
      <c r="B62" s="81" t="s">
        <v>133</v>
      </c>
      <c r="C62" s="80" t="s">
        <v>27</v>
      </c>
      <c r="D62" s="133"/>
      <c r="E62" s="133"/>
      <c r="F62" s="133"/>
      <c r="G62" s="133"/>
      <c r="H62" s="133"/>
      <c r="I62" s="133"/>
      <c r="J62" s="133"/>
    </row>
    <row r="63" spans="1:13" ht="42.75">
      <c r="A63" s="86" t="s">
        <v>134</v>
      </c>
      <c r="B63" s="81" t="s">
        <v>456</v>
      </c>
      <c r="C63" s="80" t="s">
        <v>27</v>
      </c>
      <c r="D63" s="133"/>
      <c r="E63" s="133"/>
      <c r="F63" s="133"/>
      <c r="G63" s="133"/>
      <c r="H63" s="133"/>
      <c r="I63" s="133"/>
      <c r="J63" s="133"/>
    </row>
    <row r="64" spans="1:13" ht="28.5">
      <c r="A64" s="86" t="s">
        <v>136</v>
      </c>
      <c r="B64" s="79" t="s">
        <v>137</v>
      </c>
      <c r="C64" s="80" t="s">
        <v>27</v>
      </c>
      <c r="D64" s="135"/>
      <c r="E64" s="135"/>
      <c r="F64" s="135"/>
      <c r="G64" s="135"/>
      <c r="H64" s="135"/>
      <c r="I64" s="135"/>
      <c r="J64" s="135"/>
    </row>
    <row r="65" spans="1:14" ht="87" customHeight="1">
      <c r="A65" s="86" t="s">
        <v>138</v>
      </c>
      <c r="B65" s="79" t="s">
        <v>139</v>
      </c>
      <c r="C65" s="80" t="s">
        <v>27</v>
      </c>
      <c r="D65" s="135"/>
      <c r="E65" s="135"/>
      <c r="F65" s="135"/>
      <c r="G65" s="135"/>
      <c r="H65" s="135"/>
      <c r="I65" s="135"/>
      <c r="J65" s="135"/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6" t="s">
        <v>140</v>
      </c>
      <c r="B66" s="81" t="s">
        <v>141</v>
      </c>
      <c r="C66" s="80" t="s">
        <v>27</v>
      </c>
      <c r="D66" s="133"/>
      <c r="E66" s="133"/>
      <c r="F66" s="133"/>
      <c r="G66" s="133"/>
      <c r="H66" s="133"/>
      <c r="I66" s="133"/>
      <c r="J66" s="133"/>
      <c r="M66" s="5">
        <f>1317.64-K65</f>
        <v>1317.64</v>
      </c>
      <c r="N66" s="5" t="s">
        <v>519</v>
      </c>
    </row>
    <row r="67" spans="1:14" ht="28.5">
      <c r="A67" s="86" t="s">
        <v>142</v>
      </c>
      <c r="B67" s="81" t="s">
        <v>143</v>
      </c>
      <c r="C67" s="80" t="s">
        <v>27</v>
      </c>
      <c r="D67" s="133"/>
      <c r="E67" s="133"/>
      <c r="F67" s="133"/>
      <c r="G67" s="133"/>
      <c r="H67" s="133"/>
      <c r="I67" s="133"/>
      <c r="J67" s="133"/>
      <c r="M67" s="5">
        <f>M66-K69</f>
        <v>1317.64</v>
      </c>
      <c r="N67" s="5" t="s">
        <v>520</v>
      </c>
    </row>
    <row r="68" spans="1:14">
      <c r="A68" s="86" t="s">
        <v>144</v>
      </c>
      <c r="B68" s="79" t="s">
        <v>145</v>
      </c>
      <c r="C68" s="80" t="s">
        <v>60</v>
      </c>
      <c r="D68" s="133"/>
      <c r="E68" s="133"/>
      <c r="F68" s="133"/>
      <c r="G68" s="133"/>
      <c r="H68" s="133"/>
      <c r="I68" s="133"/>
      <c r="J68" s="133"/>
    </row>
    <row r="69" spans="1:14" ht="28.5">
      <c r="A69" s="86" t="s">
        <v>146</v>
      </c>
      <c r="B69" s="79" t="s">
        <v>147</v>
      </c>
      <c r="C69" s="80" t="s">
        <v>27</v>
      </c>
      <c r="D69" s="133"/>
      <c r="E69" s="133"/>
      <c r="F69" s="133"/>
      <c r="G69" s="133"/>
      <c r="H69" s="133"/>
      <c r="I69" s="133"/>
      <c r="J69" s="133"/>
      <c r="M69" s="5" t="s">
        <v>521</v>
      </c>
    </row>
    <row r="70" spans="1:14" ht="15">
      <c r="A70" s="73" t="s">
        <v>148</v>
      </c>
      <c r="B70" s="82" t="s">
        <v>149</v>
      </c>
      <c r="C70" s="74"/>
      <c r="D70" s="133"/>
      <c r="E70" s="133"/>
      <c r="F70" s="133"/>
      <c r="G70" s="133"/>
      <c r="H70" s="133"/>
      <c r="I70" s="133"/>
      <c r="J70" s="133"/>
    </row>
    <row r="71" spans="1:14" ht="28.5">
      <c r="A71" s="86" t="s">
        <v>150</v>
      </c>
      <c r="B71" s="81" t="s">
        <v>457</v>
      </c>
      <c r="C71" s="80" t="s">
        <v>27</v>
      </c>
      <c r="D71" s="133"/>
      <c r="E71" s="133"/>
      <c r="F71" s="133"/>
      <c r="G71" s="133"/>
      <c r="H71" s="133"/>
      <c r="I71" s="133"/>
      <c r="J71" s="133"/>
    </row>
    <row r="72" spans="1:14" ht="28.5">
      <c r="A72" s="86" t="s">
        <v>152</v>
      </c>
      <c r="B72" s="81" t="s">
        <v>153</v>
      </c>
      <c r="C72" s="80" t="s">
        <v>27</v>
      </c>
      <c r="D72" s="133"/>
      <c r="E72" s="133"/>
      <c r="F72" s="133"/>
      <c r="G72" s="133"/>
      <c r="H72" s="133"/>
      <c r="I72" s="133"/>
      <c r="J72" s="133"/>
    </row>
    <row r="73" spans="1:14" ht="41.25" customHeight="1">
      <c r="A73" s="86" t="s">
        <v>154</v>
      </c>
      <c r="B73" s="81" t="s">
        <v>155</v>
      </c>
      <c r="C73" s="80" t="s">
        <v>27</v>
      </c>
      <c r="D73" s="135"/>
      <c r="E73" s="135"/>
      <c r="F73" s="135"/>
      <c r="G73" s="135"/>
      <c r="H73" s="135"/>
      <c r="I73" s="135"/>
      <c r="J73" s="135"/>
    </row>
    <row r="74" spans="1:14" ht="28.5">
      <c r="A74" s="86" t="s">
        <v>156</v>
      </c>
      <c r="B74" s="81" t="s">
        <v>143</v>
      </c>
      <c r="C74" s="80" t="s">
        <v>27</v>
      </c>
      <c r="D74" s="133"/>
      <c r="E74" s="133"/>
      <c r="F74" s="133"/>
      <c r="G74" s="133"/>
      <c r="H74" s="133"/>
      <c r="I74" s="133"/>
      <c r="J74" s="133"/>
    </row>
    <row r="75" spans="1:14" ht="28.5">
      <c r="A75" s="86" t="s">
        <v>157</v>
      </c>
      <c r="B75" s="79" t="s">
        <v>147</v>
      </c>
      <c r="C75" s="80" t="s">
        <v>27</v>
      </c>
      <c r="D75" s="133"/>
      <c r="E75" s="133"/>
      <c r="F75" s="133"/>
      <c r="G75" s="133"/>
      <c r="H75" s="133"/>
      <c r="I75" s="133"/>
      <c r="J75" s="133"/>
    </row>
    <row r="76" spans="1:14" ht="42.75">
      <c r="A76" s="86" t="s">
        <v>158</v>
      </c>
      <c r="B76" s="88" t="s">
        <v>159</v>
      </c>
      <c r="C76" s="89" t="s">
        <v>27</v>
      </c>
      <c r="D76" s="133"/>
      <c r="E76" s="133"/>
      <c r="F76" s="133"/>
      <c r="G76" s="133"/>
      <c r="H76" s="133"/>
      <c r="I76" s="133"/>
      <c r="J76" s="133"/>
    </row>
    <row r="77" spans="1:14" ht="15">
      <c r="A77" s="73" t="s">
        <v>160</v>
      </c>
      <c r="B77" s="134" t="s">
        <v>161</v>
      </c>
      <c r="C77" s="134"/>
      <c r="D77" s="133"/>
      <c r="E77" s="133"/>
      <c r="F77" s="133"/>
      <c r="G77" s="133"/>
      <c r="H77" s="133"/>
      <c r="I77" s="133"/>
      <c r="J77" s="133"/>
    </row>
    <row r="78" spans="1:14" ht="28.5">
      <c r="A78" s="86" t="s">
        <v>162</v>
      </c>
      <c r="B78" s="79" t="s">
        <v>147</v>
      </c>
      <c r="C78" s="80" t="s">
        <v>27</v>
      </c>
      <c r="D78" s="133"/>
      <c r="E78" s="133"/>
      <c r="F78" s="133"/>
      <c r="G78" s="133"/>
      <c r="H78" s="133"/>
      <c r="I78" s="133"/>
      <c r="J78" s="133"/>
    </row>
    <row r="79" spans="1:14">
      <c r="A79" s="75">
        <v>8</v>
      </c>
      <c r="B79" s="76" t="s">
        <v>163</v>
      </c>
      <c r="C79" s="77"/>
      <c r="D79" s="133"/>
      <c r="E79" s="133"/>
      <c r="F79" s="133"/>
      <c r="G79" s="133"/>
      <c r="H79" s="133"/>
      <c r="I79" s="133"/>
      <c r="J79" s="133"/>
    </row>
    <row r="80" spans="1:14" ht="15">
      <c r="A80" s="73" t="s">
        <v>164</v>
      </c>
      <c r="B80" s="90" t="s">
        <v>165</v>
      </c>
      <c r="C80" s="74"/>
      <c r="D80" s="133"/>
      <c r="E80" s="133"/>
      <c r="F80" s="133"/>
      <c r="G80" s="133"/>
      <c r="H80" s="133"/>
      <c r="I80" s="133"/>
      <c r="J80" s="133"/>
    </row>
    <row r="81" spans="1:10" ht="28.5">
      <c r="A81" s="86" t="s">
        <v>166</v>
      </c>
      <c r="B81" s="81" t="s">
        <v>167</v>
      </c>
      <c r="C81" s="80" t="s">
        <v>36</v>
      </c>
      <c r="D81" s="133"/>
      <c r="E81" s="133"/>
      <c r="F81" s="133"/>
      <c r="G81" s="133"/>
      <c r="H81" s="133"/>
      <c r="I81" s="133"/>
      <c r="J81" s="133"/>
    </row>
    <row r="82" spans="1:10" ht="28.5">
      <c r="A82" s="86" t="s">
        <v>168</v>
      </c>
      <c r="B82" s="81" t="s">
        <v>169</v>
      </c>
      <c r="C82" s="80" t="s">
        <v>36</v>
      </c>
      <c r="D82" s="133"/>
      <c r="E82" s="133"/>
      <c r="F82" s="133"/>
      <c r="G82" s="133"/>
      <c r="H82" s="133"/>
      <c r="I82" s="133"/>
      <c r="J82" s="133"/>
    </row>
    <row r="83" spans="1:10" ht="28.5">
      <c r="A83" s="86" t="s">
        <v>170</v>
      </c>
      <c r="B83" s="81" t="s">
        <v>171</v>
      </c>
      <c r="C83" s="80" t="s">
        <v>36</v>
      </c>
      <c r="D83" s="133"/>
      <c r="E83" s="133"/>
      <c r="F83" s="133"/>
      <c r="G83" s="133"/>
      <c r="H83" s="133"/>
      <c r="I83" s="133"/>
      <c r="J83" s="133"/>
    </row>
    <row r="84" spans="1:10" ht="28.5">
      <c r="A84" s="86" t="s">
        <v>172</v>
      </c>
      <c r="B84" s="81" t="s">
        <v>173</v>
      </c>
      <c r="C84" s="80" t="s">
        <v>36</v>
      </c>
      <c r="D84" s="133"/>
      <c r="E84" s="133"/>
      <c r="F84" s="133"/>
      <c r="G84" s="133"/>
      <c r="H84" s="133"/>
      <c r="I84" s="133"/>
      <c r="J84" s="133"/>
    </row>
    <row r="85" spans="1:10" ht="42.75">
      <c r="A85" s="86" t="s">
        <v>174</v>
      </c>
      <c r="B85" s="81" t="s">
        <v>175</v>
      </c>
      <c r="C85" s="80" t="s">
        <v>36</v>
      </c>
      <c r="D85" s="133"/>
      <c r="E85" s="133"/>
      <c r="F85" s="133"/>
      <c r="G85" s="133"/>
      <c r="H85" s="133"/>
      <c r="I85" s="133"/>
      <c r="J85" s="133"/>
    </row>
    <row r="86" spans="1:10" ht="42.75">
      <c r="A86" s="86" t="s">
        <v>176</v>
      </c>
      <c r="B86" s="81" t="s">
        <v>177</v>
      </c>
      <c r="C86" s="80" t="s">
        <v>36</v>
      </c>
      <c r="D86" s="133"/>
      <c r="E86" s="133"/>
      <c r="F86" s="133"/>
      <c r="G86" s="133"/>
      <c r="H86" s="133"/>
      <c r="I86" s="133"/>
      <c r="J86" s="133"/>
    </row>
    <row r="87" spans="1:10" ht="42.75">
      <c r="A87" s="86" t="s">
        <v>178</v>
      </c>
      <c r="B87" s="81" t="s">
        <v>179</v>
      </c>
      <c r="C87" s="80" t="s">
        <v>36</v>
      </c>
      <c r="D87" s="133"/>
      <c r="E87" s="133"/>
      <c r="F87" s="133"/>
      <c r="G87" s="133"/>
      <c r="H87" s="133"/>
      <c r="I87" s="133"/>
      <c r="J87" s="133"/>
    </row>
    <row r="88" spans="1:10" ht="28.5">
      <c r="A88" s="86" t="s">
        <v>180</v>
      </c>
      <c r="B88" s="81" t="s">
        <v>458</v>
      </c>
      <c r="C88" s="80" t="s">
        <v>27</v>
      </c>
      <c r="D88" s="133"/>
      <c r="E88" s="133"/>
      <c r="F88" s="133"/>
      <c r="G88" s="133"/>
      <c r="H88" s="133"/>
      <c r="I88" s="133"/>
      <c r="J88" s="133"/>
    </row>
    <row r="89" spans="1:10" ht="15">
      <c r="A89" s="73" t="s">
        <v>182</v>
      </c>
      <c r="B89" s="82" t="s">
        <v>183</v>
      </c>
      <c r="C89" s="74"/>
      <c r="D89" s="133"/>
      <c r="E89" s="133"/>
      <c r="F89" s="133"/>
      <c r="G89" s="133"/>
      <c r="H89" s="133"/>
      <c r="I89" s="133"/>
      <c r="J89" s="133"/>
    </row>
    <row r="90" spans="1:10" ht="28.5">
      <c r="A90" s="86" t="s">
        <v>184</v>
      </c>
      <c r="B90" s="81" t="s">
        <v>185</v>
      </c>
      <c r="C90" s="80" t="s">
        <v>27</v>
      </c>
      <c r="D90" s="133"/>
      <c r="E90" s="133"/>
      <c r="F90" s="133"/>
      <c r="G90" s="133"/>
      <c r="H90" s="133"/>
      <c r="I90" s="133"/>
      <c r="J90" s="133"/>
    </row>
    <row r="91" spans="1:10" ht="28.5">
      <c r="A91" s="86" t="s">
        <v>186</v>
      </c>
      <c r="B91" s="79" t="s">
        <v>187</v>
      </c>
      <c r="C91" s="80" t="s">
        <v>27</v>
      </c>
      <c r="D91" s="133"/>
      <c r="E91" s="133"/>
      <c r="F91" s="133"/>
      <c r="G91" s="133"/>
      <c r="H91" s="133"/>
      <c r="I91" s="133"/>
      <c r="J91" s="133"/>
    </row>
    <row r="92" spans="1:10">
      <c r="A92" s="86" t="s">
        <v>188</v>
      </c>
      <c r="B92" s="79" t="s">
        <v>189</v>
      </c>
      <c r="C92" s="80" t="s">
        <v>27</v>
      </c>
      <c r="D92" s="133"/>
      <c r="E92" s="133"/>
      <c r="F92" s="133"/>
      <c r="G92" s="133"/>
      <c r="H92" s="133"/>
      <c r="I92" s="133"/>
      <c r="J92" s="133"/>
    </row>
    <row r="93" spans="1:10" ht="28.5">
      <c r="A93" s="86" t="s">
        <v>190</v>
      </c>
      <c r="B93" s="81" t="s">
        <v>459</v>
      </c>
      <c r="C93" s="80" t="s">
        <v>60</v>
      </c>
      <c r="D93" s="133"/>
      <c r="E93" s="133"/>
      <c r="F93" s="133"/>
      <c r="G93" s="133"/>
      <c r="H93" s="133"/>
      <c r="I93" s="133"/>
      <c r="J93" s="133"/>
    </row>
    <row r="94" spans="1:10" ht="15">
      <c r="A94" s="73" t="s">
        <v>192</v>
      </c>
      <c r="B94" s="82" t="s">
        <v>193</v>
      </c>
      <c r="C94" s="74"/>
      <c r="D94" s="133"/>
      <c r="E94" s="133"/>
      <c r="F94" s="133"/>
      <c r="G94" s="133"/>
      <c r="H94" s="133"/>
      <c r="I94" s="133"/>
      <c r="J94" s="133"/>
    </row>
    <row r="95" spans="1:10">
      <c r="A95" s="86" t="s">
        <v>194</v>
      </c>
      <c r="B95" s="83" t="s">
        <v>195</v>
      </c>
      <c r="C95" s="80" t="s">
        <v>27</v>
      </c>
      <c r="D95" s="133"/>
      <c r="E95" s="133"/>
      <c r="F95" s="133"/>
      <c r="G95" s="133"/>
      <c r="H95" s="133"/>
      <c r="I95" s="133"/>
      <c r="J95" s="133"/>
    </row>
    <row r="96" spans="1:10">
      <c r="A96" s="86" t="s">
        <v>196</v>
      </c>
      <c r="B96" s="83" t="s">
        <v>197</v>
      </c>
      <c r="C96" s="80" t="s">
        <v>27</v>
      </c>
      <c r="D96" s="133"/>
      <c r="E96" s="133"/>
      <c r="F96" s="133"/>
      <c r="G96" s="133"/>
      <c r="H96" s="133"/>
      <c r="I96" s="133"/>
      <c r="J96" s="133"/>
    </row>
    <row r="97" spans="1:12" ht="28.5">
      <c r="A97" s="86" t="s">
        <v>198</v>
      </c>
      <c r="B97" s="84" t="s">
        <v>460</v>
      </c>
      <c r="C97" s="80" t="s">
        <v>27</v>
      </c>
      <c r="D97" s="133"/>
      <c r="E97" s="133"/>
      <c r="F97" s="133"/>
      <c r="G97" s="133"/>
      <c r="H97" s="133"/>
      <c r="I97" s="133"/>
      <c r="J97" s="133"/>
    </row>
    <row r="98" spans="1:12">
      <c r="A98" s="75">
        <v>9</v>
      </c>
      <c r="B98" s="76" t="s">
        <v>200</v>
      </c>
      <c r="C98" s="77"/>
      <c r="D98" s="133"/>
      <c r="E98" s="133"/>
      <c r="F98" s="133"/>
      <c r="G98" s="133"/>
      <c r="H98" s="133"/>
      <c r="I98" s="133"/>
      <c r="J98" s="133"/>
    </row>
    <row r="99" spans="1:12" ht="15">
      <c r="A99" s="73" t="s">
        <v>201</v>
      </c>
      <c r="B99" s="82" t="s">
        <v>202</v>
      </c>
      <c r="C99" s="74"/>
      <c r="D99" s="133"/>
      <c r="E99" s="133"/>
      <c r="F99" s="133"/>
      <c r="G99" s="133"/>
      <c r="H99" s="133"/>
      <c r="I99" s="133"/>
      <c r="J99" s="133"/>
    </row>
    <row r="100" spans="1:12" ht="28.5">
      <c r="A100" s="86" t="s">
        <v>203</v>
      </c>
      <c r="B100" s="81" t="s">
        <v>204</v>
      </c>
      <c r="C100" s="80" t="s">
        <v>36</v>
      </c>
      <c r="D100" s="133"/>
      <c r="E100" s="133"/>
      <c r="F100" s="133"/>
      <c r="G100" s="133"/>
      <c r="H100" s="133"/>
      <c r="I100" s="133"/>
      <c r="J100" s="133"/>
    </row>
    <row r="101" spans="1:12" ht="15">
      <c r="A101" s="73" t="s">
        <v>205</v>
      </c>
      <c r="B101" s="82" t="s">
        <v>206</v>
      </c>
      <c r="C101" s="74"/>
      <c r="D101" s="133"/>
      <c r="E101" s="133"/>
      <c r="F101" s="133"/>
      <c r="G101" s="133"/>
      <c r="H101" s="133"/>
      <c r="I101" s="133"/>
      <c r="J101" s="133"/>
    </row>
    <row r="102" spans="1:12" ht="42.75">
      <c r="A102" s="86" t="s">
        <v>207</v>
      </c>
      <c r="B102" s="81" t="s">
        <v>461</v>
      </c>
      <c r="C102" s="80" t="s">
        <v>36</v>
      </c>
      <c r="D102" s="133"/>
      <c r="E102" s="133"/>
      <c r="F102" s="133"/>
      <c r="G102" s="133"/>
      <c r="H102" s="133"/>
      <c r="I102" s="133"/>
      <c r="J102" s="133"/>
    </row>
    <row r="103" spans="1:12" ht="28.5">
      <c r="A103" s="86" t="s">
        <v>209</v>
      </c>
      <c r="B103" s="81" t="s">
        <v>462</v>
      </c>
      <c r="C103" s="80" t="s">
        <v>36</v>
      </c>
      <c r="D103" s="133"/>
      <c r="E103" s="133"/>
      <c r="F103" s="133"/>
      <c r="G103" s="133"/>
      <c r="H103" s="133"/>
      <c r="I103" s="133"/>
      <c r="J103" s="133"/>
    </row>
    <row r="104" spans="1:12" ht="28.5">
      <c r="A104" s="86" t="s">
        <v>211</v>
      </c>
      <c r="B104" s="79" t="s">
        <v>212</v>
      </c>
      <c r="C104" s="80" t="s">
        <v>36</v>
      </c>
      <c r="D104" s="133"/>
      <c r="E104" s="133"/>
      <c r="F104" s="133"/>
      <c r="G104" s="133"/>
      <c r="H104" s="133"/>
      <c r="I104" s="133"/>
      <c r="J104" s="133"/>
    </row>
    <row r="105" spans="1:12" ht="28.5">
      <c r="A105" s="86" t="s">
        <v>213</v>
      </c>
      <c r="B105" s="79" t="s">
        <v>214</v>
      </c>
      <c r="C105" s="80" t="s">
        <v>36</v>
      </c>
      <c r="D105" s="133"/>
      <c r="E105" s="133"/>
      <c r="F105" s="133"/>
      <c r="G105" s="133"/>
      <c r="H105" s="133"/>
      <c r="I105" s="133"/>
      <c r="J105" s="133"/>
    </row>
    <row r="106" spans="1:12" ht="42.75">
      <c r="A106" s="86" t="s">
        <v>215</v>
      </c>
      <c r="B106" s="79" t="s">
        <v>216</v>
      </c>
      <c r="C106" s="80" t="s">
        <v>36</v>
      </c>
      <c r="D106" s="133"/>
      <c r="E106" s="133"/>
      <c r="F106" s="133"/>
      <c r="G106" s="133"/>
      <c r="H106" s="133"/>
      <c r="I106" s="133"/>
      <c r="J106" s="133"/>
    </row>
    <row r="107" spans="1:12" ht="28.5">
      <c r="A107" s="86" t="s">
        <v>217</v>
      </c>
      <c r="B107" s="81" t="s">
        <v>463</v>
      </c>
      <c r="C107" s="80" t="s">
        <v>36</v>
      </c>
      <c r="D107" s="133"/>
      <c r="E107" s="133"/>
      <c r="F107" s="133"/>
      <c r="G107" s="133"/>
      <c r="H107" s="133"/>
      <c r="I107" s="133"/>
      <c r="J107" s="133"/>
    </row>
    <row r="108" spans="1:12" ht="28.5">
      <c r="A108" s="86" t="s">
        <v>219</v>
      </c>
      <c r="B108" s="81" t="s">
        <v>220</v>
      </c>
      <c r="C108" s="80" t="s">
        <v>36</v>
      </c>
      <c r="D108" s="135"/>
      <c r="E108" s="135"/>
      <c r="F108" s="135"/>
      <c r="G108" s="135"/>
      <c r="H108" s="135"/>
      <c r="I108" s="135"/>
      <c r="J108" s="135"/>
      <c r="L108" s="5">
        <f>2+5+9+3+4+1+2+2+3+4+9+6+4+1+9+8+8+3+18+3+7+6+7+16</f>
        <v>140</v>
      </c>
    </row>
    <row r="109" spans="1:12">
      <c r="A109" s="86" t="s">
        <v>221</v>
      </c>
      <c r="B109" s="79" t="s">
        <v>222</v>
      </c>
      <c r="C109" s="80" t="s">
        <v>36</v>
      </c>
      <c r="D109" s="133"/>
      <c r="E109" s="133"/>
      <c r="F109" s="133"/>
      <c r="G109" s="133"/>
      <c r="H109" s="133"/>
      <c r="I109" s="133"/>
      <c r="J109" s="133"/>
    </row>
    <row r="110" spans="1:12">
      <c r="A110" s="86" t="s">
        <v>223</v>
      </c>
      <c r="B110" s="79" t="s">
        <v>224</v>
      </c>
      <c r="C110" s="80" t="s">
        <v>36</v>
      </c>
      <c r="D110" s="133"/>
      <c r="E110" s="133"/>
      <c r="F110" s="133"/>
      <c r="G110" s="133"/>
      <c r="H110" s="133"/>
      <c r="I110" s="133"/>
      <c r="J110" s="133"/>
    </row>
    <row r="111" spans="1:12" ht="28.5">
      <c r="A111" s="86" t="s">
        <v>225</v>
      </c>
      <c r="B111" s="81" t="s">
        <v>226</v>
      </c>
      <c r="C111" s="80" t="s">
        <v>36</v>
      </c>
      <c r="D111" s="133"/>
      <c r="E111" s="133"/>
      <c r="F111" s="133"/>
      <c r="G111" s="133"/>
      <c r="H111" s="133"/>
      <c r="I111" s="133"/>
      <c r="J111" s="133"/>
    </row>
    <row r="112" spans="1:12">
      <c r="A112" s="86" t="s">
        <v>227</v>
      </c>
      <c r="B112" s="79" t="s">
        <v>224</v>
      </c>
      <c r="C112" s="80" t="s">
        <v>36</v>
      </c>
      <c r="D112" s="133"/>
      <c r="E112" s="133"/>
      <c r="F112" s="133"/>
      <c r="G112" s="133"/>
      <c r="H112" s="133"/>
      <c r="I112" s="133"/>
      <c r="J112" s="133"/>
    </row>
    <row r="113" spans="1:10">
      <c r="A113" s="86" t="s">
        <v>228</v>
      </c>
      <c r="B113" s="79" t="s">
        <v>229</v>
      </c>
      <c r="C113" s="80" t="s">
        <v>36</v>
      </c>
      <c r="D113" s="133"/>
      <c r="E113" s="133"/>
      <c r="F113" s="133"/>
      <c r="G113" s="133"/>
      <c r="H113" s="133"/>
      <c r="I113" s="133"/>
      <c r="J113" s="133"/>
    </row>
    <row r="114" spans="1:10" ht="28.5">
      <c r="A114" s="86" t="s">
        <v>230</v>
      </c>
      <c r="B114" s="81" t="s">
        <v>220</v>
      </c>
      <c r="C114" s="80" t="s">
        <v>36</v>
      </c>
      <c r="D114" s="135"/>
      <c r="E114" s="135"/>
      <c r="F114" s="135"/>
      <c r="G114" s="135"/>
      <c r="H114" s="135"/>
      <c r="I114" s="135"/>
      <c r="J114" s="135"/>
    </row>
    <row r="115" spans="1:10" ht="28.5">
      <c r="A115" s="86" t="s">
        <v>231</v>
      </c>
      <c r="B115" s="81" t="s">
        <v>232</v>
      </c>
      <c r="C115" s="80" t="s">
        <v>36</v>
      </c>
      <c r="D115" s="133"/>
      <c r="E115" s="133"/>
      <c r="F115" s="133"/>
      <c r="G115" s="133"/>
      <c r="H115" s="133"/>
      <c r="I115" s="133"/>
      <c r="J115" s="133"/>
    </row>
    <row r="116" spans="1:10" ht="28.5">
      <c r="A116" s="86" t="s">
        <v>233</v>
      </c>
      <c r="B116" s="81" t="s">
        <v>234</v>
      </c>
      <c r="C116" s="80" t="s">
        <v>36</v>
      </c>
      <c r="D116" s="133"/>
      <c r="E116" s="133"/>
      <c r="F116" s="133"/>
      <c r="G116" s="133"/>
      <c r="H116" s="133"/>
      <c r="I116" s="133"/>
      <c r="J116" s="133"/>
    </row>
    <row r="117" spans="1:10" ht="28.5">
      <c r="A117" s="86" t="s">
        <v>235</v>
      </c>
      <c r="B117" s="81" t="s">
        <v>236</v>
      </c>
      <c r="C117" s="80" t="s">
        <v>36</v>
      </c>
      <c r="D117" s="133"/>
      <c r="E117" s="133"/>
      <c r="F117" s="133"/>
      <c r="G117" s="133"/>
      <c r="H117" s="133"/>
      <c r="I117" s="133"/>
      <c r="J117" s="133"/>
    </row>
    <row r="118" spans="1:10" ht="28.5">
      <c r="A118" s="86" t="s">
        <v>237</v>
      </c>
      <c r="B118" s="81" t="s">
        <v>238</v>
      </c>
      <c r="C118" s="80" t="s">
        <v>36</v>
      </c>
      <c r="D118" s="133"/>
      <c r="E118" s="133"/>
      <c r="F118" s="133"/>
      <c r="G118" s="133"/>
      <c r="H118" s="133"/>
      <c r="I118" s="133"/>
      <c r="J118" s="133"/>
    </row>
    <row r="119" spans="1:10" ht="28.5">
      <c r="A119" s="86" t="s">
        <v>239</v>
      </c>
      <c r="B119" s="81" t="s">
        <v>240</v>
      </c>
      <c r="C119" s="80" t="s">
        <v>36</v>
      </c>
      <c r="D119" s="133"/>
      <c r="E119" s="133"/>
      <c r="F119" s="133"/>
      <c r="G119" s="133"/>
      <c r="H119" s="133"/>
      <c r="I119" s="133"/>
      <c r="J119" s="133"/>
    </row>
    <row r="120" spans="1:10">
      <c r="A120" s="86" t="s">
        <v>241</v>
      </c>
      <c r="B120" s="79" t="s">
        <v>242</v>
      </c>
      <c r="C120" s="80" t="s">
        <v>36</v>
      </c>
      <c r="D120" s="133"/>
      <c r="E120" s="133"/>
      <c r="F120" s="133"/>
      <c r="G120" s="133"/>
      <c r="H120" s="133"/>
      <c r="I120" s="133"/>
      <c r="J120" s="133"/>
    </row>
    <row r="121" spans="1:10">
      <c r="A121" s="86" t="s">
        <v>243</v>
      </c>
      <c r="B121" s="79" t="s">
        <v>244</v>
      </c>
      <c r="C121" s="80" t="s">
        <v>36</v>
      </c>
      <c r="D121" s="133"/>
      <c r="E121" s="133"/>
      <c r="F121" s="133"/>
      <c r="G121" s="133"/>
      <c r="H121" s="133"/>
      <c r="I121" s="133"/>
      <c r="J121" s="133"/>
    </row>
    <row r="122" spans="1:10" ht="28.5">
      <c r="A122" s="86" t="s">
        <v>245</v>
      </c>
      <c r="B122" s="81" t="s">
        <v>220</v>
      </c>
      <c r="C122" s="80" t="s">
        <v>36</v>
      </c>
      <c r="D122" s="135"/>
      <c r="E122" s="135"/>
      <c r="F122" s="135"/>
      <c r="G122" s="135"/>
      <c r="H122" s="135"/>
      <c r="I122" s="135"/>
      <c r="J122" s="135"/>
    </row>
    <row r="123" spans="1:10" ht="15">
      <c r="A123" s="73" t="s">
        <v>246</v>
      </c>
      <c r="B123" s="82" t="s">
        <v>247</v>
      </c>
      <c r="C123" s="74"/>
      <c r="D123" s="133"/>
      <c r="E123" s="133"/>
      <c r="F123" s="133"/>
      <c r="G123" s="133"/>
      <c r="H123" s="133"/>
      <c r="I123" s="133"/>
      <c r="J123" s="133"/>
    </row>
    <row r="124" spans="1:10" ht="57">
      <c r="A124" s="86" t="s">
        <v>248</v>
      </c>
      <c r="B124" s="79" t="s">
        <v>249</v>
      </c>
      <c r="C124" s="80" t="s">
        <v>36</v>
      </c>
      <c r="D124" s="133"/>
      <c r="E124" s="133"/>
      <c r="F124" s="133"/>
      <c r="G124" s="133"/>
      <c r="H124" s="133"/>
      <c r="I124" s="133"/>
      <c r="J124" s="133"/>
    </row>
    <row r="125" spans="1:10" ht="28.5">
      <c r="A125" s="86" t="s">
        <v>250</v>
      </c>
      <c r="B125" s="79" t="s">
        <v>251</v>
      </c>
      <c r="C125" s="80" t="s">
        <v>36</v>
      </c>
      <c r="D125" s="133"/>
      <c r="E125" s="133"/>
      <c r="F125" s="133"/>
      <c r="G125" s="133"/>
      <c r="H125" s="133"/>
      <c r="I125" s="133"/>
      <c r="J125" s="133"/>
    </row>
    <row r="126" spans="1:10" ht="28.5">
      <c r="A126" s="86" t="s">
        <v>252</v>
      </c>
      <c r="B126" s="81" t="s">
        <v>253</v>
      </c>
      <c r="C126" s="80" t="s">
        <v>36</v>
      </c>
      <c r="D126" s="133"/>
      <c r="E126" s="133"/>
      <c r="F126" s="133"/>
      <c r="G126" s="133"/>
      <c r="H126" s="133"/>
      <c r="I126" s="133"/>
      <c r="J126" s="133"/>
    </row>
    <row r="127" spans="1:10">
      <c r="A127" s="86" t="s">
        <v>254</v>
      </c>
      <c r="B127" s="79" t="s">
        <v>255</v>
      </c>
      <c r="C127" s="80" t="s">
        <v>36</v>
      </c>
      <c r="D127" s="133"/>
      <c r="E127" s="133"/>
      <c r="F127" s="133"/>
      <c r="G127" s="133"/>
      <c r="H127" s="133"/>
      <c r="I127" s="133"/>
      <c r="J127" s="133"/>
    </row>
    <row r="128" spans="1:10" ht="15">
      <c r="A128" s="73" t="s">
        <v>256</v>
      </c>
      <c r="B128" s="82" t="s">
        <v>257</v>
      </c>
      <c r="C128" s="74"/>
      <c r="D128" s="133"/>
      <c r="E128" s="133"/>
      <c r="F128" s="133"/>
      <c r="G128" s="133"/>
      <c r="H128" s="133"/>
      <c r="I128" s="133"/>
      <c r="J128" s="133"/>
    </row>
    <row r="129" spans="1:12" ht="57">
      <c r="A129" s="86" t="s">
        <v>258</v>
      </c>
      <c r="B129" s="79" t="s">
        <v>249</v>
      </c>
      <c r="C129" s="80" t="s">
        <v>36</v>
      </c>
      <c r="D129" s="133"/>
      <c r="E129" s="133"/>
      <c r="F129" s="133"/>
      <c r="G129" s="133"/>
      <c r="H129" s="133"/>
      <c r="I129" s="133"/>
      <c r="J129" s="133"/>
    </row>
    <row r="130" spans="1:12" ht="28.5">
      <c r="A130" s="86" t="s">
        <v>259</v>
      </c>
      <c r="B130" s="79" t="s">
        <v>260</v>
      </c>
      <c r="C130" s="80" t="s">
        <v>36</v>
      </c>
      <c r="D130" s="133"/>
      <c r="E130" s="133"/>
      <c r="F130" s="133"/>
      <c r="G130" s="133"/>
      <c r="H130" s="133"/>
      <c r="I130" s="133"/>
      <c r="J130" s="133"/>
    </row>
    <row r="131" spans="1:12">
      <c r="A131" s="86" t="s">
        <v>261</v>
      </c>
      <c r="B131" s="79" t="s">
        <v>255</v>
      </c>
      <c r="C131" s="80" t="s">
        <v>36</v>
      </c>
      <c r="D131" s="133"/>
      <c r="E131" s="133"/>
      <c r="F131" s="133"/>
      <c r="G131" s="133"/>
      <c r="H131" s="133"/>
      <c r="I131" s="133"/>
      <c r="J131" s="133"/>
    </row>
    <row r="132" spans="1:12" ht="28.5">
      <c r="A132" s="86" t="s">
        <v>262</v>
      </c>
      <c r="B132" s="81" t="s">
        <v>253</v>
      </c>
      <c r="C132" s="80" t="s">
        <v>36</v>
      </c>
      <c r="D132" s="133"/>
      <c r="E132" s="133"/>
      <c r="F132" s="133"/>
      <c r="G132" s="133"/>
      <c r="H132" s="133"/>
      <c r="I132" s="133"/>
      <c r="J132" s="133"/>
    </row>
    <row r="133" spans="1:12" ht="28.5">
      <c r="A133" s="86" t="s">
        <v>263</v>
      </c>
      <c r="B133" s="81" t="s">
        <v>264</v>
      </c>
      <c r="C133" s="80" t="s">
        <v>36</v>
      </c>
      <c r="D133" s="135"/>
      <c r="E133" s="135"/>
      <c r="F133" s="135"/>
      <c r="G133" s="135"/>
      <c r="H133" s="135"/>
      <c r="I133" s="135"/>
      <c r="J133" s="135"/>
      <c r="L133" s="5">
        <f>11+7+3+3</f>
        <v>24</v>
      </c>
    </row>
    <row r="134" spans="1:12" ht="28.5">
      <c r="A134" s="86" t="s">
        <v>265</v>
      </c>
      <c r="B134" s="81" t="s">
        <v>266</v>
      </c>
      <c r="C134" s="80" t="s">
        <v>36</v>
      </c>
      <c r="D134" s="133"/>
      <c r="E134" s="133"/>
      <c r="F134" s="133"/>
      <c r="G134" s="133"/>
      <c r="H134" s="133"/>
      <c r="I134" s="133"/>
      <c r="J134" s="133"/>
    </row>
    <row r="135" spans="1:12" ht="28.5">
      <c r="A135" s="86" t="s">
        <v>267</v>
      </c>
      <c r="B135" s="81" t="s">
        <v>268</v>
      </c>
      <c r="C135" s="80" t="s">
        <v>36</v>
      </c>
      <c r="D135" s="133"/>
      <c r="E135" s="133"/>
      <c r="F135" s="133"/>
      <c r="G135" s="133"/>
      <c r="H135" s="133"/>
      <c r="I135" s="133"/>
      <c r="J135" s="133"/>
    </row>
    <row r="136" spans="1:12" ht="15">
      <c r="A136" s="73" t="s">
        <v>269</v>
      </c>
      <c r="B136" s="82" t="s">
        <v>270</v>
      </c>
      <c r="C136" s="74"/>
      <c r="D136" s="133"/>
      <c r="E136" s="133"/>
      <c r="F136" s="133"/>
      <c r="G136" s="133"/>
      <c r="H136" s="133"/>
      <c r="I136" s="133"/>
      <c r="J136" s="133"/>
    </row>
    <row r="137" spans="1:12">
      <c r="A137" s="86" t="s">
        <v>271</v>
      </c>
      <c r="B137" s="79" t="s">
        <v>272</v>
      </c>
      <c r="C137" s="80" t="s">
        <v>36</v>
      </c>
      <c r="D137" s="133"/>
      <c r="E137" s="133"/>
      <c r="F137" s="133"/>
      <c r="G137" s="133"/>
      <c r="H137" s="133"/>
      <c r="I137" s="133"/>
      <c r="J137" s="133"/>
    </row>
    <row r="138" spans="1:12" ht="28.5">
      <c r="A138" s="86" t="s">
        <v>273</v>
      </c>
      <c r="B138" s="79" t="s">
        <v>274</v>
      </c>
      <c r="C138" s="80" t="s">
        <v>36</v>
      </c>
      <c r="D138" s="133"/>
      <c r="E138" s="133"/>
      <c r="F138" s="133"/>
      <c r="G138" s="133"/>
      <c r="H138" s="133"/>
      <c r="I138" s="133"/>
      <c r="J138" s="133"/>
    </row>
    <row r="139" spans="1:12" ht="28.5">
      <c r="A139" s="86" t="s">
        <v>275</v>
      </c>
      <c r="B139" s="81" t="s">
        <v>276</v>
      </c>
      <c r="C139" s="80" t="s">
        <v>36</v>
      </c>
      <c r="D139" s="133"/>
      <c r="E139" s="133"/>
      <c r="F139" s="133"/>
      <c r="G139" s="133"/>
      <c r="H139" s="133"/>
      <c r="I139" s="133"/>
      <c r="J139" s="133"/>
    </row>
    <row r="140" spans="1:12" ht="28.5">
      <c r="A140" s="86" t="s">
        <v>277</v>
      </c>
      <c r="B140" s="81" t="s">
        <v>278</v>
      </c>
      <c r="C140" s="80" t="s">
        <v>279</v>
      </c>
      <c r="D140" s="133"/>
      <c r="E140" s="133"/>
      <c r="F140" s="133"/>
      <c r="G140" s="133"/>
      <c r="H140" s="133"/>
      <c r="I140" s="133"/>
      <c r="J140" s="133"/>
    </row>
    <row r="141" spans="1:12">
      <c r="A141" s="86" t="s">
        <v>280</v>
      </c>
      <c r="B141" s="79" t="s">
        <v>281</v>
      </c>
      <c r="C141" s="80" t="s">
        <v>36</v>
      </c>
      <c r="D141" s="133"/>
      <c r="E141" s="133"/>
      <c r="F141" s="133"/>
      <c r="G141" s="133"/>
      <c r="H141" s="133"/>
      <c r="I141" s="133"/>
      <c r="J141" s="133"/>
    </row>
    <row r="142" spans="1:12">
      <c r="A142" s="86" t="s">
        <v>282</v>
      </c>
      <c r="B142" s="79" t="s">
        <v>283</v>
      </c>
      <c r="C142" s="80" t="s">
        <v>36</v>
      </c>
      <c r="D142" s="133"/>
      <c r="E142" s="133"/>
      <c r="F142" s="133"/>
      <c r="G142" s="133"/>
      <c r="H142" s="133"/>
      <c r="I142" s="133"/>
      <c r="J142" s="133"/>
    </row>
    <row r="143" spans="1:12">
      <c r="A143" s="86" t="s">
        <v>284</v>
      </c>
      <c r="B143" s="79" t="s">
        <v>285</v>
      </c>
      <c r="C143" s="80" t="s">
        <v>36</v>
      </c>
      <c r="D143" s="133"/>
      <c r="E143" s="133"/>
      <c r="F143" s="133"/>
      <c r="G143" s="133"/>
      <c r="H143" s="133"/>
      <c r="I143" s="133"/>
      <c r="J143" s="133"/>
    </row>
    <row r="144" spans="1:12">
      <c r="A144" s="86" t="s">
        <v>286</v>
      </c>
      <c r="B144" s="79" t="s">
        <v>287</v>
      </c>
      <c r="C144" s="80" t="s">
        <v>36</v>
      </c>
      <c r="D144" s="133"/>
      <c r="E144" s="133"/>
      <c r="F144" s="133"/>
      <c r="G144" s="133"/>
      <c r="H144" s="133"/>
      <c r="I144" s="133"/>
      <c r="J144" s="133"/>
    </row>
    <row r="145" spans="1:10" ht="28.5">
      <c r="A145" s="86" t="s">
        <v>288</v>
      </c>
      <c r="B145" s="79" t="s">
        <v>289</v>
      </c>
      <c r="C145" s="80" t="s">
        <v>279</v>
      </c>
      <c r="D145" s="133"/>
      <c r="E145" s="133"/>
      <c r="F145" s="133"/>
      <c r="G145" s="133"/>
      <c r="H145" s="133"/>
      <c r="I145" s="133"/>
      <c r="J145" s="133"/>
    </row>
    <row r="146" spans="1:10" ht="42.75">
      <c r="A146" s="86" t="s">
        <v>290</v>
      </c>
      <c r="B146" s="81" t="s">
        <v>291</v>
      </c>
      <c r="C146" s="80" t="s">
        <v>36</v>
      </c>
      <c r="D146" s="133"/>
      <c r="E146" s="133"/>
      <c r="F146" s="133"/>
      <c r="G146" s="133"/>
      <c r="H146" s="133"/>
      <c r="I146" s="133"/>
      <c r="J146" s="133"/>
    </row>
    <row r="147" spans="1:10" ht="28.5">
      <c r="A147" s="86" t="s">
        <v>292</v>
      </c>
      <c r="B147" s="79" t="s">
        <v>293</v>
      </c>
      <c r="C147" s="80" t="s">
        <v>36</v>
      </c>
      <c r="D147" s="133"/>
      <c r="E147" s="133"/>
      <c r="F147" s="133"/>
      <c r="G147" s="133"/>
      <c r="H147" s="133"/>
      <c r="I147" s="133"/>
      <c r="J147" s="133"/>
    </row>
    <row r="148" spans="1:10" ht="15">
      <c r="A148" s="91">
        <v>10</v>
      </c>
      <c r="B148" s="92" t="s">
        <v>294</v>
      </c>
      <c r="C148" s="93"/>
      <c r="D148" s="133"/>
      <c r="E148" s="133"/>
      <c r="F148" s="133"/>
      <c r="G148" s="133"/>
      <c r="H148" s="133"/>
      <c r="I148" s="133"/>
      <c r="J148" s="133"/>
    </row>
    <row r="149" spans="1:10" ht="15">
      <c r="A149" s="73" t="s">
        <v>295</v>
      </c>
      <c r="B149" s="82" t="s">
        <v>296</v>
      </c>
      <c r="C149" s="74"/>
      <c r="D149" s="133"/>
      <c r="E149" s="133"/>
      <c r="F149" s="133"/>
      <c r="G149" s="133"/>
      <c r="H149" s="133"/>
      <c r="I149" s="133"/>
      <c r="J149" s="133"/>
    </row>
    <row r="150" spans="1:10" ht="28.5">
      <c r="A150" s="86" t="s">
        <v>297</v>
      </c>
      <c r="B150" s="84" t="s">
        <v>298</v>
      </c>
      <c r="C150" s="80" t="s">
        <v>36</v>
      </c>
      <c r="D150" s="133"/>
      <c r="E150" s="133"/>
      <c r="F150" s="133"/>
      <c r="G150" s="133"/>
      <c r="H150" s="133"/>
      <c r="I150" s="133"/>
      <c r="J150" s="133"/>
    </row>
    <row r="151" spans="1:10" ht="28.5">
      <c r="A151" s="86" t="s">
        <v>299</v>
      </c>
      <c r="B151" s="83" t="s">
        <v>300</v>
      </c>
      <c r="C151" s="80" t="s">
        <v>36</v>
      </c>
      <c r="D151" s="133"/>
      <c r="E151" s="133"/>
      <c r="F151" s="133"/>
      <c r="G151" s="133"/>
      <c r="H151" s="133"/>
      <c r="I151" s="133"/>
      <c r="J151" s="133"/>
    </row>
    <row r="152" spans="1:10" ht="71.25">
      <c r="A152" s="86" t="s">
        <v>301</v>
      </c>
      <c r="B152" s="83" t="s">
        <v>302</v>
      </c>
      <c r="C152" s="80" t="s">
        <v>36</v>
      </c>
      <c r="D152" s="133"/>
      <c r="E152" s="133"/>
      <c r="F152" s="133"/>
      <c r="G152" s="133"/>
      <c r="H152" s="133"/>
      <c r="I152" s="133"/>
      <c r="J152" s="133"/>
    </row>
    <row r="153" spans="1:10" ht="28.5">
      <c r="A153" s="86" t="s">
        <v>303</v>
      </c>
      <c r="B153" s="83" t="s">
        <v>304</v>
      </c>
      <c r="C153" s="80" t="s">
        <v>36</v>
      </c>
      <c r="D153" s="133"/>
      <c r="E153" s="133"/>
      <c r="F153" s="133"/>
      <c r="G153" s="133"/>
      <c r="H153" s="133"/>
      <c r="I153" s="133"/>
      <c r="J153" s="133"/>
    </row>
    <row r="154" spans="1:10" ht="42.75">
      <c r="A154" s="86" t="s">
        <v>305</v>
      </c>
      <c r="B154" s="83" t="s">
        <v>306</v>
      </c>
      <c r="C154" s="80" t="s">
        <v>36</v>
      </c>
      <c r="D154" s="133"/>
      <c r="E154" s="133"/>
      <c r="F154" s="133"/>
      <c r="G154" s="133"/>
      <c r="H154" s="133"/>
      <c r="I154" s="133"/>
      <c r="J154" s="133"/>
    </row>
    <row r="155" spans="1:10">
      <c r="A155" s="86" t="s">
        <v>307</v>
      </c>
      <c r="B155" s="83" t="s">
        <v>308</v>
      </c>
      <c r="C155" s="80" t="s">
        <v>36</v>
      </c>
      <c r="D155" s="133"/>
      <c r="E155" s="133"/>
      <c r="F155" s="133"/>
      <c r="G155" s="133"/>
      <c r="H155" s="133"/>
      <c r="I155" s="133"/>
      <c r="J155" s="133"/>
    </row>
    <row r="156" spans="1:10">
      <c r="A156" s="86" t="s">
        <v>309</v>
      </c>
      <c r="B156" s="83" t="s">
        <v>310</v>
      </c>
      <c r="C156" s="80" t="s">
        <v>36</v>
      </c>
      <c r="D156" s="133"/>
      <c r="E156" s="133"/>
      <c r="F156" s="133"/>
      <c r="G156" s="133"/>
      <c r="H156" s="133"/>
      <c r="I156" s="133"/>
      <c r="J156" s="133"/>
    </row>
    <row r="157" spans="1:10">
      <c r="A157" s="86" t="s">
        <v>311</v>
      </c>
      <c r="B157" s="83" t="s">
        <v>312</v>
      </c>
      <c r="C157" s="80" t="s">
        <v>36</v>
      </c>
      <c r="D157" s="133"/>
      <c r="E157" s="133"/>
      <c r="F157" s="133"/>
      <c r="G157" s="133"/>
      <c r="H157" s="133"/>
      <c r="I157" s="133"/>
      <c r="J157" s="133"/>
    </row>
    <row r="158" spans="1:10" ht="42.75">
      <c r="A158" s="86" t="s">
        <v>313</v>
      </c>
      <c r="B158" s="83" t="s">
        <v>314</v>
      </c>
      <c r="C158" s="80" t="s">
        <v>36</v>
      </c>
      <c r="D158" s="133"/>
      <c r="E158" s="133"/>
      <c r="F158" s="133"/>
      <c r="G158" s="133"/>
      <c r="H158" s="133"/>
      <c r="I158" s="133"/>
      <c r="J158" s="133"/>
    </row>
    <row r="159" spans="1:10" ht="28.5">
      <c r="A159" s="86" t="s">
        <v>315</v>
      </c>
      <c r="B159" s="83" t="s">
        <v>316</v>
      </c>
      <c r="C159" s="80" t="s">
        <v>36</v>
      </c>
      <c r="D159" s="133"/>
      <c r="E159" s="133"/>
      <c r="F159" s="133"/>
      <c r="G159" s="133"/>
      <c r="H159" s="133"/>
      <c r="I159" s="133"/>
      <c r="J159" s="133"/>
    </row>
    <row r="160" spans="1:10" ht="28.5">
      <c r="A160" s="86" t="s">
        <v>317</v>
      </c>
      <c r="B160" s="84" t="s">
        <v>318</v>
      </c>
      <c r="C160" s="80" t="s">
        <v>60</v>
      </c>
      <c r="D160" s="133"/>
      <c r="E160" s="133"/>
      <c r="F160" s="133"/>
      <c r="G160" s="133"/>
      <c r="H160" s="133"/>
      <c r="I160" s="133"/>
      <c r="J160" s="133"/>
    </row>
    <row r="161" spans="1:10">
      <c r="A161" s="86" t="s">
        <v>319</v>
      </c>
      <c r="B161" s="83" t="s">
        <v>320</v>
      </c>
      <c r="C161" s="80" t="s">
        <v>60</v>
      </c>
      <c r="D161" s="133"/>
      <c r="E161" s="133"/>
      <c r="F161" s="133"/>
      <c r="G161" s="133"/>
      <c r="H161" s="133"/>
      <c r="I161" s="133"/>
      <c r="J161" s="133"/>
    </row>
    <row r="162" spans="1:10">
      <c r="A162" s="86" t="s">
        <v>321</v>
      </c>
      <c r="B162" s="83" t="s">
        <v>322</v>
      </c>
      <c r="C162" s="80" t="s">
        <v>60</v>
      </c>
      <c r="D162" s="133"/>
      <c r="E162" s="133"/>
      <c r="F162" s="133"/>
      <c r="G162" s="133"/>
      <c r="H162" s="133"/>
      <c r="I162" s="133"/>
      <c r="J162" s="133"/>
    </row>
    <row r="163" spans="1:10" ht="28.5">
      <c r="A163" s="86" t="s">
        <v>323</v>
      </c>
      <c r="B163" s="83" t="s">
        <v>324</v>
      </c>
      <c r="C163" s="80" t="s">
        <v>36</v>
      </c>
      <c r="D163" s="133"/>
      <c r="E163" s="133"/>
      <c r="F163" s="133"/>
      <c r="G163" s="133"/>
      <c r="H163" s="133"/>
      <c r="I163" s="133"/>
      <c r="J163" s="133"/>
    </row>
    <row r="164" spans="1:10" ht="28.5">
      <c r="A164" s="86" t="s">
        <v>325</v>
      </c>
      <c r="B164" s="84" t="s">
        <v>464</v>
      </c>
      <c r="C164" s="80" t="s">
        <v>36</v>
      </c>
      <c r="D164" s="133"/>
      <c r="E164" s="133"/>
      <c r="F164" s="133"/>
      <c r="G164" s="133"/>
      <c r="H164" s="133"/>
      <c r="I164" s="133"/>
      <c r="J164" s="133"/>
    </row>
    <row r="165" spans="1:10">
      <c r="A165" s="86" t="s">
        <v>327</v>
      </c>
      <c r="B165" s="83" t="s">
        <v>328</v>
      </c>
      <c r="C165" s="80" t="s">
        <v>36</v>
      </c>
      <c r="D165" s="133"/>
      <c r="E165" s="133"/>
      <c r="F165" s="133"/>
      <c r="G165" s="133"/>
      <c r="H165" s="133"/>
      <c r="I165" s="133"/>
      <c r="J165" s="133"/>
    </row>
    <row r="166" spans="1:10" ht="28.5">
      <c r="A166" s="86" t="s">
        <v>329</v>
      </c>
      <c r="B166" s="83" t="s">
        <v>330</v>
      </c>
      <c r="C166" s="80" t="s">
        <v>36</v>
      </c>
      <c r="D166" s="133"/>
      <c r="E166" s="133"/>
      <c r="F166" s="133"/>
      <c r="G166" s="133"/>
      <c r="H166" s="133"/>
      <c r="I166" s="133"/>
      <c r="J166" s="133"/>
    </row>
    <row r="167" spans="1:10" ht="28.5">
      <c r="A167" s="86" t="s">
        <v>331</v>
      </c>
      <c r="B167" s="83" t="s">
        <v>332</v>
      </c>
      <c r="C167" s="80" t="s">
        <v>36</v>
      </c>
      <c r="D167" s="133"/>
      <c r="E167" s="133"/>
      <c r="F167" s="133"/>
      <c r="G167" s="133"/>
      <c r="H167" s="133"/>
      <c r="I167" s="133"/>
      <c r="J167" s="133"/>
    </row>
    <row r="168" spans="1:10" ht="28.5">
      <c r="A168" s="86" t="s">
        <v>333</v>
      </c>
      <c r="B168" s="84" t="s">
        <v>334</v>
      </c>
      <c r="C168" s="80" t="s">
        <v>36</v>
      </c>
      <c r="D168" s="133"/>
      <c r="E168" s="133"/>
      <c r="F168" s="133"/>
      <c r="G168" s="133"/>
      <c r="H168" s="133"/>
      <c r="I168" s="133"/>
      <c r="J168" s="133"/>
    </row>
    <row r="169" spans="1:10" ht="42.75">
      <c r="A169" s="86" t="s">
        <v>335</v>
      </c>
      <c r="B169" s="83" t="s">
        <v>336</v>
      </c>
      <c r="C169" s="80" t="s">
        <v>36</v>
      </c>
      <c r="D169" s="133"/>
      <c r="E169" s="133"/>
      <c r="F169" s="133"/>
      <c r="G169" s="133"/>
      <c r="H169" s="133"/>
      <c r="I169" s="133"/>
      <c r="J169" s="133"/>
    </row>
    <row r="170" spans="1:10" ht="15">
      <c r="A170" s="73" t="s">
        <v>337</v>
      </c>
      <c r="B170" s="82" t="s">
        <v>338</v>
      </c>
      <c r="C170" s="74"/>
      <c r="D170" s="133"/>
      <c r="E170" s="133"/>
      <c r="F170" s="133"/>
      <c r="G170" s="133"/>
      <c r="H170" s="133"/>
      <c r="I170" s="133"/>
      <c r="J170" s="133"/>
    </row>
    <row r="171" spans="1:10" ht="28.5">
      <c r="A171" s="86" t="s">
        <v>339</v>
      </c>
      <c r="B171" s="84" t="s">
        <v>340</v>
      </c>
      <c r="C171" s="80" t="s">
        <v>36</v>
      </c>
      <c r="D171" s="133"/>
      <c r="E171" s="133"/>
      <c r="F171" s="133"/>
      <c r="G171" s="133"/>
      <c r="H171" s="133"/>
      <c r="I171" s="133"/>
      <c r="J171" s="133"/>
    </row>
    <row r="172" spans="1:10" ht="28.5">
      <c r="A172" s="86" t="s">
        <v>341</v>
      </c>
      <c r="B172" s="84" t="s">
        <v>342</v>
      </c>
      <c r="C172" s="80" t="s">
        <v>36</v>
      </c>
      <c r="D172" s="133"/>
      <c r="E172" s="133"/>
      <c r="F172" s="133"/>
      <c r="G172" s="133"/>
      <c r="H172" s="133"/>
      <c r="I172" s="133"/>
      <c r="J172" s="133"/>
    </row>
    <row r="173" spans="1:10" ht="28.5">
      <c r="A173" s="86" t="s">
        <v>343</v>
      </c>
      <c r="B173" s="84" t="s">
        <v>344</v>
      </c>
      <c r="C173" s="80" t="s">
        <v>36</v>
      </c>
      <c r="D173" s="133"/>
      <c r="E173" s="133"/>
      <c r="F173" s="133"/>
      <c r="G173" s="133"/>
      <c r="H173" s="133"/>
      <c r="I173" s="133"/>
      <c r="J173" s="133"/>
    </row>
    <row r="174" spans="1:10">
      <c r="A174" s="86" t="s">
        <v>345</v>
      </c>
      <c r="B174" s="83" t="s">
        <v>346</v>
      </c>
      <c r="C174" s="80" t="s">
        <v>36</v>
      </c>
      <c r="D174" s="133"/>
      <c r="E174" s="133"/>
      <c r="F174" s="133"/>
      <c r="G174" s="133"/>
      <c r="H174" s="133"/>
      <c r="I174" s="133"/>
      <c r="J174" s="133"/>
    </row>
    <row r="175" spans="1:10">
      <c r="A175" s="86" t="s">
        <v>347</v>
      </c>
      <c r="B175" s="83" t="s">
        <v>348</v>
      </c>
      <c r="C175" s="80" t="s">
        <v>36</v>
      </c>
      <c r="D175" s="133"/>
      <c r="E175" s="133"/>
      <c r="F175" s="133"/>
      <c r="G175" s="133"/>
      <c r="H175" s="133"/>
      <c r="I175" s="133"/>
      <c r="J175" s="133"/>
    </row>
    <row r="176" spans="1:10">
      <c r="A176" s="86" t="s">
        <v>349</v>
      </c>
      <c r="B176" s="83" t="s">
        <v>350</v>
      </c>
      <c r="C176" s="80" t="s">
        <v>351</v>
      </c>
      <c r="D176" s="133"/>
      <c r="E176" s="133"/>
      <c r="F176" s="133"/>
      <c r="G176" s="133"/>
      <c r="H176" s="133"/>
      <c r="I176" s="133"/>
      <c r="J176" s="133"/>
    </row>
    <row r="177" spans="1:10" ht="28.5">
      <c r="A177" s="86" t="s">
        <v>352</v>
      </c>
      <c r="B177" s="83" t="s">
        <v>353</v>
      </c>
      <c r="C177" s="80" t="s">
        <v>36</v>
      </c>
      <c r="D177" s="133"/>
      <c r="E177" s="133"/>
      <c r="F177" s="133"/>
      <c r="G177" s="133"/>
      <c r="H177" s="133"/>
      <c r="I177" s="133"/>
      <c r="J177" s="133"/>
    </row>
    <row r="178" spans="1:10" ht="28.5">
      <c r="A178" s="86" t="s">
        <v>354</v>
      </c>
      <c r="B178" s="84" t="s">
        <v>465</v>
      </c>
      <c r="C178" s="80" t="s">
        <v>351</v>
      </c>
      <c r="D178" s="133"/>
      <c r="E178" s="133"/>
      <c r="F178" s="133"/>
      <c r="G178" s="133"/>
      <c r="H178" s="133"/>
      <c r="I178" s="133"/>
      <c r="J178" s="133"/>
    </row>
    <row r="179" spans="1:10">
      <c r="A179" s="86" t="s">
        <v>356</v>
      </c>
      <c r="B179" s="83" t="s">
        <v>357</v>
      </c>
      <c r="C179" s="80" t="s">
        <v>36</v>
      </c>
      <c r="D179" s="133"/>
      <c r="E179" s="133"/>
      <c r="F179" s="133"/>
      <c r="G179" s="133"/>
      <c r="H179" s="133"/>
      <c r="I179" s="133"/>
      <c r="J179" s="133"/>
    </row>
    <row r="180" spans="1:10" ht="28.5">
      <c r="A180" s="86" t="s">
        <v>358</v>
      </c>
      <c r="B180" s="84" t="s">
        <v>466</v>
      </c>
      <c r="C180" s="80" t="s">
        <v>36</v>
      </c>
      <c r="D180" s="133"/>
      <c r="E180" s="133"/>
      <c r="F180" s="133"/>
      <c r="G180" s="133"/>
      <c r="H180" s="133"/>
      <c r="I180" s="133"/>
      <c r="J180" s="133"/>
    </row>
    <row r="181" spans="1:10" ht="28.5">
      <c r="A181" s="86" t="s">
        <v>360</v>
      </c>
      <c r="B181" s="84" t="s">
        <v>467</v>
      </c>
      <c r="C181" s="80" t="s">
        <v>36</v>
      </c>
      <c r="D181" s="133"/>
      <c r="E181" s="133"/>
      <c r="F181" s="133"/>
      <c r="G181" s="133"/>
      <c r="H181" s="133"/>
      <c r="I181" s="133"/>
      <c r="J181" s="133"/>
    </row>
    <row r="182" spans="1:10" ht="28.5">
      <c r="A182" s="86" t="s">
        <v>362</v>
      </c>
      <c r="B182" s="83" t="s">
        <v>363</v>
      </c>
      <c r="C182" s="80" t="s">
        <v>36</v>
      </c>
      <c r="D182" s="133"/>
      <c r="E182" s="133"/>
      <c r="F182" s="133"/>
      <c r="G182" s="133"/>
      <c r="H182" s="133"/>
      <c r="I182" s="133"/>
      <c r="J182" s="133"/>
    </row>
    <row r="183" spans="1:10" ht="28.5">
      <c r="A183" s="86" t="s">
        <v>364</v>
      </c>
      <c r="B183" s="83" t="s">
        <v>365</v>
      </c>
      <c r="C183" s="80" t="s">
        <v>36</v>
      </c>
      <c r="D183" s="133"/>
      <c r="E183" s="133"/>
      <c r="F183" s="133"/>
      <c r="G183" s="133"/>
      <c r="H183" s="133"/>
      <c r="I183" s="133"/>
      <c r="J183" s="133"/>
    </row>
    <row r="184" spans="1:10">
      <c r="A184" s="86" t="s">
        <v>366</v>
      </c>
      <c r="B184" s="83" t="s">
        <v>367</v>
      </c>
      <c r="C184" s="80" t="s">
        <v>36</v>
      </c>
      <c r="D184" s="133"/>
      <c r="E184" s="133"/>
      <c r="F184" s="133"/>
      <c r="G184" s="133"/>
      <c r="H184" s="133"/>
      <c r="I184" s="133"/>
      <c r="J184" s="133"/>
    </row>
    <row r="185" spans="1:10" ht="15">
      <c r="A185" s="73" t="s">
        <v>368</v>
      </c>
      <c r="B185" s="82" t="s">
        <v>369</v>
      </c>
      <c r="C185" s="74"/>
      <c r="D185" s="133"/>
      <c r="E185" s="133"/>
      <c r="F185" s="133"/>
      <c r="G185" s="133"/>
      <c r="H185" s="133"/>
      <c r="I185" s="133"/>
      <c r="J185" s="133"/>
    </row>
    <row r="186" spans="1:10" ht="42.75">
      <c r="A186" s="86" t="s">
        <v>370</v>
      </c>
      <c r="B186" s="84" t="s">
        <v>468</v>
      </c>
      <c r="C186" s="80" t="s">
        <v>36</v>
      </c>
      <c r="D186" s="133"/>
      <c r="E186" s="133"/>
      <c r="F186" s="133"/>
      <c r="G186" s="133"/>
      <c r="H186" s="133"/>
      <c r="I186" s="133"/>
      <c r="J186" s="133"/>
    </row>
    <row r="187" spans="1:10" ht="28.5">
      <c r="A187" s="86" t="s">
        <v>372</v>
      </c>
      <c r="B187" s="84" t="s">
        <v>469</v>
      </c>
      <c r="C187" s="80" t="s">
        <v>36</v>
      </c>
      <c r="D187" s="133"/>
      <c r="E187" s="133"/>
      <c r="F187" s="133"/>
      <c r="G187" s="133"/>
      <c r="H187" s="133"/>
      <c r="I187" s="133"/>
      <c r="J187" s="133"/>
    </row>
    <row r="188" spans="1:10" ht="28.5">
      <c r="A188" s="86" t="s">
        <v>374</v>
      </c>
      <c r="B188" s="84" t="s">
        <v>470</v>
      </c>
      <c r="C188" s="80" t="s">
        <v>36</v>
      </c>
      <c r="D188" s="133"/>
      <c r="E188" s="133"/>
      <c r="F188" s="133"/>
      <c r="G188" s="133"/>
      <c r="H188" s="133"/>
      <c r="I188" s="133"/>
      <c r="J188" s="133"/>
    </row>
    <row r="189" spans="1:10">
      <c r="A189" s="86" t="s">
        <v>376</v>
      </c>
      <c r="B189" s="83" t="s">
        <v>377</v>
      </c>
      <c r="C189" s="80" t="s">
        <v>36</v>
      </c>
      <c r="D189" s="133"/>
      <c r="E189" s="133"/>
      <c r="F189" s="133"/>
      <c r="G189" s="133"/>
      <c r="H189" s="133"/>
      <c r="I189" s="133"/>
      <c r="J189" s="133"/>
    </row>
    <row r="190" spans="1:10" ht="28.5">
      <c r="A190" s="86" t="s">
        <v>378</v>
      </c>
      <c r="B190" s="84" t="s">
        <v>379</v>
      </c>
      <c r="C190" s="80" t="s">
        <v>36</v>
      </c>
      <c r="D190" s="133"/>
      <c r="E190" s="133"/>
      <c r="F190" s="133"/>
      <c r="G190" s="133"/>
      <c r="H190" s="133"/>
      <c r="I190" s="133"/>
      <c r="J190" s="133"/>
    </row>
    <row r="191" spans="1:10">
      <c r="A191" s="86" t="s">
        <v>380</v>
      </c>
      <c r="B191" s="83" t="s">
        <v>346</v>
      </c>
      <c r="C191" s="80" t="s">
        <v>36</v>
      </c>
      <c r="D191" s="133"/>
      <c r="E191" s="133"/>
      <c r="F191" s="133"/>
      <c r="G191" s="133"/>
      <c r="H191" s="133"/>
      <c r="I191" s="133"/>
      <c r="J191" s="133"/>
    </row>
    <row r="192" spans="1:10" ht="28.5">
      <c r="A192" s="86" t="s">
        <v>381</v>
      </c>
      <c r="B192" s="83" t="s">
        <v>365</v>
      </c>
      <c r="C192" s="80" t="s">
        <v>36</v>
      </c>
      <c r="D192" s="133"/>
      <c r="E192" s="133"/>
      <c r="F192" s="133"/>
      <c r="G192" s="133"/>
      <c r="H192" s="133"/>
      <c r="I192" s="133"/>
      <c r="J192" s="133"/>
    </row>
    <row r="193" spans="1:10" ht="28.5">
      <c r="A193" s="86" t="s">
        <v>382</v>
      </c>
      <c r="B193" s="84" t="s">
        <v>471</v>
      </c>
      <c r="C193" s="80" t="s">
        <v>36</v>
      </c>
      <c r="D193" s="133"/>
      <c r="E193" s="133"/>
      <c r="F193" s="133"/>
      <c r="G193" s="133"/>
      <c r="H193" s="133"/>
      <c r="I193" s="133"/>
      <c r="J193" s="133"/>
    </row>
    <row r="194" spans="1:10" ht="15">
      <c r="A194" s="73" t="s">
        <v>384</v>
      </c>
      <c r="B194" s="82" t="s">
        <v>385</v>
      </c>
      <c r="C194" s="74"/>
      <c r="D194" s="133"/>
      <c r="E194" s="133"/>
      <c r="F194" s="133"/>
      <c r="G194" s="133"/>
      <c r="H194" s="133"/>
      <c r="I194" s="133"/>
      <c r="J194" s="133"/>
    </row>
    <row r="195" spans="1:10" ht="28.5">
      <c r="A195" s="86" t="s">
        <v>386</v>
      </c>
      <c r="B195" s="83" t="s">
        <v>387</v>
      </c>
      <c r="C195" s="80" t="s">
        <v>36</v>
      </c>
      <c r="D195" s="133"/>
      <c r="E195" s="133"/>
      <c r="F195" s="133"/>
      <c r="G195" s="133"/>
      <c r="H195" s="133"/>
      <c r="I195" s="133"/>
      <c r="J195" s="133"/>
    </row>
    <row r="196" spans="1:10" ht="28.5">
      <c r="A196" s="86" t="s">
        <v>388</v>
      </c>
      <c r="B196" s="83" t="s">
        <v>389</v>
      </c>
      <c r="C196" s="80" t="s">
        <v>36</v>
      </c>
      <c r="D196" s="133"/>
      <c r="E196" s="133"/>
      <c r="F196" s="133"/>
      <c r="G196" s="133"/>
      <c r="H196" s="133"/>
      <c r="I196" s="133"/>
      <c r="J196" s="133"/>
    </row>
    <row r="197" spans="1:10" ht="28.5">
      <c r="A197" s="86" t="s">
        <v>390</v>
      </c>
      <c r="B197" s="83" t="s">
        <v>391</v>
      </c>
      <c r="C197" s="80" t="s">
        <v>36</v>
      </c>
      <c r="D197" s="133"/>
      <c r="E197" s="133"/>
      <c r="F197" s="133"/>
      <c r="G197" s="133"/>
      <c r="H197" s="133"/>
      <c r="I197" s="133"/>
      <c r="J197" s="133"/>
    </row>
    <row r="198" spans="1:10" ht="28.5">
      <c r="A198" s="86" t="s">
        <v>392</v>
      </c>
      <c r="B198" s="83" t="s">
        <v>393</v>
      </c>
      <c r="C198" s="80" t="s">
        <v>279</v>
      </c>
      <c r="D198" s="133"/>
      <c r="E198" s="133"/>
      <c r="F198" s="133"/>
      <c r="G198" s="133"/>
      <c r="H198" s="133"/>
      <c r="I198" s="133"/>
      <c r="J198" s="133"/>
    </row>
    <row r="199" spans="1:10" ht="15">
      <c r="A199" s="73" t="s">
        <v>394</v>
      </c>
      <c r="B199" s="82" t="s">
        <v>395</v>
      </c>
      <c r="C199" s="74"/>
      <c r="D199" s="133"/>
      <c r="E199" s="133"/>
      <c r="F199" s="133"/>
      <c r="G199" s="133"/>
      <c r="H199" s="133"/>
      <c r="I199" s="133"/>
      <c r="J199" s="133"/>
    </row>
    <row r="200" spans="1:10" ht="57">
      <c r="A200" s="86" t="s">
        <v>396</v>
      </c>
      <c r="B200" s="83" t="s">
        <v>397</v>
      </c>
      <c r="C200" s="80" t="s">
        <v>36</v>
      </c>
      <c r="D200" s="133"/>
      <c r="E200" s="133"/>
      <c r="F200" s="133"/>
      <c r="G200" s="133"/>
      <c r="H200" s="133"/>
      <c r="I200" s="133"/>
      <c r="J200" s="133"/>
    </row>
    <row r="201" spans="1:10" ht="28.5">
      <c r="A201" s="86" t="s">
        <v>398</v>
      </c>
      <c r="B201" s="84" t="s">
        <v>399</v>
      </c>
      <c r="C201" s="80" t="s">
        <v>60</v>
      </c>
      <c r="D201" s="133"/>
      <c r="E201" s="133"/>
      <c r="F201" s="133"/>
      <c r="G201" s="133"/>
      <c r="H201" s="133"/>
      <c r="I201" s="133"/>
      <c r="J201" s="133"/>
    </row>
    <row r="202" spans="1:10" ht="28.5">
      <c r="A202" s="86" t="s">
        <v>400</v>
      </c>
      <c r="B202" s="84" t="s">
        <v>472</v>
      </c>
      <c r="C202" s="80" t="s">
        <v>60</v>
      </c>
      <c r="D202" s="133"/>
      <c r="E202" s="133"/>
      <c r="F202" s="133"/>
      <c r="G202" s="133"/>
      <c r="H202" s="133"/>
      <c r="I202" s="133"/>
      <c r="J202" s="133"/>
    </row>
    <row r="203" spans="1:10" ht="42.75">
      <c r="A203" s="86" t="s">
        <v>402</v>
      </c>
      <c r="B203" s="83" t="s">
        <v>403</v>
      </c>
      <c r="C203" s="80" t="s">
        <v>36</v>
      </c>
      <c r="D203" s="133"/>
      <c r="E203" s="133"/>
      <c r="F203" s="133"/>
      <c r="G203" s="133"/>
      <c r="H203" s="133"/>
      <c r="I203" s="133"/>
      <c r="J203" s="133"/>
    </row>
    <row r="204" spans="1:10" ht="42.75">
      <c r="A204" s="86" t="s">
        <v>404</v>
      </c>
      <c r="B204" s="83" t="s">
        <v>405</v>
      </c>
      <c r="C204" s="80" t="s">
        <v>36</v>
      </c>
      <c r="D204" s="133"/>
      <c r="E204" s="133"/>
      <c r="F204" s="133"/>
      <c r="G204" s="133"/>
      <c r="H204" s="133"/>
      <c r="I204" s="133"/>
      <c r="J204" s="133"/>
    </row>
    <row r="205" spans="1:10" ht="15">
      <c r="A205" s="91">
        <v>11</v>
      </c>
      <c r="B205" s="92" t="s">
        <v>406</v>
      </c>
      <c r="C205" s="93"/>
      <c r="D205" s="133"/>
      <c r="E205" s="133"/>
      <c r="F205" s="133"/>
      <c r="G205" s="133"/>
      <c r="H205" s="133"/>
      <c r="I205" s="133"/>
      <c r="J205" s="133"/>
    </row>
    <row r="206" spans="1:10">
      <c r="A206" s="78" t="s">
        <v>407</v>
      </c>
      <c r="B206" s="83" t="s">
        <v>408</v>
      </c>
      <c r="C206" s="80" t="s">
        <v>60</v>
      </c>
      <c r="D206" s="133"/>
      <c r="E206" s="133"/>
      <c r="F206" s="133"/>
      <c r="G206" s="133"/>
      <c r="H206" s="133"/>
      <c r="I206" s="133"/>
      <c r="J206" s="133"/>
    </row>
    <row r="207" spans="1:10" ht="28.5">
      <c r="A207" s="78" t="s">
        <v>409</v>
      </c>
      <c r="B207" s="83" t="s">
        <v>410</v>
      </c>
      <c r="C207" s="80" t="s">
        <v>36</v>
      </c>
      <c r="D207" s="133"/>
      <c r="E207" s="133"/>
      <c r="F207" s="133"/>
      <c r="G207" s="133"/>
      <c r="H207" s="133"/>
      <c r="I207" s="133"/>
      <c r="J207" s="133"/>
    </row>
    <row r="208" spans="1:10">
      <c r="A208" s="78" t="s">
        <v>411</v>
      </c>
      <c r="B208" s="83" t="s">
        <v>412</v>
      </c>
      <c r="C208" s="80" t="s">
        <v>36</v>
      </c>
      <c r="D208" s="133"/>
      <c r="E208" s="133"/>
      <c r="F208" s="133"/>
      <c r="G208" s="133"/>
      <c r="H208" s="133"/>
      <c r="I208" s="133"/>
      <c r="J208" s="133"/>
    </row>
    <row r="209" spans="1:10" ht="15">
      <c r="A209" s="91">
        <v>12</v>
      </c>
      <c r="B209" s="92" t="s">
        <v>413</v>
      </c>
      <c r="C209" s="93"/>
      <c r="D209" s="133"/>
      <c r="E209" s="133"/>
      <c r="F209" s="133"/>
      <c r="G209" s="133"/>
      <c r="H209" s="133"/>
      <c r="I209" s="133"/>
      <c r="J209" s="133"/>
    </row>
    <row r="210" spans="1:10" ht="57">
      <c r="A210" s="78" t="s">
        <v>414</v>
      </c>
      <c r="B210" s="84" t="s">
        <v>415</v>
      </c>
      <c r="C210" s="80" t="s">
        <v>36</v>
      </c>
      <c r="D210" s="133"/>
      <c r="E210" s="133"/>
      <c r="F210" s="133"/>
      <c r="G210" s="133"/>
      <c r="H210" s="133"/>
      <c r="I210" s="133"/>
      <c r="J210" s="133"/>
    </row>
    <row r="211" spans="1:10" ht="42.75">
      <c r="A211" s="78" t="s">
        <v>416</v>
      </c>
      <c r="B211" s="84" t="s">
        <v>417</v>
      </c>
      <c r="C211" s="80" t="s">
        <v>36</v>
      </c>
      <c r="D211" s="133"/>
      <c r="E211" s="133"/>
      <c r="F211" s="133"/>
      <c r="G211" s="133"/>
      <c r="H211" s="133"/>
      <c r="I211" s="133"/>
      <c r="J211" s="133"/>
    </row>
    <row r="212" spans="1:10" ht="42.75">
      <c r="A212" s="78" t="s">
        <v>418</v>
      </c>
      <c r="B212" s="84" t="s">
        <v>419</v>
      </c>
      <c r="C212" s="80" t="s">
        <v>36</v>
      </c>
      <c r="D212" s="133"/>
      <c r="E212" s="133"/>
      <c r="F212" s="133"/>
      <c r="G212" s="133"/>
      <c r="H212" s="133"/>
      <c r="I212" s="133"/>
      <c r="J212" s="133"/>
    </row>
    <row r="213" spans="1:10" ht="57">
      <c r="A213" s="78" t="s">
        <v>420</v>
      </c>
      <c r="B213" s="83" t="s">
        <v>421</v>
      </c>
      <c r="C213" s="80" t="s">
        <v>36</v>
      </c>
      <c r="D213" s="133"/>
      <c r="E213" s="133"/>
      <c r="F213" s="133"/>
      <c r="G213" s="133"/>
      <c r="H213" s="133"/>
      <c r="I213" s="133"/>
      <c r="J213" s="133"/>
    </row>
    <row r="214" spans="1:10" ht="42.75">
      <c r="A214" s="78" t="s">
        <v>422</v>
      </c>
      <c r="B214" s="84" t="s">
        <v>473</v>
      </c>
      <c r="C214" s="80" t="s">
        <v>36</v>
      </c>
      <c r="D214" s="133"/>
      <c r="E214" s="133"/>
      <c r="F214" s="133"/>
      <c r="G214" s="133"/>
      <c r="H214" s="133"/>
      <c r="I214" s="133"/>
      <c r="J214" s="133"/>
    </row>
    <row r="215" spans="1:10" ht="42.75">
      <c r="A215" s="78" t="s">
        <v>424</v>
      </c>
      <c r="B215" s="84" t="s">
        <v>425</v>
      </c>
      <c r="C215" s="80" t="s">
        <v>36</v>
      </c>
      <c r="D215" s="133"/>
      <c r="E215" s="133"/>
      <c r="F215" s="133"/>
      <c r="G215" s="133"/>
      <c r="H215" s="133"/>
      <c r="I215" s="133"/>
      <c r="J215" s="133"/>
    </row>
    <row r="216" spans="1:10" ht="15">
      <c r="A216" s="91">
        <v>13</v>
      </c>
      <c r="B216" s="92" t="s">
        <v>426</v>
      </c>
      <c r="C216" s="93"/>
      <c r="D216" s="133"/>
      <c r="E216" s="133"/>
      <c r="F216" s="133"/>
      <c r="G216" s="133"/>
      <c r="H216" s="133"/>
      <c r="I216" s="133"/>
      <c r="J216" s="133"/>
    </row>
    <row r="217" spans="1:10">
      <c r="A217" s="78" t="s">
        <v>427</v>
      </c>
      <c r="B217" s="83" t="s">
        <v>428</v>
      </c>
      <c r="C217" s="80" t="s">
        <v>351</v>
      </c>
      <c r="D217" s="133"/>
      <c r="E217" s="133"/>
      <c r="F217" s="133"/>
      <c r="G217" s="133"/>
      <c r="H217" s="133"/>
      <c r="I217" s="133"/>
      <c r="J217" s="133"/>
    </row>
    <row r="218" spans="1:10">
      <c r="A218" s="78" t="s">
        <v>429</v>
      </c>
      <c r="B218" s="83" t="s">
        <v>430</v>
      </c>
      <c r="C218" s="80" t="s">
        <v>36</v>
      </c>
      <c r="D218" s="133"/>
      <c r="E218" s="133"/>
      <c r="F218" s="133"/>
      <c r="G218" s="133"/>
      <c r="H218" s="133"/>
      <c r="I218" s="133"/>
      <c r="J218" s="133"/>
    </row>
    <row r="219" spans="1:10">
      <c r="A219" s="78" t="s">
        <v>431</v>
      </c>
      <c r="B219" s="83" t="s">
        <v>432</v>
      </c>
      <c r="C219" s="80" t="s">
        <v>27</v>
      </c>
      <c r="D219" s="133"/>
      <c r="E219" s="133"/>
      <c r="F219" s="133"/>
      <c r="G219" s="133"/>
      <c r="H219" s="133"/>
      <c r="I219" s="133"/>
      <c r="J219" s="133"/>
    </row>
    <row r="220" spans="1:10" ht="28.5">
      <c r="A220" s="78" t="s">
        <v>433</v>
      </c>
      <c r="B220" s="83" t="s">
        <v>434</v>
      </c>
      <c r="C220" s="80" t="s">
        <v>435</v>
      </c>
      <c r="D220" s="133"/>
      <c r="E220" s="133"/>
      <c r="F220" s="133"/>
      <c r="G220" s="133"/>
      <c r="H220" s="133"/>
      <c r="I220" s="133"/>
      <c r="J220" s="133"/>
    </row>
    <row r="221" spans="1:10" ht="28.5">
      <c r="A221" s="78" t="s">
        <v>436</v>
      </c>
      <c r="B221" s="83" t="s">
        <v>437</v>
      </c>
      <c r="C221" s="80" t="s">
        <v>438</v>
      </c>
      <c r="D221" s="133"/>
      <c r="E221" s="133"/>
      <c r="F221" s="133"/>
      <c r="G221" s="133"/>
      <c r="H221" s="133"/>
      <c r="I221" s="133"/>
      <c r="J221" s="133"/>
    </row>
    <row r="222" spans="1:10" ht="15">
      <c r="A222" s="91">
        <f>'[1]BM 05'!B229</f>
        <v>14</v>
      </c>
      <c r="B222" s="92" t="str">
        <f>'[1]BM 05'!C229</f>
        <v>ITENS ADITADOS</v>
      </c>
      <c r="C222" s="93"/>
      <c r="D222" s="133"/>
      <c r="E222" s="133"/>
      <c r="F222" s="133"/>
      <c r="G222" s="133"/>
      <c r="H222" s="133"/>
      <c r="I222" s="133"/>
      <c r="J222" s="133"/>
    </row>
    <row r="223" spans="1:10" ht="15">
      <c r="A223" s="111" t="str">
        <f>'[1]BM 05'!B230</f>
        <v>14.1</v>
      </c>
      <c r="B223" s="82" t="str">
        <f>'[1]BM 05'!C230</f>
        <v>MURO DE ENTORNO</v>
      </c>
      <c r="C223" s="112"/>
      <c r="D223" s="150"/>
      <c r="E223" s="150"/>
      <c r="F223" s="150"/>
      <c r="G223" s="150"/>
      <c r="H223" s="150"/>
      <c r="I223" s="150"/>
      <c r="J223" s="150"/>
    </row>
    <row r="224" spans="1:10" ht="57">
      <c r="A224" s="113" t="str">
        <f>'[1]BM 05'!B231</f>
        <v>14.1.1</v>
      </c>
      <c r="B224" s="83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80" t="str">
        <f>'[1]BM 05'!D231</f>
        <v>m²</v>
      </c>
      <c r="D224" s="133"/>
      <c r="E224" s="133"/>
      <c r="F224" s="133"/>
      <c r="G224" s="133"/>
      <c r="H224" s="133"/>
      <c r="I224" s="133"/>
      <c r="J224" s="133"/>
    </row>
    <row r="225" spans="1:12" ht="71.25">
      <c r="A225" s="113" t="str">
        <f>'[1]BM 05'!B232</f>
        <v>14.1.2</v>
      </c>
      <c r="B225" s="83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80" t="str">
        <f>'[1]BM 05'!D232</f>
        <v>m²</v>
      </c>
      <c r="D225" s="135"/>
      <c r="E225" s="135"/>
      <c r="F225" s="135"/>
      <c r="G225" s="135"/>
      <c r="H225" s="135"/>
      <c r="I225" s="135"/>
      <c r="J225" s="135"/>
      <c r="L225" s="5">
        <f>((0.14+0.6)*28.95/2)+((0.6+1.35)*28.95/2)+((0.6+1.35)*34.65/2)+((0.38+0.45)*5.98/2)</f>
        <v>75.20320000000001</v>
      </c>
    </row>
    <row r="226" spans="1:12" ht="28.5">
      <c r="A226" s="113" t="str">
        <f>'[1]BM 05'!B233</f>
        <v>14.1.3</v>
      </c>
      <c r="B226" s="83" t="str">
        <f>'[1]BM 05'!C233</f>
        <v>CHAPISCO EM PAREDE COM ARGAMASSA TRAÇO T1 - 1:3 (CIMENTO / AREIA) - REVISADO 08/2015</v>
      </c>
      <c r="C226" s="80" t="str">
        <f>'[1]BM 05'!D233</f>
        <v>m²</v>
      </c>
      <c r="D226" s="133"/>
      <c r="E226" s="133"/>
      <c r="F226" s="133"/>
      <c r="G226" s="133"/>
      <c r="H226" s="133"/>
      <c r="I226" s="133"/>
      <c r="J226" s="133"/>
    </row>
    <row r="227" spans="1:12" ht="28.5">
      <c r="A227" s="113" t="str">
        <f>'[1]BM 05'!B234</f>
        <v>14.1.4</v>
      </c>
      <c r="B227" s="83" t="str">
        <f>'[1]BM 05'!C234</f>
        <v>REBOCO OU EMBOÇO EXTERNO, DE PAREDE, COM ARGAMASSA TRAÇO T5 - 1:2:8 (CIMENTO / CAL / AREIA), ESPESSURA 2,0 CM</v>
      </c>
      <c r="C227" s="80" t="str">
        <f>'[1]BM 05'!D234</f>
        <v>m²</v>
      </c>
      <c r="D227" s="133"/>
      <c r="E227" s="133"/>
      <c r="F227" s="133"/>
      <c r="G227" s="133"/>
      <c r="H227" s="133"/>
      <c r="I227" s="133"/>
      <c r="J227" s="133"/>
    </row>
    <row r="228" spans="1:12" ht="15">
      <c r="A228" s="111" t="str">
        <f>'[1]BM 05'!B235</f>
        <v>14.2</v>
      </c>
      <c r="B228" s="82" t="str">
        <f>'[1]BM 05'!C235</f>
        <v>INFRAESTRUTURA</v>
      </c>
      <c r="C228" s="114"/>
      <c r="D228" s="150"/>
      <c r="E228" s="150"/>
      <c r="F228" s="150"/>
      <c r="G228" s="150"/>
      <c r="H228" s="150"/>
      <c r="I228" s="150"/>
      <c r="J228" s="150"/>
    </row>
    <row r="229" spans="1:12" ht="71.25">
      <c r="A229" s="113" t="str">
        <f>'[1]BM 05'!B236</f>
        <v>14.2.1</v>
      </c>
      <c r="B229" s="83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80" t="str">
        <f>'[1]BM 05'!D236</f>
        <v>m²</v>
      </c>
      <c r="D229" s="133"/>
      <c r="E229" s="133"/>
      <c r="F229" s="133"/>
      <c r="G229" s="133"/>
      <c r="H229" s="133"/>
      <c r="I229" s="133"/>
      <c r="J229" s="133"/>
    </row>
    <row r="230" spans="1:12" ht="57">
      <c r="A230" s="113" t="str">
        <f>'[1]BM 05'!B237</f>
        <v>14.2.2</v>
      </c>
      <c r="B230" s="83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80" t="str">
        <f>'[1]BM 05'!D237</f>
        <v>m³</v>
      </c>
      <c r="D230" s="135"/>
      <c r="E230" s="135"/>
      <c r="F230" s="135"/>
      <c r="G230" s="135"/>
      <c r="H230" s="135"/>
      <c r="I230" s="135"/>
      <c r="J230" s="135"/>
    </row>
    <row r="231" spans="1:12" ht="15">
      <c r="A231" s="111" t="str">
        <f>'[1]BM 05'!B238</f>
        <v>14.3</v>
      </c>
      <c r="B231" s="82" t="str">
        <f>'[1]BM 05'!C238</f>
        <v>DIVERSOS</v>
      </c>
      <c r="C231" s="114"/>
      <c r="D231" s="150"/>
      <c r="E231" s="150"/>
      <c r="F231" s="150"/>
      <c r="G231" s="150"/>
      <c r="H231" s="150"/>
      <c r="I231" s="150"/>
      <c r="J231" s="150"/>
    </row>
    <row r="232" spans="1:12" ht="28.5">
      <c r="A232" s="113" t="str">
        <f>'[1]BM 05'!B239</f>
        <v>14.3.1</v>
      </c>
      <c r="B232" s="83" t="str">
        <f>'[1]BM 05'!C239</f>
        <v>GRADIL EM ALUMÍNIO FIXADO EM VÃOS DE JANELAS, FORMADO POR TUBOS DE 3/4". AF_04/2019 (JANELAS DA FACHADA LESTE TERREO)</v>
      </c>
      <c r="C232" s="80" t="str">
        <f>'[1]BM 05'!D239</f>
        <v>m²</v>
      </c>
      <c r="D232" s="133"/>
      <c r="E232" s="133"/>
      <c r="F232" s="133"/>
      <c r="G232" s="133"/>
      <c r="H232" s="133"/>
      <c r="I232" s="133"/>
      <c r="J232" s="133"/>
    </row>
    <row r="233" spans="1:12" ht="109.5" customHeight="1">
      <c r="A233" s="113" t="str">
        <f>'[1]BM 05'!B240</f>
        <v>14.3.2</v>
      </c>
      <c r="B233" s="83" t="str">
        <f>'[1]BM 05'!C240</f>
        <v>FORRO EM PLACAS DE GESSO, PARA AMBIENTES RESIDENCIAIS. AF_05/2017_P</v>
      </c>
      <c r="C233" s="80" t="str">
        <f>'[1]BM 05'!D240</f>
        <v>m²</v>
      </c>
      <c r="D233" s="135"/>
      <c r="E233" s="135"/>
      <c r="F233" s="135"/>
      <c r="G233" s="135"/>
      <c r="H233" s="135"/>
      <c r="I233" s="135"/>
      <c r="J233" s="135"/>
    </row>
    <row r="234" spans="1:12" ht="42.75">
      <c r="A234" s="113" t="str">
        <f>'[1]BM 05'!B241</f>
        <v>14.3.3</v>
      </c>
      <c r="B234" s="83" t="str">
        <f>'[1]BM 05'!C241</f>
        <v>Portão de abrir, 2 folhas, com quadro em tubo galvanizado 2", com barra quadrada de 3/4" na vertical e esticador redondo de 3/4", inclusive fechadura e dobradiças</v>
      </c>
      <c r="C234" s="80" t="str">
        <f>'[1]BM 05'!D241</f>
        <v>m²</v>
      </c>
      <c r="D234" s="133"/>
      <c r="E234" s="133"/>
      <c r="F234" s="133"/>
      <c r="G234" s="133"/>
      <c r="H234" s="133"/>
      <c r="I234" s="133"/>
      <c r="J234" s="133"/>
    </row>
  </sheetData>
  <mergeCells count="234"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  <mergeCell ref="D14:J14"/>
    <mergeCell ref="D15:J15"/>
    <mergeCell ref="D16:J16"/>
  </mergeCells>
  <conditionalFormatting sqref="A222">
    <cfRule type="expression" dxfId="20" priority="4">
      <formula>LEN($B222)=1</formula>
    </cfRule>
  </conditionalFormatting>
  <conditionalFormatting sqref="A4:C76 A77:B77 A78:C221">
    <cfRule type="expression" dxfId="19" priority="5">
      <formula>LEN($B4)=1</formula>
    </cfRule>
  </conditionalFormatting>
  <conditionalFormatting sqref="B222:B234">
    <cfRule type="expression" dxfId="18" priority="1">
      <formula>LEN($B222)=1</formula>
    </cfRule>
  </conditionalFormatting>
  <conditionalFormatting sqref="C222">
    <cfRule type="expression" dxfId="17" priority="3">
      <formula>LEN($B222)=1</formula>
    </cfRule>
  </conditionalFormatting>
  <conditionalFormatting sqref="C224:C234">
    <cfRule type="expression" dxfId="16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35C1A-04BF-48B9-A456-3EFE5C93D5C1}">
  <sheetPr>
    <tabColor theme="5" tint="-0.249977111117893"/>
  </sheetPr>
  <dimension ref="A2:M255"/>
  <sheetViews>
    <sheetView showGridLines="0" view="pageBreakPreview" topLeftCell="B3" zoomScale="90" zoomScaleNormal="80" zoomScaleSheetLayoutView="80" zoomScalePageLayoutView="80" workbookViewId="0">
      <selection activeCell="I6" sqref="I6:K6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"/>
      <c r="M2" s="2"/>
    </row>
    <row r="3" spans="2:13" s="3" customFormat="1" ht="18">
      <c r="B3" s="127" t="s">
        <v>1</v>
      </c>
      <c r="C3" s="128"/>
      <c r="D3" s="128"/>
      <c r="E3" s="128"/>
      <c r="F3" s="128"/>
      <c r="G3" s="128"/>
      <c r="H3" s="128"/>
      <c r="I3" s="128"/>
      <c r="J3" s="128"/>
      <c r="K3" s="129"/>
      <c r="L3" s="1"/>
      <c r="M3" s="2"/>
    </row>
    <row r="4" spans="2:13" s="5" customFormat="1" ht="15">
      <c r="B4" s="130" t="s">
        <v>2</v>
      </c>
      <c r="C4" s="131"/>
      <c r="D4" s="131" t="s">
        <v>3</v>
      </c>
      <c r="E4" s="131"/>
      <c r="F4" s="131"/>
      <c r="G4" s="131"/>
      <c r="H4" s="131"/>
      <c r="I4" s="131" t="s">
        <v>541</v>
      </c>
      <c r="J4" s="131"/>
      <c r="K4" s="132"/>
      <c r="L4" s="4"/>
    </row>
    <row r="5" spans="2:13" s="5" customFormat="1" ht="15">
      <c r="B5" s="120" t="s">
        <v>5</v>
      </c>
      <c r="C5" s="121"/>
      <c r="D5" s="121" t="s">
        <v>6</v>
      </c>
      <c r="E5" s="121"/>
      <c r="F5" s="121"/>
      <c r="G5" s="121"/>
      <c r="H5" s="121"/>
      <c r="I5" s="121" t="s">
        <v>542</v>
      </c>
      <c r="J5" s="121"/>
      <c r="K5" s="122"/>
      <c r="L5" s="4"/>
    </row>
    <row r="6" spans="2:13" s="5" customFormat="1" ht="15">
      <c r="B6" s="120" t="s">
        <v>8</v>
      </c>
      <c r="C6" s="121"/>
      <c r="D6" s="121" t="s">
        <v>9</v>
      </c>
      <c r="E6" s="121"/>
      <c r="F6" s="121"/>
      <c r="G6" s="121"/>
      <c r="H6" s="121"/>
      <c r="I6" s="121" t="s">
        <v>543</v>
      </c>
      <c r="J6" s="121"/>
      <c r="K6" s="122"/>
      <c r="L6" s="4"/>
    </row>
    <row r="7" spans="2:13" s="5" customFormat="1" ht="15">
      <c r="B7" s="120" t="s">
        <v>11</v>
      </c>
      <c r="C7" s="121"/>
      <c r="D7" s="121" t="s">
        <v>12</v>
      </c>
      <c r="E7" s="121"/>
      <c r="F7" s="121"/>
      <c r="G7" s="121"/>
      <c r="H7" s="121"/>
      <c r="I7" s="6" t="s">
        <v>13</v>
      </c>
      <c r="J7" s="8">
        <f>J242</f>
        <v>66711.217999999993</v>
      </c>
      <c r="K7" s="7"/>
      <c r="L7" s="4"/>
    </row>
    <row r="8" spans="2:13" s="5" customFormat="1" ht="15">
      <c r="B8" s="120"/>
      <c r="C8" s="121"/>
      <c r="D8" s="123"/>
      <c r="E8" s="123"/>
      <c r="F8" s="123"/>
      <c r="G8" s="123"/>
      <c r="H8" s="123"/>
      <c r="I8" s="124"/>
      <c r="J8" s="124"/>
      <c r="K8" s="125"/>
      <c r="L8" s="4"/>
    </row>
    <row r="9" spans="2:13" s="5" customFormat="1" ht="15.75">
      <c r="B9" s="115" t="s">
        <v>14</v>
      </c>
      <c r="C9" s="115"/>
      <c r="D9" s="115"/>
      <c r="E9" s="115"/>
      <c r="F9" s="115"/>
      <c r="G9" s="115"/>
      <c r="H9" s="115"/>
      <c r="I9" s="115"/>
      <c r="J9" s="115"/>
      <c r="K9" s="115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[4]Planilha!$B$12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22738.183700000001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05'!K5</f>
        <v>0</v>
      </c>
      <c r="H12" s="27">
        <f>G12+'[2]BM 04'!H12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05'!K6</f>
        <v>0</v>
      </c>
      <c r="H13" s="27">
        <f>G13+'[2]BM 04'!H13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05'!K7</f>
        <v>0</v>
      </c>
      <c r="H14" s="27">
        <f>G14+'[2]BM 04'!H14</f>
        <v>48.6</v>
      </c>
      <c r="I14" s="28">
        <f t="shared" si="1"/>
        <v>3456.4199999999996</v>
      </c>
      <c r="J14" s="28">
        <f t="shared" si="0"/>
        <v>0</v>
      </c>
      <c r="K14" s="28">
        <f t="shared" si="0"/>
        <v>2545.1819999999998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05'!K8</f>
        <v>0</v>
      </c>
      <c r="H15" s="27">
        <f>G15+'[2]BM 04'!H15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05'!K9</f>
        <v>0</v>
      </c>
      <c r="H16" s="27">
        <f>G16+'[2]BM 04'!H16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05'!K10</f>
        <v>0</v>
      </c>
      <c r="H17" s="27">
        <f>G17+'[2]BM 04'!H17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05'!K11</f>
        <v>0</v>
      </c>
      <c r="H18" s="27">
        <f>G18+'[2]BM 04'!H18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05'!K12</f>
        <v>0</v>
      </c>
      <c r="H19" s="27">
        <f>G19+'[2]BM 04'!H19</f>
        <v>40</v>
      </c>
      <c r="I19" s="28">
        <f t="shared" si="1"/>
        <v>8473.6</v>
      </c>
      <c r="J19" s="28">
        <f t="shared" si="0"/>
        <v>0</v>
      </c>
      <c r="K19" s="28">
        <f t="shared" si="0"/>
        <v>8473.6</v>
      </c>
      <c r="L19" s="4"/>
    </row>
    <row r="20" spans="2:12" s="5" customFormat="1" ht="15">
      <c r="B20" s="30">
        <v>2</v>
      </c>
      <c r="C20" s="31" t="str">
        <f>[4]Planilha!$B$21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1858.8669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05'!K14</f>
        <v>0</v>
      </c>
      <c r="H21" s="27">
        <f>G21+'[2]BM 04'!H21</f>
        <v>35.21125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1580.2809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05'!K15</f>
        <v>0</v>
      </c>
      <c r="H22" s="27">
        <f>G22+'[2]BM 04'!H22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05'!K16</f>
        <v>0</v>
      </c>
      <c r="H23" s="27">
        <f>G23+'[2]BM 04'!H23</f>
        <v>0</v>
      </c>
      <c r="I23" s="28">
        <f t="shared" si="3"/>
        <v>54.450899999999997</v>
      </c>
      <c r="J23" s="28">
        <f t="shared" si="2"/>
        <v>0</v>
      </c>
      <c r="K23" s="28">
        <f t="shared" si="2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05'!K17</f>
        <v>0</v>
      </c>
      <c r="H24" s="27">
        <f>G24+'[2]BM 04'!H24</f>
        <v>0</v>
      </c>
      <c r="I24" s="28">
        <f t="shared" si="3"/>
        <v>74.711699999999993</v>
      </c>
      <c r="J24" s="28">
        <f t="shared" si="2"/>
        <v>0</v>
      </c>
      <c r="K24" s="28">
        <f t="shared" si="2"/>
        <v>0</v>
      </c>
      <c r="L24" s="4"/>
    </row>
    <row r="25" spans="2:12" s="5" customFormat="1" ht="15">
      <c r="B25" s="30">
        <v>3</v>
      </c>
      <c r="C25" s="31" t="str">
        <f>[4]Planilha!$B$26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SUBTOTAL(9,J26:J31)</f>
        <v>0</v>
      </c>
      <c r="K25" s="34">
        <f>SUBTOTAL(9,K26:K31)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05'!K19</f>
        <v>0</v>
      </c>
      <c r="H26" s="27">
        <f>G26+'[2]BM 04'!H26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05'!K20</f>
        <v>0</v>
      </c>
      <c r="H27" s="27">
        <f>G27+'[2]BM 04'!H27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05'!K21</f>
        <v>0</v>
      </c>
      <c r="H28" s="27">
        <f>G28+'[2]BM 04'!H28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05'!K22</f>
        <v>0</v>
      </c>
      <c r="H29" s="27">
        <f>G29+'[2]BM 04'!H29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05'!K23</f>
        <v>0</v>
      </c>
      <c r="H30" s="27">
        <f>G30+'[2]BM 04'!H30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05'!K24</f>
        <v>0</v>
      </c>
      <c r="H31" s="27">
        <f>G31+'[2]BM 04'!H31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 t="shared" ref="K32" si="6">SUM(K33+K39)</f>
        <v>101327.1941125</v>
      </c>
      <c r="L32" s="4"/>
    </row>
    <row r="33" spans="2:12" s="43" customFormat="1" ht="15">
      <c r="B33" s="36" t="s">
        <v>66</v>
      </c>
      <c r="C33" s="37" t="str">
        <f>[4]Planilha!$B$34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7">SUM(J34:J38)</f>
        <v>0</v>
      </c>
      <c r="K33" s="41">
        <f t="shared" si="7"/>
        <v>32488.182612500001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05'!K27</f>
        <v>0</v>
      </c>
      <c r="H34" s="27">
        <f>G34+'[2]BM 04'!H34</f>
        <v>2.07125</v>
      </c>
      <c r="I34" s="28">
        <f t="shared" ref="I34:K38" si="8">$E34*F34</f>
        <v>209.00789999999998</v>
      </c>
      <c r="J34" s="28">
        <f t="shared" si="8"/>
        <v>0</v>
      </c>
      <c r="K34" s="28">
        <f t="shared" si="8"/>
        <v>209.13411250000001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05'!K28</f>
        <v>0</v>
      </c>
      <c r="H35" s="27">
        <f>G35+'[2]BM 04'!H35</f>
        <v>212.53</v>
      </c>
      <c r="I35" s="28">
        <f t="shared" si="8"/>
        <v>6110.2375000000002</v>
      </c>
      <c r="J35" s="28">
        <f t="shared" si="8"/>
        <v>0</v>
      </c>
      <c r="K35" s="28">
        <f t="shared" si="8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05'!K29</f>
        <v>0</v>
      </c>
      <c r="H36" s="27">
        <f>G36+'[2]BM 04'!H36</f>
        <v>1114.3</v>
      </c>
      <c r="I36" s="28">
        <f t="shared" si="8"/>
        <v>14017.894</v>
      </c>
      <c r="J36" s="28">
        <f t="shared" si="8"/>
        <v>0</v>
      </c>
      <c r="K36" s="28">
        <f t="shared" si="8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05'!K30</f>
        <v>0</v>
      </c>
      <c r="H37" s="27">
        <f>G37+'[2]BM 04'!H37</f>
        <v>225.7</v>
      </c>
      <c r="I37" s="28">
        <f t="shared" si="8"/>
        <v>1762.7169999999999</v>
      </c>
      <c r="J37" s="28">
        <f t="shared" si="8"/>
        <v>0</v>
      </c>
      <c r="K37" s="28">
        <f t="shared" si="8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05'!K31</f>
        <v>0</v>
      </c>
      <c r="H38" s="27">
        <f>G38+'[2]BM 04'!H38</f>
        <v>20</v>
      </c>
      <c r="I38" s="28">
        <f t="shared" si="8"/>
        <v>10388.199999999999</v>
      </c>
      <c r="J38" s="28">
        <f t="shared" si="8"/>
        <v>0</v>
      </c>
      <c r="K38" s="28">
        <f t="shared" si="8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9">SUM(J40:J47)</f>
        <v>0</v>
      </c>
      <c r="K39" s="41">
        <f t="shared" si="9"/>
        <v>68839.011500000008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05'!K33</f>
        <v>0</v>
      </c>
      <c r="H40" s="27">
        <f>G40+'[2]BM 04'!H40</f>
        <v>324.26</v>
      </c>
      <c r="I40" s="28">
        <f t="shared" ref="I40:K47" si="10">$E40*F40</f>
        <v>11300.460999999999</v>
      </c>
      <c r="J40" s="28">
        <f t="shared" si="10"/>
        <v>0</v>
      </c>
      <c r="K40" s="28">
        <f t="shared" si="10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05'!K34</f>
        <v>0</v>
      </c>
      <c r="H41" s="27">
        <f>G41+'[2]BM 04'!H41</f>
        <v>1569.8000000000002</v>
      </c>
      <c r="I41" s="28">
        <f t="shared" si="10"/>
        <v>19748.083999999999</v>
      </c>
      <c r="J41" s="28">
        <f t="shared" si="10"/>
        <v>0</v>
      </c>
      <c r="K41" s="28">
        <f t="shared" si="10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05'!K35</f>
        <v>0</v>
      </c>
      <c r="H42" s="27">
        <f>G42+'[2]BM 04'!H42</f>
        <v>379.5</v>
      </c>
      <c r="I42" s="28">
        <f t="shared" si="10"/>
        <v>2963.895</v>
      </c>
      <c r="J42" s="28">
        <f t="shared" si="10"/>
        <v>0</v>
      </c>
      <c r="K42" s="28">
        <f t="shared" si="10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05'!K36</f>
        <v>0</v>
      </c>
      <c r="H43" s="27">
        <f>G43+'[2]BM 04'!H43</f>
        <v>18.189999999999998</v>
      </c>
      <c r="I43" s="28">
        <f t="shared" si="10"/>
        <v>6276.2776000000013</v>
      </c>
      <c r="J43" s="28">
        <f t="shared" si="10"/>
        <v>0</v>
      </c>
      <c r="K43" s="28">
        <f t="shared" si="10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05'!K37</f>
        <v>0</v>
      </c>
      <c r="H44" s="27">
        <f>G44+'[2]BM 04'!H44</f>
        <v>18.189999999999998</v>
      </c>
      <c r="I44" s="28">
        <f t="shared" si="10"/>
        <v>2396.8963000000003</v>
      </c>
      <c r="J44" s="28">
        <f t="shared" si="10"/>
        <v>0</v>
      </c>
      <c r="K44" s="28">
        <f t="shared" si="10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05'!K38</f>
        <v>0</v>
      </c>
      <c r="H45" s="27">
        <f>G45+'[2]BM 04'!H45</f>
        <v>276.43</v>
      </c>
      <c r="I45" s="28">
        <f t="shared" si="10"/>
        <v>23502.078600000001</v>
      </c>
      <c r="J45" s="28">
        <f t="shared" si="10"/>
        <v>0</v>
      </c>
      <c r="K45" s="28">
        <f t="shared" si="10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05'!K39</f>
        <v>0</v>
      </c>
      <c r="H46" s="27">
        <f>G46+'[2]BM 04'!H46</f>
        <v>0</v>
      </c>
      <c r="I46" s="28">
        <f t="shared" si="10"/>
        <v>2541.8910000000001</v>
      </c>
      <c r="J46" s="28">
        <f t="shared" si="10"/>
        <v>0</v>
      </c>
      <c r="K46" s="28">
        <f t="shared" si="10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05'!K40</f>
        <v>0</v>
      </c>
      <c r="H47" s="27">
        <f>G47+'[2]BM 04'!H47</f>
        <v>124.3</v>
      </c>
      <c r="I47" s="28">
        <f t="shared" si="10"/>
        <v>3246.4259999999995</v>
      </c>
      <c r="J47" s="28">
        <f t="shared" si="10"/>
        <v>0</v>
      </c>
      <c r="K47" s="28">
        <f t="shared" si="10"/>
        <v>2651.3189999999995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 t="shared" ref="J48:K48" si="11">J49+J51</f>
        <v>2011.1168000000002</v>
      </c>
      <c r="K48" s="34">
        <f t="shared" si="11"/>
        <v>40263.294400000006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05'!K42</f>
        <v>33.880000000000003</v>
      </c>
      <c r="H49" s="27">
        <f>G49+'[2]BM 04'!H49</f>
        <v>678.29000000000008</v>
      </c>
      <c r="I49" s="28">
        <f>$E49*F49</f>
        <v>46948.417600000001</v>
      </c>
      <c r="J49" s="28">
        <f t="shared" ref="J49:K51" si="12">$E49*G49</f>
        <v>2011.1168000000002</v>
      </c>
      <c r="K49" s="28">
        <f>$E49*H49</f>
        <v>40263.294400000006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26">
        <f>'[2]Memória 05'!K43</f>
        <v>0</v>
      </c>
      <c r="H50" s="27">
        <f>G50+'[2]BM 04'!H50</f>
        <v>0</v>
      </c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05'!K44</f>
        <v>0</v>
      </c>
      <c r="H51" s="27">
        <f>G51+'[2]BM 04'!H51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0</v>
      </c>
      <c r="K52" s="34">
        <f t="shared" si="15"/>
        <v>1229.904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05'!K46</f>
        <v>0</v>
      </c>
      <c r="H53" s="27">
        <f>G53+'[2]BM 04'!H53</f>
        <v>142.35</v>
      </c>
      <c r="I53" s="28">
        <f>$E53*F53</f>
        <v>1229.904</v>
      </c>
      <c r="J53" s="28">
        <f t="shared" ref="J53:K55" si="16">$E53*G53</f>
        <v>0</v>
      </c>
      <c r="K53" s="28">
        <f t="shared" si="16"/>
        <v>1229.904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05'!K47</f>
        <v>0</v>
      </c>
      <c r="H54" s="27">
        <f>G54+'[2]BM 04'!H54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05'!K48</f>
        <v>0</v>
      </c>
      <c r="H55" s="27">
        <f>G55+'[2]BM 04'!H55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 t="shared" ref="J56:K56" si="18">J57+J68+J77+J84</f>
        <v>44939.251199999999</v>
      </c>
      <c r="K56" s="34">
        <f t="shared" si="18"/>
        <v>44939.251199999999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 t="shared" ref="J57:K57" si="19">SUM(J58:J67)</f>
        <v>8975.6049999999996</v>
      </c>
      <c r="K57" s="41">
        <f t="shared" si="19"/>
        <v>8975.6049999999996</v>
      </c>
      <c r="L57" s="4"/>
    </row>
    <row r="58" spans="2:12" s="5" customFormat="1" ht="24">
      <c r="B58" s="50" t="s">
        <v>110</v>
      </c>
      <c r="C58" s="29" t="s">
        <v>454</v>
      </c>
      <c r="D58" s="23" t="s">
        <v>27</v>
      </c>
      <c r="E58" s="35">
        <v>38.299999999999997</v>
      </c>
      <c r="F58" s="25">
        <v>234.35</v>
      </c>
      <c r="G58" s="26">
        <f>'[2]Memória 05'!K51</f>
        <v>234.35</v>
      </c>
      <c r="H58" s="27">
        <f>G58+'[2]BM 04'!H58</f>
        <v>234.35</v>
      </c>
      <c r="I58" s="28">
        <f t="shared" ref="I58:K67" si="20">$E58*F58</f>
        <v>8975.6049999999996</v>
      </c>
      <c r="J58" s="28">
        <f t="shared" si="20"/>
        <v>8975.6049999999996</v>
      </c>
      <c r="K58" s="28">
        <f t="shared" si="20"/>
        <v>8975.6049999999996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05'!K52</f>
        <v>0</v>
      </c>
      <c r="H59" s="27">
        <f>G59+'[2]BM 04'!H59</f>
        <v>0</v>
      </c>
      <c r="I59" s="28">
        <f t="shared" si="20"/>
        <v>4586.6959999999999</v>
      </c>
      <c r="J59" s="28">
        <f t="shared" si="20"/>
        <v>0</v>
      </c>
      <c r="K59" s="28">
        <f t="shared" si="20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05'!K53</f>
        <v>0</v>
      </c>
      <c r="H60" s="27">
        <f>G60+'[2]BM 04'!H60</f>
        <v>0</v>
      </c>
      <c r="I60" s="28">
        <f t="shared" si="20"/>
        <v>7814.9655000000002</v>
      </c>
      <c r="J60" s="28">
        <f t="shared" si="20"/>
        <v>0</v>
      </c>
      <c r="K60" s="28">
        <f t="shared" si="20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05'!K54</f>
        <v>0</v>
      </c>
      <c r="H61" s="27">
        <f>G61+'[2]BM 04'!H61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05'!K55</f>
        <v>0</v>
      </c>
      <c r="H62" s="27">
        <f>G62+'[2]BM 04'!H62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05'!K56</f>
        <v>0</v>
      </c>
      <c r="H63" s="27">
        <f>G63+'[2]BM 04'!H63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05'!K57</f>
        <v>0</v>
      </c>
      <c r="H64" s="27">
        <f>G64+'[2]BM 04'!H64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05'!K58</f>
        <v>0</v>
      </c>
      <c r="H65" s="27">
        <f>G65+'[2]BM 04'!H65</f>
        <v>0</v>
      </c>
      <c r="I65" s="28">
        <f t="shared" si="20"/>
        <v>18663.633999999998</v>
      </c>
      <c r="J65" s="28">
        <f t="shared" si="20"/>
        <v>0</v>
      </c>
      <c r="K65" s="28">
        <f t="shared" si="20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05'!K59</f>
        <v>0</v>
      </c>
      <c r="H66" s="27">
        <f>G66+'[2]BM 04'!H66</f>
        <v>0</v>
      </c>
      <c r="I66" s="28">
        <f t="shared" si="20"/>
        <v>3317.0199999999995</v>
      </c>
      <c r="J66" s="28">
        <f t="shared" si="20"/>
        <v>0</v>
      </c>
      <c r="K66" s="28">
        <f t="shared" si="20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05'!K60</f>
        <v>0</v>
      </c>
      <c r="H67" s="27">
        <f>G67+'[2]BM 04'!H67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35963.646199999996</v>
      </c>
      <c r="K68" s="41">
        <f t="shared" si="21"/>
        <v>35963.646199999996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05'!K62</f>
        <v>678.77</v>
      </c>
      <c r="H69" s="27">
        <f>G69+'[2]BM 04'!H69</f>
        <v>678.77</v>
      </c>
      <c r="I69" s="28">
        <f t="shared" ref="I69:K76" si="22">$E69*F69</f>
        <v>3061.2526999999995</v>
      </c>
      <c r="J69" s="28">
        <f t="shared" si="22"/>
        <v>3061.2526999999995</v>
      </c>
      <c r="K69" s="28">
        <f t="shared" si="22"/>
        <v>3061.2526999999995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05'!K63</f>
        <v>677.81</v>
      </c>
      <c r="H70" s="27">
        <f>G70+'[2]BM 04'!H70</f>
        <v>677.81</v>
      </c>
      <c r="I70" s="28">
        <f t="shared" si="22"/>
        <v>2724.0911999999998</v>
      </c>
      <c r="J70" s="28">
        <f t="shared" si="22"/>
        <v>2053.7642999999998</v>
      </c>
      <c r="K70" s="28">
        <f t="shared" si="22"/>
        <v>2053.7642999999998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05'!K64</f>
        <v>1356.58</v>
      </c>
      <c r="H71" s="27">
        <f>G71+'[2]BM 04'!H71</f>
        <v>1356.58</v>
      </c>
      <c r="I71" s="28">
        <f t="shared" si="22"/>
        <v>35879.399399999995</v>
      </c>
      <c r="J71" s="28">
        <f t="shared" si="22"/>
        <v>30848.629199999996</v>
      </c>
      <c r="K71" s="28">
        <f t="shared" si="22"/>
        <v>30848.629199999996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05'!K65</f>
        <v>0</v>
      </c>
      <c r="H72" s="27">
        <f>G72+'[2]BM 04'!H72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05'!K66</f>
        <v>0</v>
      </c>
      <c r="H73" s="27">
        <f>G73+'[2]BM 04'!H73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05'!K67</f>
        <v>0</v>
      </c>
      <c r="H74" s="27">
        <f>G74+'[2]BM 04'!H74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05'!K68</f>
        <v>0</v>
      </c>
      <c r="H75" s="27">
        <f>G75+'[2]BM 04'!H75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05'!K69</f>
        <v>0</v>
      </c>
      <c r="H76" s="27">
        <f>G76+'[2]BM 04'!H76</f>
        <v>0</v>
      </c>
      <c r="I76" s="28">
        <f t="shared" si="22"/>
        <v>11697.7035</v>
      </c>
      <c r="J76" s="28">
        <f t="shared" si="22"/>
        <v>0</v>
      </c>
      <c r="K76" s="28">
        <f t="shared" si="22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SUM(J78:J83)</f>
        <v>0</v>
      </c>
      <c r="K77" s="41">
        <f t="shared" ref="K77" si="23">SUM(K78:K83)</f>
        <v>0</v>
      </c>
      <c r="L77" s="4"/>
    </row>
    <row r="78" spans="2:12" s="5" customFormat="1" ht="24">
      <c r="B78" s="103" t="s">
        <v>150</v>
      </c>
      <c r="C78" s="104" t="s">
        <v>151</v>
      </c>
      <c r="D78" s="105" t="s">
        <v>27</v>
      </c>
      <c r="E78" s="106">
        <v>8.5500000000000007</v>
      </c>
      <c r="F78" s="107">
        <v>0</v>
      </c>
      <c r="G78" s="26">
        <f>'[2]Memória 05'!K71</f>
        <v>0</v>
      </c>
      <c r="H78" s="27">
        <f>G78+'[2]BM 04'!H78</f>
        <v>0</v>
      </c>
      <c r="I78" s="108">
        <f t="shared" ref="I78:K83" si="24">$E78*F78</f>
        <v>0</v>
      </c>
      <c r="J78" s="108">
        <f t="shared" si="24"/>
        <v>0</v>
      </c>
      <c r="K78" s="108">
        <f t="shared" si="24"/>
        <v>0</v>
      </c>
      <c r="L78" s="4"/>
    </row>
    <row r="79" spans="2:12" s="5" customFormat="1" ht="24">
      <c r="B79" s="103" t="s">
        <v>152</v>
      </c>
      <c r="C79" s="104" t="s">
        <v>153</v>
      </c>
      <c r="D79" s="105" t="s">
        <v>27</v>
      </c>
      <c r="E79" s="106">
        <v>23.26</v>
      </c>
      <c r="F79" s="107">
        <v>0</v>
      </c>
      <c r="G79" s="26">
        <f>'[2]Memória 05'!K72</f>
        <v>0</v>
      </c>
      <c r="H79" s="27">
        <f>G79+'[2]BM 04'!H79</f>
        <v>0</v>
      </c>
      <c r="I79" s="108">
        <f t="shared" si="24"/>
        <v>0</v>
      </c>
      <c r="J79" s="108">
        <f t="shared" si="24"/>
        <v>0</v>
      </c>
      <c r="K79" s="108">
        <f t="shared" si="2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05'!K73</f>
        <v>0</v>
      </c>
      <c r="H80" s="27">
        <f>G80+'[2]BM 04'!H80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05'!K74</f>
        <v>0</v>
      </c>
      <c r="H81" s="27">
        <f>G81+'[2]BM 04'!H81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05'!K75</f>
        <v>0</v>
      </c>
      <c r="H82" s="27">
        <f>G82+'[2]BM 04'!H82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05'!K76</f>
        <v>0</v>
      </c>
      <c r="H83" s="27">
        <f>G83+'[2]BM 04'!H83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>
      <c r="B84" s="36" t="s">
        <v>160</v>
      </c>
      <c r="C84" s="116" t="s">
        <v>161</v>
      </c>
      <c r="D84" s="116"/>
      <c r="E84" s="46"/>
      <c r="F84" s="46"/>
      <c r="G84" s="46"/>
      <c r="H84" s="46"/>
      <c r="I84" s="41">
        <f>I85</f>
        <v>656.98199999999997</v>
      </c>
      <c r="J84" s="41">
        <f t="shared" ref="J84:K84" si="25">J85</f>
        <v>0</v>
      </c>
      <c r="K84" s="41">
        <f t="shared" si="25"/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05'!K78</f>
        <v>0</v>
      </c>
      <c r="H85" s="27">
        <f>G85+'[2]BM 04'!H85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6">J87+J96+J101</f>
        <v>0</v>
      </c>
      <c r="K86" s="34">
        <f t="shared" si="26"/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7">SUM(J88:J95)</f>
        <v>0</v>
      </c>
      <c r="K87" s="41">
        <f t="shared" si="27"/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05'!K81</f>
        <v>0</v>
      </c>
      <c r="H88" s="27">
        <f>G88+'[2]BM 04'!H88</f>
        <v>0</v>
      </c>
      <c r="I88" s="28">
        <f t="shared" ref="I88:K95" si="28">$E88*F88</f>
        <v>3442.74</v>
      </c>
      <c r="J88" s="28">
        <f t="shared" si="28"/>
        <v>0</v>
      </c>
      <c r="K88" s="28">
        <f t="shared" si="28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05'!K82</f>
        <v>0</v>
      </c>
      <c r="H89" s="27">
        <f>G89+'[2]BM 04'!H89</f>
        <v>0</v>
      </c>
      <c r="I89" s="28">
        <f t="shared" si="28"/>
        <v>7354.2000000000007</v>
      </c>
      <c r="J89" s="28">
        <f t="shared" si="28"/>
        <v>0</v>
      </c>
      <c r="K89" s="28">
        <f t="shared" si="28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05'!K83</f>
        <v>0</v>
      </c>
      <c r="H90" s="27">
        <f>G90+'[2]BM 04'!H90</f>
        <v>0</v>
      </c>
      <c r="I90" s="28">
        <f t="shared" si="28"/>
        <v>741.28</v>
      </c>
      <c r="J90" s="28">
        <f t="shared" si="28"/>
        <v>0</v>
      </c>
      <c r="K90" s="28">
        <f t="shared" si="28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05'!K84</f>
        <v>0</v>
      </c>
      <c r="H91" s="27">
        <f>G91+'[2]BM 04'!H91</f>
        <v>0</v>
      </c>
      <c r="I91" s="28">
        <f t="shared" si="28"/>
        <v>1386.43</v>
      </c>
      <c r="J91" s="28">
        <f t="shared" si="28"/>
        <v>0</v>
      </c>
      <c r="K91" s="28">
        <f t="shared" si="28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05'!K85</f>
        <v>0</v>
      </c>
      <c r="H92" s="27">
        <f>G92+'[2]BM 04'!H92</f>
        <v>0</v>
      </c>
      <c r="I92" s="28">
        <f t="shared" si="28"/>
        <v>374.34</v>
      </c>
      <c r="J92" s="28">
        <f t="shared" si="28"/>
        <v>0</v>
      </c>
      <c r="K92" s="28">
        <f t="shared" si="28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05'!K86</f>
        <v>0</v>
      </c>
      <c r="H93" s="27">
        <f>G93+'[2]BM 04'!H93</f>
        <v>0</v>
      </c>
      <c r="I93" s="28">
        <f t="shared" si="28"/>
        <v>474.3</v>
      </c>
      <c r="J93" s="28">
        <f t="shared" si="28"/>
        <v>0</v>
      </c>
      <c r="K93" s="28">
        <f t="shared" si="28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05'!K87</f>
        <v>0</v>
      </c>
      <c r="H94" s="27">
        <f>G94+'[2]BM 04'!H94</f>
        <v>0</v>
      </c>
      <c r="I94" s="28">
        <f t="shared" si="28"/>
        <v>551.98</v>
      </c>
      <c r="J94" s="28">
        <f t="shared" si="28"/>
        <v>0</v>
      </c>
      <c r="K94" s="28">
        <f t="shared" si="28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05'!K88</f>
        <v>0</v>
      </c>
      <c r="H95" s="27">
        <f>G95+'[2]BM 04'!H95</f>
        <v>0</v>
      </c>
      <c r="I95" s="28">
        <f t="shared" si="28"/>
        <v>2253.069</v>
      </c>
      <c r="J95" s="28">
        <f t="shared" si="28"/>
        <v>0</v>
      </c>
      <c r="K95" s="28">
        <f t="shared" si="28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9">SUM(J97:J100)</f>
        <v>0</v>
      </c>
      <c r="K96" s="41">
        <f t="shared" si="29"/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05'!K90</f>
        <v>0</v>
      </c>
      <c r="H97" s="27">
        <f>G97+'[2]BM 04'!H97</f>
        <v>0</v>
      </c>
      <c r="I97" s="28">
        <f t="shared" ref="I97:K100" si="30">$E97*F97</f>
        <v>18004.346000000001</v>
      </c>
      <c r="J97" s="28">
        <f t="shared" si="30"/>
        <v>0</v>
      </c>
      <c r="K97" s="28">
        <f t="shared" si="30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05'!K91</f>
        <v>0</v>
      </c>
      <c r="H98" s="27">
        <f>G98+'[2]BM 04'!H98</f>
        <v>0</v>
      </c>
      <c r="I98" s="28">
        <f t="shared" si="30"/>
        <v>473.39200000000005</v>
      </c>
      <c r="J98" s="28">
        <f t="shared" si="30"/>
        <v>0</v>
      </c>
      <c r="K98" s="28">
        <f t="shared" si="30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05'!K92</f>
        <v>0</v>
      </c>
      <c r="H99" s="27">
        <f>G99+'[2]BM 04'!H99</f>
        <v>0</v>
      </c>
      <c r="I99" s="28">
        <f t="shared" si="30"/>
        <v>10536.165199999999</v>
      </c>
      <c r="J99" s="28">
        <f t="shared" si="30"/>
        <v>0</v>
      </c>
      <c r="K99" s="28">
        <f t="shared" si="30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05'!K93</f>
        <v>0</v>
      </c>
      <c r="H100" s="27">
        <f>G100+'[2]BM 04'!H100</f>
        <v>0</v>
      </c>
      <c r="I100" s="28">
        <f t="shared" si="30"/>
        <v>149.44999999999999</v>
      </c>
      <c r="J100" s="28">
        <f t="shared" si="30"/>
        <v>0</v>
      </c>
      <c r="K100" s="28">
        <f t="shared" si="30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26">
        <f>'[2]Memória 05'!K94</f>
        <v>0</v>
      </c>
      <c r="H101" s="27">
        <f>G101+'[2]BM 04'!H101</f>
        <v>0</v>
      </c>
      <c r="I101" s="41">
        <f>SUM(I102:I104)</f>
        <v>11249.575199999999</v>
      </c>
      <c r="J101" s="41">
        <f t="shared" ref="J101:K101" si="31">SUM(J102:J104)</f>
        <v>0</v>
      </c>
      <c r="K101" s="41">
        <f t="shared" si="31"/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05'!K95</f>
        <v>0</v>
      </c>
      <c r="H102" s="27">
        <f>G102+'[2]BM 04'!H102</f>
        <v>0</v>
      </c>
      <c r="I102" s="28">
        <f t="shared" ref="I102:K104" si="32">$E102*F102</f>
        <v>6197.4107999999997</v>
      </c>
      <c r="J102" s="28">
        <f t="shared" si="32"/>
        <v>0</v>
      </c>
      <c r="K102" s="28">
        <f t="shared" si="32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05'!K96</f>
        <v>0</v>
      </c>
      <c r="H103" s="27">
        <f>G103+'[2]BM 04'!H103</f>
        <v>0</v>
      </c>
      <c r="I103" s="28">
        <f t="shared" si="32"/>
        <v>3777.5155999999997</v>
      </c>
      <c r="J103" s="28">
        <f t="shared" si="32"/>
        <v>0</v>
      </c>
      <c r="K103" s="28">
        <f t="shared" si="32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05'!K97</f>
        <v>0</v>
      </c>
      <c r="H104" s="27">
        <f>G104+'[2]BM 04'!H104</f>
        <v>0</v>
      </c>
      <c r="I104" s="28">
        <f t="shared" si="32"/>
        <v>1274.6487999999999</v>
      </c>
      <c r="J104" s="28">
        <f t="shared" si="32"/>
        <v>0</v>
      </c>
      <c r="K104" s="28">
        <f t="shared" si="32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3">J106+J108+J130+J135+J143</f>
        <v>0</v>
      </c>
      <c r="K105" s="34">
        <f t="shared" si="33"/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 t="shared" ref="J106:K106" si="34">J107</f>
        <v>0</v>
      </c>
      <c r="K106" s="41">
        <f t="shared" si="34"/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05'!K100</f>
        <v>0</v>
      </c>
      <c r="H107" s="27">
        <f>G107+'[2]BM 04'!H107</f>
        <v>0</v>
      </c>
      <c r="I107" s="28">
        <f t="shared" ref="I107:K107" si="35">$E107*F107</f>
        <v>1687.24</v>
      </c>
      <c r="J107" s="28">
        <f t="shared" si="35"/>
        <v>0</v>
      </c>
      <c r="K107" s="28">
        <f t="shared" si="35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6">SUM(J109:J129)</f>
        <v>0</v>
      </c>
      <c r="K108" s="41">
        <f t="shared" si="36"/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05'!K102</f>
        <v>0</v>
      </c>
      <c r="H109" s="27">
        <f>G109+'[2]BM 04'!H109</f>
        <v>0</v>
      </c>
      <c r="I109" s="28">
        <f t="shared" ref="I109:K124" si="37">$E109*F109</f>
        <v>4015.61</v>
      </c>
      <c r="J109" s="28">
        <f t="shared" si="37"/>
        <v>0</v>
      </c>
      <c r="K109" s="28">
        <f t="shared" si="37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05'!K103</f>
        <v>0</v>
      </c>
      <c r="H110" s="27">
        <f>G110+'[2]BM 04'!H110</f>
        <v>0</v>
      </c>
      <c r="I110" s="28">
        <f t="shared" si="37"/>
        <v>616</v>
      </c>
      <c r="J110" s="28">
        <f t="shared" si="37"/>
        <v>0</v>
      </c>
      <c r="K110" s="28">
        <f t="shared" si="37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05'!K104</f>
        <v>0</v>
      </c>
      <c r="H111" s="27">
        <f>G111+'[2]BM 04'!H111</f>
        <v>0</v>
      </c>
      <c r="I111" s="28">
        <f t="shared" si="37"/>
        <v>1205.28</v>
      </c>
      <c r="J111" s="28">
        <f t="shared" si="37"/>
        <v>0</v>
      </c>
      <c r="K111" s="28">
        <f t="shared" si="37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05'!K105</f>
        <v>0</v>
      </c>
      <c r="H112" s="27">
        <f>G112+'[2]BM 04'!H112</f>
        <v>0</v>
      </c>
      <c r="I112" s="28">
        <f t="shared" si="37"/>
        <v>632.93999999999994</v>
      </c>
      <c r="J112" s="28">
        <f t="shared" si="37"/>
        <v>0</v>
      </c>
      <c r="K112" s="28">
        <f t="shared" si="37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05'!K106</f>
        <v>0</v>
      </c>
      <c r="H113" s="27">
        <f>G113+'[2]BM 04'!H113</f>
        <v>0</v>
      </c>
      <c r="I113" s="28">
        <f t="shared" si="37"/>
        <v>240.86</v>
      </c>
      <c r="J113" s="28">
        <f t="shared" si="37"/>
        <v>0</v>
      </c>
      <c r="K113" s="28">
        <f t="shared" si="37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05'!K107</f>
        <v>0</v>
      </c>
      <c r="H114" s="27">
        <f>G114+'[2]BM 04'!H114</f>
        <v>0</v>
      </c>
      <c r="I114" s="28">
        <f t="shared" si="37"/>
        <v>61.56</v>
      </c>
      <c r="J114" s="28">
        <f t="shared" si="37"/>
        <v>0</v>
      </c>
      <c r="K114" s="28">
        <f t="shared" si="37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05'!K108</f>
        <v>0</v>
      </c>
      <c r="H115" s="27">
        <f>G115+'[2]BM 04'!H115</f>
        <v>0</v>
      </c>
      <c r="I115" s="28">
        <f t="shared" si="37"/>
        <v>12512</v>
      </c>
      <c r="J115" s="28">
        <f t="shared" si="37"/>
        <v>0</v>
      </c>
      <c r="K115" s="28">
        <f t="shared" si="37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05'!K109</f>
        <v>0</v>
      </c>
      <c r="H116" s="27">
        <f>G116+'[2]BM 04'!H116</f>
        <v>0</v>
      </c>
      <c r="I116" s="28">
        <f t="shared" si="37"/>
        <v>2.96</v>
      </c>
      <c r="J116" s="28">
        <f t="shared" si="37"/>
        <v>0</v>
      </c>
      <c r="K116" s="28">
        <f t="shared" si="37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05'!K110</f>
        <v>0</v>
      </c>
      <c r="H117" s="27">
        <f>G117+'[2]BM 04'!H117</f>
        <v>0</v>
      </c>
      <c r="I117" s="28">
        <f t="shared" si="37"/>
        <v>738.72</v>
      </c>
      <c r="J117" s="28">
        <f t="shared" si="37"/>
        <v>0</v>
      </c>
      <c r="K117" s="28">
        <f t="shared" si="37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05'!K111</f>
        <v>0</v>
      </c>
      <c r="H118" s="27">
        <f>G118+'[2]BM 04'!H118</f>
        <v>0</v>
      </c>
      <c r="I118" s="28">
        <f t="shared" si="37"/>
        <v>71.25</v>
      </c>
      <c r="J118" s="28">
        <f t="shared" si="37"/>
        <v>0</v>
      </c>
      <c r="K118" s="28">
        <f t="shared" si="37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05'!K112</f>
        <v>0</v>
      </c>
      <c r="H119" s="27">
        <f>G119+'[2]BM 04'!H119</f>
        <v>0</v>
      </c>
      <c r="I119" s="28">
        <f t="shared" si="37"/>
        <v>25.92</v>
      </c>
      <c r="J119" s="28">
        <f t="shared" si="37"/>
        <v>0</v>
      </c>
      <c r="K119" s="28">
        <f t="shared" si="37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05'!K113</f>
        <v>0</v>
      </c>
      <c r="H120" s="27">
        <f>G120+'[2]BM 04'!H120</f>
        <v>0</v>
      </c>
      <c r="I120" s="28">
        <f t="shared" si="37"/>
        <v>15.52</v>
      </c>
      <c r="J120" s="28">
        <f t="shared" si="37"/>
        <v>0</v>
      </c>
      <c r="K120" s="28">
        <f t="shared" si="37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05'!K114</f>
        <v>0</v>
      </c>
      <c r="H121" s="27">
        <f>G121+'[2]BM 04'!H121</f>
        <v>0</v>
      </c>
      <c r="I121" s="28">
        <f t="shared" si="37"/>
        <v>11224</v>
      </c>
      <c r="J121" s="28">
        <f t="shared" si="37"/>
        <v>0</v>
      </c>
      <c r="K121" s="28">
        <f t="shared" si="37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05'!K115</f>
        <v>0</v>
      </c>
      <c r="H122" s="27">
        <f>G122+'[2]BM 04'!H122</f>
        <v>0</v>
      </c>
      <c r="I122" s="28">
        <f t="shared" si="37"/>
        <v>144.60000000000002</v>
      </c>
      <c r="J122" s="28">
        <f t="shared" si="37"/>
        <v>0</v>
      </c>
      <c r="K122" s="28">
        <f t="shared" si="37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05'!K116</f>
        <v>0</v>
      </c>
      <c r="H123" s="27">
        <f>G123+'[2]BM 04'!H123</f>
        <v>0</v>
      </c>
      <c r="I123" s="28">
        <f t="shared" si="37"/>
        <v>162.9</v>
      </c>
      <c r="J123" s="28">
        <f t="shared" si="37"/>
        <v>0</v>
      </c>
      <c r="K123" s="28">
        <f t="shared" si="37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05'!K117</f>
        <v>0</v>
      </c>
      <c r="H124" s="27">
        <f>G124+'[2]BM 04'!H124</f>
        <v>0</v>
      </c>
      <c r="I124" s="28">
        <f t="shared" si="37"/>
        <v>56.16</v>
      </c>
      <c r="J124" s="28">
        <f t="shared" si="37"/>
        <v>0</v>
      </c>
      <c r="K124" s="28">
        <f t="shared" si="37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05'!K118</f>
        <v>0</v>
      </c>
      <c r="H125" s="27">
        <f>G125+'[2]BM 04'!H125</f>
        <v>0</v>
      </c>
      <c r="I125" s="28">
        <f t="shared" ref="I125:K129" si="38">$E125*F125</f>
        <v>34.630000000000003</v>
      </c>
      <c r="J125" s="28">
        <f t="shared" si="38"/>
        <v>0</v>
      </c>
      <c r="K125" s="28">
        <f t="shared" si="38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05'!K119</f>
        <v>0</v>
      </c>
      <c r="H126" s="27">
        <f>G126+'[2]BM 04'!H126</f>
        <v>0</v>
      </c>
      <c r="I126" s="28">
        <f t="shared" si="38"/>
        <v>22.72</v>
      </c>
      <c r="J126" s="28">
        <f t="shared" si="38"/>
        <v>0</v>
      </c>
      <c r="K126" s="28">
        <f t="shared" si="38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05'!K120</f>
        <v>0</v>
      </c>
      <c r="H127" s="27">
        <f>G127+'[2]BM 04'!H127</f>
        <v>0</v>
      </c>
      <c r="I127" s="28">
        <f t="shared" si="38"/>
        <v>5.94</v>
      </c>
      <c r="J127" s="28">
        <f t="shared" si="38"/>
        <v>0</v>
      </c>
      <c r="K127" s="28">
        <f t="shared" si="38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05'!K121</f>
        <v>0</v>
      </c>
      <c r="H128" s="27">
        <f>G128+'[2]BM 04'!H128</f>
        <v>0</v>
      </c>
      <c r="I128" s="28">
        <f t="shared" si="38"/>
        <v>181.98</v>
      </c>
      <c r="J128" s="28">
        <f t="shared" si="38"/>
        <v>0</v>
      </c>
      <c r="K128" s="28">
        <f t="shared" si="38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05'!K122</f>
        <v>0</v>
      </c>
      <c r="H129" s="27">
        <f>G129+'[2]BM 04'!H129</f>
        <v>0</v>
      </c>
      <c r="I129" s="28">
        <f t="shared" si="38"/>
        <v>5336</v>
      </c>
      <c r="J129" s="28">
        <f t="shared" si="38"/>
        <v>0</v>
      </c>
      <c r="K129" s="28">
        <f t="shared" si="38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9">SUM(J131:J134)</f>
        <v>0</v>
      </c>
      <c r="K130" s="41">
        <f t="shared" si="39"/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05'!K124</f>
        <v>0</v>
      </c>
      <c r="H131" s="27">
        <f>G131+'[2]BM 04'!H131</f>
        <v>0</v>
      </c>
      <c r="I131" s="28">
        <f t="shared" ref="I131:K134" si="40">$E131*F131</f>
        <v>408.32</v>
      </c>
      <c r="J131" s="28">
        <f t="shared" si="40"/>
        <v>0</v>
      </c>
      <c r="K131" s="28">
        <f t="shared" si="40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05'!K125</f>
        <v>0</v>
      </c>
      <c r="H132" s="27">
        <f>G132+'[2]BM 04'!H132</f>
        <v>0</v>
      </c>
      <c r="I132" s="28">
        <f t="shared" si="40"/>
        <v>235.01</v>
      </c>
      <c r="J132" s="28">
        <f t="shared" si="40"/>
        <v>0</v>
      </c>
      <c r="K132" s="28">
        <f t="shared" si="40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05'!K126</f>
        <v>0</v>
      </c>
      <c r="H133" s="27">
        <f>G133+'[2]BM 04'!H133</f>
        <v>0</v>
      </c>
      <c r="I133" s="28">
        <f t="shared" si="40"/>
        <v>165.94</v>
      </c>
      <c r="J133" s="28">
        <f t="shared" si="40"/>
        <v>0</v>
      </c>
      <c r="K133" s="28">
        <f t="shared" si="40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05'!K127</f>
        <v>0</v>
      </c>
      <c r="H134" s="27">
        <f>G134+'[2]BM 04'!H134</f>
        <v>0</v>
      </c>
      <c r="I134" s="28">
        <f t="shared" si="40"/>
        <v>61.63</v>
      </c>
      <c r="J134" s="28">
        <f t="shared" si="40"/>
        <v>0</v>
      </c>
      <c r="K134" s="28">
        <f t="shared" si="40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1">SUM(J136:J142)</f>
        <v>0</v>
      </c>
      <c r="K135" s="41">
        <f t="shared" si="41"/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05'!K129</f>
        <v>0</v>
      </c>
      <c r="H136" s="27">
        <f>G136+'[2]BM 04'!H136</f>
        <v>0</v>
      </c>
      <c r="I136" s="28">
        <f t="shared" ref="I136:K142" si="42">$E136*F136</f>
        <v>816.64</v>
      </c>
      <c r="J136" s="28">
        <f t="shared" si="42"/>
        <v>0</v>
      </c>
      <c r="K136" s="28">
        <f t="shared" si="4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05'!K130</f>
        <v>0</v>
      </c>
      <c r="H137" s="27">
        <f>G137+'[2]BM 04'!H137</f>
        <v>0</v>
      </c>
      <c r="I137" s="28">
        <f t="shared" si="42"/>
        <v>352.6</v>
      </c>
      <c r="J137" s="28">
        <f t="shared" si="42"/>
        <v>0</v>
      </c>
      <c r="K137" s="28">
        <f t="shared" si="4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05'!K131</f>
        <v>0</v>
      </c>
      <c r="H138" s="27">
        <f>G138+'[2]BM 04'!H138</f>
        <v>0</v>
      </c>
      <c r="I138" s="28">
        <f t="shared" si="42"/>
        <v>184.89000000000001</v>
      </c>
      <c r="J138" s="28">
        <f t="shared" si="42"/>
        <v>0</v>
      </c>
      <c r="K138" s="28">
        <f t="shared" si="4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05'!K132</f>
        <v>0</v>
      </c>
      <c r="H139" s="27">
        <f>G139+'[2]BM 04'!H139</f>
        <v>0</v>
      </c>
      <c r="I139" s="28">
        <f t="shared" si="42"/>
        <v>165.94</v>
      </c>
      <c r="J139" s="28">
        <f t="shared" si="42"/>
        <v>0</v>
      </c>
      <c r="K139" s="28">
        <f t="shared" si="4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05'!K133</f>
        <v>0</v>
      </c>
      <c r="H140" s="27">
        <f>G140+'[2]BM 04'!H140</f>
        <v>0</v>
      </c>
      <c r="I140" s="28">
        <f t="shared" si="42"/>
        <v>95.9</v>
      </c>
      <c r="J140" s="28">
        <f t="shared" si="42"/>
        <v>0</v>
      </c>
      <c r="K140" s="28">
        <f t="shared" si="4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05'!K134</f>
        <v>0</v>
      </c>
      <c r="H141" s="27">
        <f>G141+'[2]BM 04'!H141</f>
        <v>0</v>
      </c>
      <c r="I141" s="28">
        <f t="shared" si="42"/>
        <v>147</v>
      </c>
      <c r="J141" s="28">
        <f t="shared" si="42"/>
        <v>0</v>
      </c>
      <c r="K141" s="28">
        <f t="shared" si="4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05'!K135</f>
        <v>0</v>
      </c>
      <c r="H142" s="27">
        <f>G142+'[2]BM 04'!H142</f>
        <v>0</v>
      </c>
      <c r="I142" s="28">
        <f t="shared" si="42"/>
        <v>215.45000000000002</v>
      </c>
      <c r="J142" s="28">
        <f t="shared" si="42"/>
        <v>0</v>
      </c>
      <c r="K142" s="28">
        <f t="shared" si="4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3">SUM(J144:J154)</f>
        <v>0</v>
      </c>
      <c r="K143" s="41">
        <f t="shared" si="43"/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05'!K137</f>
        <v>0</v>
      </c>
      <c r="H144" s="27">
        <f>G144+'[2]BM 04'!H144</f>
        <v>0</v>
      </c>
      <c r="I144" s="28">
        <f t="shared" ref="I144:K154" si="44">$E144*F144</f>
        <v>1122.6600000000001</v>
      </c>
      <c r="J144" s="28">
        <f t="shared" si="44"/>
        <v>0</v>
      </c>
      <c r="K144" s="28">
        <f t="shared" si="44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05'!K138</f>
        <v>0</v>
      </c>
      <c r="H145" s="27">
        <f>G145+'[2]BM 04'!H145</f>
        <v>0</v>
      </c>
      <c r="I145" s="28">
        <f t="shared" si="44"/>
        <v>1325.3899999999999</v>
      </c>
      <c r="J145" s="28">
        <f t="shared" si="44"/>
        <v>0</v>
      </c>
      <c r="K145" s="28">
        <f t="shared" si="44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05'!K139</f>
        <v>0</v>
      </c>
      <c r="H146" s="27">
        <f>G146+'[2]BM 04'!H146</f>
        <v>0</v>
      </c>
      <c r="I146" s="28">
        <f t="shared" si="44"/>
        <v>140.57999999999998</v>
      </c>
      <c r="J146" s="28">
        <f t="shared" si="44"/>
        <v>0</v>
      </c>
      <c r="K146" s="28">
        <f t="shared" si="44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05'!K140</f>
        <v>0</v>
      </c>
      <c r="H147" s="27">
        <f>G147+'[2]BM 04'!H147</f>
        <v>0</v>
      </c>
      <c r="I147" s="28">
        <f t="shared" si="44"/>
        <v>835.66</v>
      </c>
      <c r="J147" s="28">
        <f t="shared" si="44"/>
        <v>0</v>
      </c>
      <c r="K147" s="28">
        <f t="shared" si="44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05'!K141</f>
        <v>0</v>
      </c>
      <c r="H148" s="27">
        <f>G148+'[2]BM 04'!H148</f>
        <v>0</v>
      </c>
      <c r="I148" s="28">
        <f t="shared" si="44"/>
        <v>863.64</v>
      </c>
      <c r="J148" s="28">
        <f t="shared" si="44"/>
        <v>0</v>
      </c>
      <c r="K148" s="28">
        <f t="shared" si="44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05'!K142</f>
        <v>0</v>
      </c>
      <c r="H149" s="27">
        <f>G149+'[2]BM 04'!H149</f>
        <v>0</v>
      </c>
      <c r="I149" s="28">
        <f t="shared" si="44"/>
        <v>497.35</v>
      </c>
      <c r="J149" s="28">
        <f t="shared" si="44"/>
        <v>0</v>
      </c>
      <c r="K149" s="28">
        <f t="shared" si="44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05'!K143</f>
        <v>0</v>
      </c>
      <c r="H150" s="27">
        <f>G150+'[2]BM 04'!H150</f>
        <v>0</v>
      </c>
      <c r="I150" s="28">
        <f t="shared" si="44"/>
        <v>284.01</v>
      </c>
      <c r="J150" s="28">
        <f t="shared" si="44"/>
        <v>0</v>
      </c>
      <c r="K150" s="28">
        <f t="shared" si="44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05'!K144</f>
        <v>0</v>
      </c>
      <c r="H151" s="27">
        <f>G151+'[2]BM 04'!H151</f>
        <v>0</v>
      </c>
      <c r="I151" s="28">
        <f t="shared" si="44"/>
        <v>9.86</v>
      </c>
      <c r="J151" s="28">
        <f t="shared" si="44"/>
        <v>0</v>
      </c>
      <c r="K151" s="28">
        <f t="shared" si="44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05'!K145</f>
        <v>0</v>
      </c>
      <c r="H152" s="27">
        <f>G152+'[2]BM 04'!H152</f>
        <v>0</v>
      </c>
      <c r="I152" s="28">
        <f t="shared" si="44"/>
        <v>318.08</v>
      </c>
      <c r="J152" s="28">
        <f t="shared" si="44"/>
        <v>0</v>
      </c>
      <c r="K152" s="28">
        <f t="shared" si="44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05'!K146</f>
        <v>0</v>
      </c>
      <c r="H153" s="27">
        <f>G153+'[2]BM 04'!H153</f>
        <v>0</v>
      </c>
      <c r="I153" s="28">
        <f t="shared" si="44"/>
        <v>161.66999999999999</v>
      </c>
      <c r="J153" s="28">
        <f t="shared" si="44"/>
        <v>0</v>
      </c>
      <c r="K153" s="28">
        <f t="shared" si="44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05'!K147</f>
        <v>0</v>
      </c>
      <c r="H154" s="27">
        <f>G154+'[2]BM 04'!H154</f>
        <v>0</v>
      </c>
      <c r="I154" s="28">
        <f t="shared" si="44"/>
        <v>542.01</v>
      </c>
      <c r="J154" s="28">
        <f t="shared" si="44"/>
        <v>0</v>
      </c>
      <c r="K154" s="28">
        <f t="shared" si="44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5">J156+J177+J192+J201+J206</f>
        <v>19760.849999999999</v>
      </c>
      <c r="K155" s="63">
        <f t="shared" si="45"/>
        <v>19760.849999999999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 t="shared" ref="J156:K156" si="46">SUM(J157:J176)</f>
        <v>0</v>
      </c>
      <c r="K156" s="41">
        <f t="shared" si="46"/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05'!K150</f>
        <v>0</v>
      </c>
      <c r="H157" s="27">
        <f>G157+'[2]BM 04'!H157</f>
        <v>0</v>
      </c>
      <c r="I157" s="28">
        <f t="shared" ref="I157:K172" si="47">$E157*F157</f>
        <v>351.46</v>
      </c>
      <c r="J157" s="28">
        <f t="shared" si="47"/>
        <v>0</v>
      </c>
      <c r="K157" s="28">
        <f t="shared" si="4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05'!K151</f>
        <v>0</v>
      </c>
      <c r="H158" s="27">
        <f>G158+'[2]BM 04'!H158</f>
        <v>0</v>
      </c>
      <c r="I158" s="28">
        <f t="shared" si="47"/>
        <v>9.44</v>
      </c>
      <c r="J158" s="28">
        <f t="shared" si="47"/>
        <v>0</v>
      </c>
      <c r="K158" s="28">
        <f t="shared" si="4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05'!K152</f>
        <v>0</v>
      </c>
      <c r="H159" s="27">
        <f>G159+'[2]BM 04'!H159</f>
        <v>0</v>
      </c>
      <c r="I159" s="28">
        <f t="shared" si="47"/>
        <v>1171.04</v>
      </c>
      <c r="J159" s="28">
        <f t="shared" si="47"/>
        <v>0</v>
      </c>
      <c r="K159" s="28">
        <f t="shared" si="4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05'!K153</f>
        <v>0</v>
      </c>
      <c r="H160" s="27">
        <f>G160+'[2]BM 04'!H160</f>
        <v>0</v>
      </c>
      <c r="I160" s="28">
        <f t="shared" si="47"/>
        <v>305.85000000000002</v>
      </c>
      <c r="J160" s="28">
        <f t="shared" si="47"/>
        <v>0</v>
      </c>
      <c r="K160" s="28">
        <f t="shared" si="4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05'!K154</f>
        <v>0</v>
      </c>
      <c r="H161" s="27">
        <f>G161+'[2]BM 04'!H161</f>
        <v>0</v>
      </c>
      <c r="I161" s="28">
        <f t="shared" si="47"/>
        <v>1438.44</v>
      </c>
      <c r="J161" s="28">
        <f t="shared" si="47"/>
        <v>0</v>
      </c>
      <c r="K161" s="28">
        <f t="shared" si="4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05'!K155</f>
        <v>0</v>
      </c>
      <c r="H162" s="27">
        <f>G162+'[2]BM 04'!H162</f>
        <v>0</v>
      </c>
      <c r="I162" s="28">
        <f t="shared" si="47"/>
        <v>2430.9</v>
      </c>
      <c r="J162" s="28">
        <f t="shared" si="47"/>
        <v>0</v>
      </c>
      <c r="K162" s="28">
        <f t="shared" si="4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05'!K156</f>
        <v>0</v>
      </c>
      <c r="H163" s="27">
        <f>G163+'[2]BM 04'!H163</f>
        <v>0</v>
      </c>
      <c r="I163" s="28">
        <f t="shared" si="47"/>
        <v>1594.6000000000001</v>
      </c>
      <c r="J163" s="28">
        <f t="shared" si="47"/>
        <v>0</v>
      </c>
      <c r="K163" s="28">
        <f t="shared" si="4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05'!K157</f>
        <v>0</v>
      </c>
      <c r="H164" s="27">
        <f>G164+'[2]BM 04'!H164</f>
        <v>0</v>
      </c>
      <c r="I164" s="28">
        <f t="shared" si="47"/>
        <v>594.57999999999993</v>
      </c>
      <c r="J164" s="28">
        <f t="shared" si="47"/>
        <v>0</v>
      </c>
      <c r="K164" s="28">
        <f t="shared" si="4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05'!K158</f>
        <v>0</v>
      </c>
      <c r="H165" s="27">
        <f>G165+'[2]BM 04'!H165</f>
        <v>0</v>
      </c>
      <c r="I165" s="28">
        <f t="shared" si="47"/>
        <v>1009.45</v>
      </c>
      <c r="J165" s="28">
        <f t="shared" si="47"/>
        <v>0</v>
      </c>
      <c r="K165" s="28">
        <f t="shared" si="4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05'!K159</f>
        <v>0</v>
      </c>
      <c r="H166" s="27">
        <f>G166+'[2]BM 04'!H166</f>
        <v>0</v>
      </c>
      <c r="I166" s="28">
        <f t="shared" si="47"/>
        <v>598.77</v>
      </c>
      <c r="J166" s="28">
        <f t="shared" si="47"/>
        <v>0</v>
      </c>
      <c r="K166" s="28">
        <f t="shared" si="4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05'!K160</f>
        <v>0</v>
      </c>
      <c r="H167" s="27">
        <f>G167+'[2]BM 04'!H167</f>
        <v>0</v>
      </c>
      <c r="I167" s="28">
        <f t="shared" si="47"/>
        <v>5320.26</v>
      </c>
      <c r="J167" s="28">
        <f t="shared" si="47"/>
        <v>0</v>
      </c>
      <c r="K167" s="28">
        <f t="shared" si="4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05'!K161</f>
        <v>0</v>
      </c>
      <c r="H168" s="27">
        <f>G168+'[2]BM 04'!H168</f>
        <v>0</v>
      </c>
      <c r="I168" s="28">
        <f t="shared" si="47"/>
        <v>1008.4230000000001</v>
      </c>
      <c r="J168" s="28">
        <f t="shared" si="47"/>
        <v>0</v>
      </c>
      <c r="K168" s="28">
        <f t="shared" si="4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05'!K162</f>
        <v>0</v>
      </c>
      <c r="H169" s="27">
        <f>G169+'[2]BM 04'!H169</f>
        <v>0</v>
      </c>
      <c r="I169" s="28">
        <f t="shared" si="47"/>
        <v>2264.808</v>
      </c>
      <c r="J169" s="28">
        <f t="shared" si="47"/>
        <v>0</v>
      </c>
      <c r="K169" s="28">
        <f t="shared" si="4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05'!K163</f>
        <v>0</v>
      </c>
      <c r="H170" s="27">
        <f>G170+'[2]BM 04'!H170</f>
        <v>0</v>
      </c>
      <c r="I170" s="28">
        <f t="shared" si="47"/>
        <v>715.99</v>
      </c>
      <c r="J170" s="28">
        <f t="shared" si="47"/>
        <v>0</v>
      </c>
      <c r="K170" s="28">
        <f t="shared" si="4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05'!K164</f>
        <v>0</v>
      </c>
      <c r="H171" s="27">
        <f>G171+'[2]BM 04'!H171</f>
        <v>0</v>
      </c>
      <c r="I171" s="28">
        <f t="shared" si="47"/>
        <v>2123.52</v>
      </c>
      <c r="J171" s="28">
        <f t="shared" si="47"/>
        <v>0</v>
      </c>
      <c r="K171" s="28">
        <f t="shared" si="4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05'!K165</f>
        <v>0</v>
      </c>
      <c r="H172" s="27">
        <f>G172+'[2]BM 04'!H172</f>
        <v>0</v>
      </c>
      <c r="I172" s="28">
        <f t="shared" si="47"/>
        <v>550.42000000000007</v>
      </c>
      <c r="J172" s="28">
        <f t="shared" si="47"/>
        <v>0</v>
      </c>
      <c r="K172" s="28">
        <f t="shared" si="4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05'!K166</f>
        <v>0</v>
      </c>
      <c r="H173" s="27">
        <f>G173+'[2]BM 04'!H173</f>
        <v>0</v>
      </c>
      <c r="I173" s="28">
        <f t="shared" ref="I173:K176" si="48">$E173*F173</f>
        <v>181.76</v>
      </c>
      <c r="J173" s="28">
        <f t="shared" si="48"/>
        <v>0</v>
      </c>
      <c r="K173" s="28">
        <f t="shared" si="4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05'!K167</f>
        <v>0</v>
      </c>
      <c r="H174" s="27">
        <f>G174+'[2]BM 04'!H174</f>
        <v>0</v>
      </c>
      <c r="I174" s="28">
        <f t="shared" si="48"/>
        <v>770.40000000000009</v>
      </c>
      <c r="J174" s="28">
        <f t="shared" si="48"/>
        <v>0</v>
      </c>
      <c r="K174" s="28">
        <f t="shared" si="4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05'!K168</f>
        <v>0</v>
      </c>
      <c r="H175" s="27">
        <f>G175+'[2]BM 04'!H175</f>
        <v>0</v>
      </c>
      <c r="I175" s="28">
        <f t="shared" si="48"/>
        <v>152.56</v>
      </c>
      <c r="J175" s="28">
        <f t="shared" si="48"/>
        <v>0</v>
      </c>
      <c r="K175" s="28">
        <f t="shared" si="4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05'!K169</f>
        <v>0</v>
      </c>
      <c r="H176" s="27">
        <f>G176+'[2]BM 04'!H176</f>
        <v>0</v>
      </c>
      <c r="I176" s="28">
        <f t="shared" si="48"/>
        <v>867.48</v>
      </c>
      <c r="J176" s="28">
        <f t="shared" si="48"/>
        <v>0</v>
      </c>
      <c r="K176" s="28">
        <f t="shared" si="4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 t="shared" ref="J177:K177" si="49">SUM(J178:J191)</f>
        <v>1380.75</v>
      </c>
      <c r="K177" s="41">
        <f t="shared" si="49"/>
        <v>1380.75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05'!K171</f>
        <v>1</v>
      </c>
      <c r="H178" s="27">
        <f>G178+'[2]BM 04'!H178</f>
        <v>1</v>
      </c>
      <c r="I178" s="28">
        <f t="shared" ref="I178:K191" si="50">$E178*F178</f>
        <v>1380.75</v>
      </c>
      <c r="J178" s="28">
        <f t="shared" si="50"/>
        <v>1380.75</v>
      </c>
      <c r="K178" s="28">
        <f t="shared" si="50"/>
        <v>1380.75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05'!K172</f>
        <v>0</v>
      </c>
      <c r="H179" s="27">
        <f>G179+'[2]BM 04'!H179</f>
        <v>0</v>
      </c>
      <c r="I179" s="28">
        <f t="shared" si="50"/>
        <v>74.37</v>
      </c>
      <c r="J179" s="28">
        <f t="shared" si="50"/>
        <v>0</v>
      </c>
      <c r="K179" s="28">
        <f t="shared" si="50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05'!K173</f>
        <v>0</v>
      </c>
      <c r="H180" s="27">
        <f>G180+'[2]BM 04'!H180</f>
        <v>0</v>
      </c>
      <c r="I180" s="28">
        <f t="shared" si="50"/>
        <v>45.19</v>
      </c>
      <c r="J180" s="28">
        <f t="shared" si="50"/>
        <v>0</v>
      </c>
      <c r="K180" s="28">
        <f t="shared" si="50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05'!K174</f>
        <v>0</v>
      </c>
      <c r="H181" s="27">
        <f>G181+'[2]BM 04'!H181</f>
        <v>0</v>
      </c>
      <c r="I181" s="28">
        <f t="shared" si="50"/>
        <v>11.73</v>
      </c>
      <c r="J181" s="28">
        <f t="shared" si="50"/>
        <v>0</v>
      </c>
      <c r="K181" s="28">
        <f t="shared" si="50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05'!K175</f>
        <v>0</v>
      </c>
      <c r="H182" s="27">
        <f>G182+'[2]BM 04'!H182</f>
        <v>0</v>
      </c>
      <c r="I182" s="28">
        <f t="shared" si="50"/>
        <v>1438.95</v>
      </c>
      <c r="J182" s="28">
        <f t="shared" si="50"/>
        <v>0</v>
      </c>
      <c r="K182" s="28">
        <f t="shared" si="50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05'!K176</f>
        <v>0</v>
      </c>
      <c r="H183" s="27">
        <f>G183+'[2]BM 04'!H183</f>
        <v>0</v>
      </c>
      <c r="I183" s="28">
        <f t="shared" si="50"/>
        <v>95.64</v>
      </c>
      <c r="J183" s="28">
        <f t="shared" si="50"/>
        <v>0</v>
      </c>
      <c r="K183" s="28">
        <f t="shared" si="50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05'!K177</f>
        <v>0</v>
      </c>
      <c r="H184" s="27">
        <f>G184+'[2]BM 04'!H184</f>
        <v>0</v>
      </c>
      <c r="I184" s="28">
        <f t="shared" si="50"/>
        <v>230.64</v>
      </c>
      <c r="J184" s="28">
        <f t="shared" si="50"/>
        <v>0</v>
      </c>
      <c r="K184" s="28">
        <f t="shared" si="50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05'!K178</f>
        <v>0</v>
      </c>
      <c r="H185" s="27">
        <f>G185+'[2]BM 04'!H185</f>
        <v>0</v>
      </c>
      <c r="I185" s="28">
        <f t="shared" si="50"/>
        <v>307.66000000000003</v>
      </c>
      <c r="J185" s="28">
        <f t="shared" si="50"/>
        <v>0</v>
      </c>
      <c r="K185" s="28">
        <f t="shared" si="50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05'!K179</f>
        <v>0</v>
      </c>
      <c r="H186" s="27">
        <f>G186+'[2]BM 04'!H186</f>
        <v>0</v>
      </c>
      <c r="I186" s="28">
        <f t="shared" si="50"/>
        <v>195.98</v>
      </c>
      <c r="J186" s="28">
        <f t="shared" si="50"/>
        <v>0</v>
      </c>
      <c r="K186" s="28">
        <f t="shared" si="50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05'!K180</f>
        <v>0</v>
      </c>
      <c r="H187" s="27">
        <f>G187+'[2]BM 04'!H187</f>
        <v>0</v>
      </c>
      <c r="I187" s="28">
        <f t="shared" si="50"/>
        <v>65.16</v>
      </c>
      <c r="J187" s="28">
        <f t="shared" si="50"/>
        <v>0</v>
      </c>
      <c r="K187" s="28">
        <f t="shared" si="50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05'!K181</f>
        <v>0</v>
      </c>
      <c r="H188" s="27">
        <f>G188+'[2]BM 04'!H188</f>
        <v>0</v>
      </c>
      <c r="I188" s="28">
        <f t="shared" si="50"/>
        <v>301.19</v>
      </c>
      <c r="J188" s="28">
        <f t="shared" si="50"/>
        <v>0</v>
      </c>
      <c r="K188" s="28">
        <f t="shared" si="50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05'!K182</f>
        <v>0</v>
      </c>
      <c r="H189" s="27">
        <f>G189+'[2]BM 04'!H189</f>
        <v>0</v>
      </c>
      <c r="I189" s="28">
        <f t="shared" si="50"/>
        <v>80.14</v>
      </c>
      <c r="J189" s="28">
        <f t="shared" si="50"/>
        <v>0</v>
      </c>
      <c r="K189" s="28">
        <f t="shared" si="50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05'!K183</f>
        <v>0</v>
      </c>
      <c r="H190" s="27">
        <f>G190+'[2]BM 04'!H190</f>
        <v>0</v>
      </c>
      <c r="I190" s="28">
        <f t="shared" si="50"/>
        <v>41.3</v>
      </c>
      <c r="J190" s="28">
        <f t="shared" si="50"/>
        <v>0</v>
      </c>
      <c r="K190" s="28">
        <f t="shared" si="50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05'!K184</f>
        <v>0</v>
      </c>
      <c r="H191" s="27">
        <f>G191+'[2]BM 04'!H191</f>
        <v>0</v>
      </c>
      <c r="I191" s="28">
        <f t="shared" si="50"/>
        <v>56.5</v>
      </c>
      <c r="J191" s="28">
        <f t="shared" si="50"/>
        <v>0</v>
      </c>
      <c r="K191" s="28">
        <f t="shared" si="50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SUM(J193:J200)</f>
        <v>8294.5</v>
      </c>
      <c r="K192" s="41">
        <f t="shared" ref="K192" si="51">SUM(K193:K200)</f>
        <v>8294.5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05'!K186</f>
        <v>2</v>
      </c>
      <c r="H193" s="27">
        <f>G193+'[2]BM 04'!H193</f>
        <v>2</v>
      </c>
      <c r="I193" s="28">
        <f t="shared" ref="I193:K200" si="52">$E193*F193</f>
        <v>135.52000000000001</v>
      </c>
      <c r="J193" s="28">
        <f t="shared" si="52"/>
        <v>135.52000000000001</v>
      </c>
      <c r="K193" s="28">
        <f t="shared" si="52"/>
        <v>135.52000000000001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05'!K187</f>
        <v>0</v>
      </c>
      <c r="H194" s="27">
        <f>G194+'[2]BM 04'!H194</f>
        <v>0</v>
      </c>
      <c r="I194" s="28">
        <f t="shared" si="52"/>
        <v>1265.05</v>
      </c>
      <c r="J194" s="28">
        <f t="shared" si="52"/>
        <v>0</v>
      </c>
      <c r="K194" s="28">
        <f t="shared" si="52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05'!K188</f>
        <v>16</v>
      </c>
      <c r="H195" s="27">
        <f>G195+'[2]BM 04'!H195</f>
        <v>16</v>
      </c>
      <c r="I195" s="28">
        <f t="shared" si="52"/>
        <v>1294.72</v>
      </c>
      <c r="J195" s="28">
        <f t="shared" si="52"/>
        <v>1294.72</v>
      </c>
      <c r="K195" s="28">
        <f t="shared" si="52"/>
        <v>1294.72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05'!K189</f>
        <v>2</v>
      </c>
      <c r="H196" s="27">
        <f>G196+'[2]BM 04'!H196</f>
        <v>2</v>
      </c>
      <c r="I196" s="28">
        <f t="shared" si="52"/>
        <v>6864.26</v>
      </c>
      <c r="J196" s="28">
        <f t="shared" si="52"/>
        <v>6864.26</v>
      </c>
      <c r="K196" s="28">
        <f t="shared" si="52"/>
        <v>6864.26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05'!K190</f>
        <v>0</v>
      </c>
      <c r="H197" s="27">
        <f>G197+'[2]BM 04'!H197</f>
        <v>0</v>
      </c>
      <c r="I197" s="28">
        <f t="shared" si="52"/>
        <v>45.19</v>
      </c>
      <c r="J197" s="28">
        <f t="shared" si="52"/>
        <v>0</v>
      </c>
      <c r="K197" s="28">
        <f t="shared" si="52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05'!K191</f>
        <v>0</v>
      </c>
      <c r="H198" s="27">
        <f>G198+'[2]BM 04'!H198</f>
        <v>0</v>
      </c>
      <c r="I198" s="28">
        <f t="shared" si="52"/>
        <v>11.73</v>
      </c>
      <c r="J198" s="28">
        <f t="shared" si="52"/>
        <v>0</v>
      </c>
      <c r="K198" s="28">
        <f t="shared" si="52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05'!K192</f>
        <v>0</v>
      </c>
      <c r="H199" s="27">
        <f>G199+'[2]BM 04'!H199</f>
        <v>0</v>
      </c>
      <c r="I199" s="28">
        <f t="shared" si="52"/>
        <v>82.6</v>
      </c>
      <c r="J199" s="28">
        <f t="shared" si="52"/>
        <v>0</v>
      </c>
      <c r="K199" s="28">
        <f t="shared" si="52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05'!K193</f>
        <v>0</v>
      </c>
      <c r="H200" s="27">
        <f>G200+'[2]BM 04'!H200</f>
        <v>0</v>
      </c>
      <c r="I200" s="28">
        <f t="shared" si="52"/>
        <v>344.07</v>
      </c>
      <c r="J200" s="28">
        <f t="shared" si="52"/>
        <v>0</v>
      </c>
      <c r="K200" s="28">
        <f t="shared" si="52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 t="shared" ref="J201:K201" si="53">SUM(J202:J205)</f>
        <v>7513.84</v>
      </c>
      <c r="K201" s="41">
        <f t="shared" si="53"/>
        <v>7513.84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05'!K195</f>
        <v>34</v>
      </c>
      <c r="H202" s="27">
        <f>G202+'[2]BM 04'!H202</f>
        <v>34</v>
      </c>
      <c r="I202" s="28">
        <f t="shared" ref="I202:K205" si="54">$E202*F202</f>
        <v>4535.9399999999996</v>
      </c>
      <c r="J202" s="28">
        <f t="shared" si="54"/>
        <v>4535.9399999999996</v>
      </c>
      <c r="K202" s="28">
        <f t="shared" si="54"/>
        <v>4535.9399999999996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05'!K196</f>
        <v>0</v>
      </c>
      <c r="H203" s="27">
        <f>G203+'[2]BM 04'!H203</f>
        <v>0</v>
      </c>
      <c r="I203" s="28">
        <f t="shared" si="54"/>
        <v>629.15</v>
      </c>
      <c r="J203" s="28">
        <f t="shared" si="54"/>
        <v>0</v>
      </c>
      <c r="K203" s="28">
        <f t="shared" si="54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05'!K197</f>
        <v>34</v>
      </c>
      <c r="H204" s="27">
        <f>G204+'[2]BM 04'!H204</f>
        <v>34</v>
      </c>
      <c r="I204" s="28">
        <f t="shared" si="54"/>
        <v>2589.1000000000004</v>
      </c>
      <c r="J204" s="28">
        <f t="shared" si="54"/>
        <v>2589.1000000000004</v>
      </c>
      <c r="K204" s="28">
        <f t="shared" si="54"/>
        <v>2589.1000000000004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05'!K198</f>
        <v>5</v>
      </c>
      <c r="H205" s="27">
        <f>G205+'[2]BM 04'!H205</f>
        <v>5</v>
      </c>
      <c r="I205" s="28">
        <f t="shared" si="54"/>
        <v>388.8</v>
      </c>
      <c r="J205" s="28">
        <f t="shared" si="54"/>
        <v>388.8</v>
      </c>
      <c r="K205" s="28">
        <f t="shared" si="54"/>
        <v>388.8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 t="shared" ref="J206:K206" si="55">SUM(J207:J211)</f>
        <v>2571.7600000000002</v>
      </c>
      <c r="K206" s="41">
        <f t="shared" si="55"/>
        <v>2571.7600000000002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05'!K200</f>
        <v>17</v>
      </c>
      <c r="H207" s="27">
        <f>G207+'[2]BM 04'!H207</f>
        <v>17</v>
      </c>
      <c r="I207" s="28">
        <f t="shared" ref="I207:K211" si="56">$E207*F207</f>
        <v>2723.04</v>
      </c>
      <c r="J207" s="28">
        <f t="shared" si="56"/>
        <v>2571.7600000000002</v>
      </c>
      <c r="K207" s="28">
        <f t="shared" si="56"/>
        <v>2571.7600000000002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05'!K201</f>
        <v>0</v>
      </c>
      <c r="H208" s="27">
        <f>G208+'[2]BM 04'!H208</f>
        <v>0</v>
      </c>
      <c r="I208" s="28">
        <f t="shared" si="56"/>
        <v>1292.912</v>
      </c>
      <c r="J208" s="28">
        <f t="shared" si="56"/>
        <v>0</v>
      </c>
      <c r="K208" s="28">
        <f t="shared" si="56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05'!K202</f>
        <v>0</v>
      </c>
      <c r="H209" s="27">
        <f>G209+'[2]BM 04'!H209</f>
        <v>0</v>
      </c>
      <c r="I209" s="28">
        <f t="shared" si="56"/>
        <v>1579.8999999999999</v>
      </c>
      <c r="J209" s="28">
        <f t="shared" si="56"/>
        <v>0</v>
      </c>
      <c r="K209" s="28">
        <f t="shared" si="56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05'!K203</f>
        <v>0</v>
      </c>
      <c r="H210" s="27">
        <f>G210+'[2]BM 04'!H210</f>
        <v>0</v>
      </c>
      <c r="I210" s="28">
        <f t="shared" si="56"/>
        <v>7371.21</v>
      </c>
      <c r="J210" s="28">
        <f t="shared" si="56"/>
        <v>0</v>
      </c>
      <c r="K210" s="28">
        <f t="shared" si="56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05'!K204</f>
        <v>0</v>
      </c>
      <c r="H211" s="27">
        <f>G211+'[2]BM 04'!H211</f>
        <v>0</v>
      </c>
      <c r="I211" s="28">
        <f t="shared" si="56"/>
        <v>5894.83</v>
      </c>
      <c r="J211" s="28">
        <f t="shared" si="56"/>
        <v>0</v>
      </c>
      <c r="K211" s="28">
        <f t="shared" si="56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05'!K206</f>
        <v>0</v>
      </c>
      <c r="H213" s="27">
        <f>G213+'[2]BM 04'!H213</f>
        <v>0</v>
      </c>
      <c r="I213" s="28">
        <f>$E213*F213</f>
        <v>957.6</v>
      </c>
      <c r="J213" s="28">
        <f t="shared" ref="J213:K215" si="57">$E213*G213</f>
        <v>0</v>
      </c>
      <c r="K213" s="28">
        <f t="shared" si="57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05'!K207</f>
        <v>0</v>
      </c>
      <c r="H214" s="27">
        <f>G214+'[2]BM 04'!H214</f>
        <v>0</v>
      </c>
      <c r="I214" s="28">
        <f t="shared" ref="I214:I215" si="58">$E214*F214</f>
        <v>54.36</v>
      </c>
      <c r="J214" s="28">
        <f t="shared" si="57"/>
        <v>0</v>
      </c>
      <c r="K214" s="28">
        <f t="shared" si="57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05'!K208</f>
        <v>0</v>
      </c>
      <c r="H215" s="27">
        <f>G215+'[2]BM 04'!H215</f>
        <v>0</v>
      </c>
      <c r="I215" s="28">
        <f t="shared" si="58"/>
        <v>489.79999999999995</v>
      </c>
      <c r="J215" s="28">
        <f t="shared" si="57"/>
        <v>0</v>
      </c>
      <c r="K215" s="28">
        <f t="shared" si="57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05'!K210</f>
        <v>0</v>
      </c>
      <c r="H217" s="27">
        <f>G217+'[2]BM 04'!H217</f>
        <v>0</v>
      </c>
      <c r="I217" s="28">
        <f>$E217*F217</f>
        <v>250.53</v>
      </c>
      <c r="J217" s="28">
        <f t="shared" ref="J217:K222" si="59">$E217*G217</f>
        <v>0</v>
      </c>
      <c r="K217" s="28">
        <f t="shared" si="59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05'!K211</f>
        <v>0</v>
      </c>
      <c r="H218" s="27">
        <f>G218+'[2]BM 04'!H218</f>
        <v>0</v>
      </c>
      <c r="I218" s="28">
        <f t="shared" ref="I218:I222" si="60">$E218*F218</f>
        <v>29.96</v>
      </c>
      <c r="J218" s="28">
        <f t="shared" si="59"/>
        <v>0</v>
      </c>
      <c r="K218" s="28">
        <f t="shared" si="59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05'!K212</f>
        <v>0</v>
      </c>
      <c r="H219" s="27">
        <f>G219+'[2]BM 04'!H219</f>
        <v>0</v>
      </c>
      <c r="I219" s="28">
        <f t="shared" si="60"/>
        <v>35.880000000000003</v>
      </c>
      <c r="J219" s="28">
        <f t="shared" si="59"/>
        <v>0</v>
      </c>
      <c r="K219" s="28">
        <f t="shared" si="59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05'!K213</f>
        <v>0</v>
      </c>
      <c r="H220" s="27">
        <f>G220+'[2]BM 04'!H220</f>
        <v>0</v>
      </c>
      <c r="I220" s="28">
        <f t="shared" si="60"/>
        <v>58.95</v>
      </c>
      <c r="J220" s="28">
        <f t="shared" si="59"/>
        <v>0</v>
      </c>
      <c r="K220" s="28">
        <f t="shared" si="59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05'!K214</f>
        <v>0</v>
      </c>
      <c r="H221" s="27">
        <f>G221+'[2]BM 04'!H221</f>
        <v>0</v>
      </c>
      <c r="I221" s="28">
        <f t="shared" si="60"/>
        <v>158.19999999999999</v>
      </c>
      <c r="J221" s="28">
        <f t="shared" si="59"/>
        <v>0</v>
      </c>
      <c r="K221" s="28">
        <f t="shared" si="59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05'!K215</f>
        <v>0</v>
      </c>
      <c r="H222" s="27">
        <f>G222+'[2]BM 04'!H222</f>
        <v>0</v>
      </c>
      <c r="I222" s="28">
        <f t="shared" si="60"/>
        <v>31.64</v>
      </c>
      <c r="J222" s="28">
        <f t="shared" si="59"/>
        <v>0</v>
      </c>
      <c r="K222" s="28">
        <f t="shared" si="59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05'!K217</f>
        <v>0</v>
      </c>
      <c r="H224" s="27">
        <f>G224+'[2]BM 04'!H224</f>
        <v>0</v>
      </c>
      <c r="I224" s="28">
        <f>$E224*F224</f>
        <v>324.92</v>
      </c>
      <c r="J224" s="28">
        <f t="shared" ref="J224:K228" si="61">$E224*G224</f>
        <v>0</v>
      </c>
      <c r="K224" s="28">
        <f t="shared" si="61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05'!K218</f>
        <v>0</v>
      </c>
      <c r="H225" s="27">
        <f>G225+'[2]BM 04'!H225</f>
        <v>0</v>
      </c>
      <c r="I225" s="28">
        <f t="shared" ref="I225:I228" si="62">$E225*F225</f>
        <v>167.37</v>
      </c>
      <c r="J225" s="28">
        <f t="shared" si="61"/>
        <v>0</v>
      </c>
      <c r="K225" s="28">
        <f t="shared" si="61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05'!K219</f>
        <v>0</v>
      </c>
      <c r="H226" s="27">
        <f>G226+'[2]BM 04'!H226</f>
        <v>0</v>
      </c>
      <c r="I226" s="28">
        <f t="shared" si="62"/>
        <v>624.68500000000006</v>
      </c>
      <c r="J226" s="28">
        <f t="shared" si="61"/>
        <v>0</v>
      </c>
      <c r="K226" s="28">
        <f t="shared" si="61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05'!K220</f>
        <v>0</v>
      </c>
      <c r="H227" s="27">
        <f>G227+'[2]BM 04'!H227</f>
        <v>0</v>
      </c>
      <c r="I227" s="28">
        <f t="shared" si="62"/>
        <v>200.67060000000001</v>
      </c>
      <c r="J227" s="28">
        <f t="shared" si="61"/>
        <v>0</v>
      </c>
      <c r="K227" s="28">
        <f t="shared" si="61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05'!K221</f>
        <v>0</v>
      </c>
      <c r="H228" s="27">
        <f>G228+'[2]BM 04'!H228</f>
        <v>0</v>
      </c>
      <c r="I228" s="28">
        <f t="shared" si="62"/>
        <v>40.371600000000001</v>
      </c>
      <c r="J228" s="28">
        <f t="shared" si="61"/>
        <v>0</v>
      </c>
      <c r="K228" s="28">
        <f t="shared" si="61"/>
        <v>0</v>
      </c>
      <c r="L228" s="4"/>
    </row>
    <row r="229" spans="2:12" s="5" customFormat="1" ht="15">
      <c r="B229" s="59">
        <v>14</v>
      </c>
      <c r="C229" s="60" t="s">
        <v>495</v>
      </c>
      <c r="D229" s="61"/>
      <c r="E229" s="62"/>
      <c r="F229" s="62"/>
      <c r="G229" s="62"/>
      <c r="H229" s="62"/>
      <c r="I229" s="63">
        <f>I230+I235+I238</f>
        <v>92256.01479175</v>
      </c>
      <c r="J229" s="63">
        <f t="shared" ref="J229:K229" si="63">J230+J235+J238</f>
        <v>0</v>
      </c>
      <c r="K229" s="63">
        <f t="shared" si="63"/>
        <v>69233.863064300007</v>
      </c>
      <c r="L229" s="4"/>
    </row>
    <row r="230" spans="2:12" s="5" customFormat="1" ht="15">
      <c r="B230" s="109" t="s">
        <v>496</v>
      </c>
      <c r="C230" s="44" t="s">
        <v>497</v>
      </c>
      <c r="D230" s="45"/>
      <c r="E230" s="45"/>
      <c r="F230" s="45"/>
      <c r="G230" s="45"/>
      <c r="H230" s="45"/>
      <c r="I230" s="110">
        <f>SUM(I231:I234)</f>
        <v>53075.522384000004</v>
      </c>
      <c r="J230" s="110">
        <f t="shared" ref="J230:K230" si="64">SUM(J231:J234)</f>
        <v>0</v>
      </c>
      <c r="K230" s="110">
        <f t="shared" si="64"/>
        <v>52882.428000000007</v>
      </c>
      <c r="L230" s="4"/>
    </row>
    <row r="231" spans="2:12" s="5" customFormat="1" ht="36">
      <c r="B231" s="109" t="s">
        <v>498</v>
      </c>
      <c r="C231" s="64" t="s">
        <v>499</v>
      </c>
      <c r="D231" s="23" t="s">
        <v>27</v>
      </c>
      <c r="E231" s="35">
        <v>224.02</v>
      </c>
      <c r="F231" s="25">
        <v>191.06</v>
      </c>
      <c r="G231" s="26">
        <f>'[2]Memória 05'!K224</f>
        <v>0</v>
      </c>
      <c r="H231" s="27">
        <f>G231+'[2]BM 04'!H231</f>
        <v>190.2</v>
      </c>
      <c r="I231" s="28">
        <f t="shared" ref="I231:K241" si="65">$E231*F231</f>
        <v>42801.261200000001</v>
      </c>
      <c r="J231" s="28">
        <f t="shared" si="65"/>
        <v>0</v>
      </c>
      <c r="K231" s="28">
        <f t="shared" si="65"/>
        <v>42608.603999999999</v>
      </c>
      <c r="L231" s="4"/>
    </row>
    <row r="232" spans="2:12" s="5" customFormat="1" ht="48">
      <c r="B232" s="109" t="s">
        <v>500</v>
      </c>
      <c r="C232" s="64" t="s">
        <v>501</v>
      </c>
      <c r="D232" s="23" t="s">
        <v>27</v>
      </c>
      <c r="E232" s="35">
        <v>109.37</v>
      </c>
      <c r="F232" s="25">
        <v>75.20320000000001</v>
      </c>
      <c r="G232" s="26">
        <f>'[2]Memória 05'!K225</f>
        <v>0</v>
      </c>
      <c r="H232" s="27">
        <f>G232+'[2]BM 04'!H232</f>
        <v>75.2</v>
      </c>
      <c r="I232" s="28">
        <f t="shared" si="65"/>
        <v>8224.973984000002</v>
      </c>
      <c r="J232" s="28">
        <f t="shared" si="65"/>
        <v>0</v>
      </c>
      <c r="K232" s="28">
        <f t="shared" si="65"/>
        <v>8224.6239999999998</v>
      </c>
      <c r="L232" s="4"/>
    </row>
    <row r="233" spans="2:12" s="5" customFormat="1" ht="24">
      <c r="B233" s="109" t="s">
        <v>502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05'!K226</f>
        <v>0</v>
      </c>
      <c r="H233" s="27">
        <f>G233+'[2]BM 04'!H233</f>
        <v>75.2</v>
      </c>
      <c r="I233" s="28">
        <f t="shared" si="65"/>
        <v>339.16643200000004</v>
      </c>
      <c r="J233" s="28">
        <f t="shared" si="65"/>
        <v>0</v>
      </c>
      <c r="K233" s="28">
        <f t="shared" si="65"/>
        <v>339.15199999999999</v>
      </c>
      <c r="L233" s="4"/>
    </row>
    <row r="234" spans="2:12" s="5" customFormat="1" ht="24">
      <c r="B234" s="109" t="s">
        <v>503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05'!K227</f>
        <v>0</v>
      </c>
      <c r="H234" s="27">
        <f>G234+'[2]BM 04'!H234</f>
        <v>75.2</v>
      </c>
      <c r="I234" s="28">
        <f t="shared" si="65"/>
        <v>1710.120768</v>
      </c>
      <c r="J234" s="28">
        <f t="shared" si="65"/>
        <v>0</v>
      </c>
      <c r="K234" s="28">
        <f t="shared" si="65"/>
        <v>1710.048</v>
      </c>
      <c r="L234" s="4"/>
    </row>
    <row r="235" spans="2:12" s="5" customFormat="1" ht="15">
      <c r="B235" s="109" t="s">
        <v>504</v>
      </c>
      <c r="C235" s="44" t="s">
        <v>505</v>
      </c>
      <c r="D235" s="44"/>
      <c r="E235" s="44"/>
      <c r="F235" s="44"/>
      <c r="G235" s="44"/>
      <c r="H235" s="44"/>
      <c r="I235" s="110">
        <f>SUM(I236:I237)</f>
        <v>16351.4350643</v>
      </c>
      <c r="J235" s="110">
        <f t="shared" ref="J235:K235" si="66">SUM(J236:J237)</f>
        <v>0</v>
      </c>
      <c r="K235" s="110">
        <f t="shared" si="66"/>
        <v>16351.4350643</v>
      </c>
      <c r="L235" s="4"/>
    </row>
    <row r="236" spans="2:12" s="5" customFormat="1" ht="48">
      <c r="B236" s="109" t="s">
        <v>506</v>
      </c>
      <c r="C236" s="64" t="s">
        <v>501</v>
      </c>
      <c r="D236" s="23" t="s">
        <v>27</v>
      </c>
      <c r="E236" s="35">
        <v>109.37</v>
      </c>
      <c r="F236" s="25">
        <v>69.099999999999994</v>
      </c>
      <c r="G236" s="26">
        <f>'[2]Memória 05'!K229</f>
        <v>0</v>
      </c>
      <c r="H236" s="27">
        <f>G236+'[2]BM 04'!H236</f>
        <v>69.099999999999994</v>
      </c>
      <c r="I236" s="28">
        <f t="shared" si="65"/>
        <v>7557.4669999999996</v>
      </c>
      <c r="J236" s="28">
        <f t="shared" si="65"/>
        <v>0</v>
      </c>
      <c r="K236" s="28">
        <f t="shared" si="65"/>
        <v>7557.4669999999996</v>
      </c>
      <c r="L236" s="4"/>
    </row>
    <row r="237" spans="2:12" s="5" customFormat="1" ht="36">
      <c r="B237" s="109" t="s">
        <v>507</v>
      </c>
      <c r="C237" s="64" t="s">
        <v>508</v>
      </c>
      <c r="D237" s="23" t="s">
        <v>45</v>
      </c>
      <c r="E237" s="35">
        <v>23.101289999999999</v>
      </c>
      <c r="F237" s="25">
        <v>380.67</v>
      </c>
      <c r="G237" s="26">
        <f>'[2]Memória 05'!K230</f>
        <v>0</v>
      </c>
      <c r="H237" s="27">
        <f>G237+'[2]BM 04'!H237</f>
        <v>380.67</v>
      </c>
      <c r="I237" s="28">
        <f t="shared" si="65"/>
        <v>8793.9680642999992</v>
      </c>
      <c r="J237" s="28">
        <f t="shared" si="65"/>
        <v>0</v>
      </c>
      <c r="K237" s="28">
        <f t="shared" si="65"/>
        <v>8793.9680642999992</v>
      </c>
      <c r="L237" s="4"/>
    </row>
    <row r="238" spans="2:12" s="5" customFormat="1" ht="15">
      <c r="B238" s="109" t="s">
        <v>509</v>
      </c>
      <c r="C238" s="44" t="s">
        <v>510</v>
      </c>
      <c r="D238" s="44"/>
      <c r="E238" s="44"/>
      <c r="F238" s="44"/>
      <c r="G238" s="44"/>
      <c r="H238" s="44"/>
      <c r="I238" s="110">
        <f>SUM(I239:I241)</f>
        <v>22829.057343450004</v>
      </c>
      <c r="J238" s="110">
        <f t="shared" ref="J238" si="67">SUM(J239:J241)</f>
        <v>0</v>
      </c>
      <c r="K238" s="110">
        <f>SUM(K239:K241)</f>
        <v>0</v>
      </c>
      <c r="L238" s="4"/>
    </row>
    <row r="239" spans="2:12" s="5" customFormat="1" ht="24">
      <c r="B239" s="109" t="s">
        <v>511</v>
      </c>
      <c r="C239" s="64" t="s">
        <v>512</v>
      </c>
      <c r="D239" s="23" t="s">
        <v>27</v>
      </c>
      <c r="E239" s="35">
        <v>380.10154500000004</v>
      </c>
      <c r="F239" s="25">
        <v>28.36</v>
      </c>
      <c r="G239" s="26">
        <f>'[2]Memória 05'!K232</f>
        <v>0</v>
      </c>
      <c r="H239" s="27">
        <f>G239+'[2]BM 04'!H239</f>
        <v>0</v>
      </c>
      <c r="I239" s="28">
        <f t="shared" si="65"/>
        <v>10779.679816200001</v>
      </c>
      <c r="J239" s="28">
        <f t="shared" si="65"/>
        <v>0</v>
      </c>
      <c r="K239" s="28">
        <f t="shared" si="65"/>
        <v>0</v>
      </c>
      <c r="L239" s="4"/>
    </row>
    <row r="240" spans="2:12" s="5" customFormat="1" ht="14.25">
      <c r="B240" s="109" t="s">
        <v>513</v>
      </c>
      <c r="C240" s="64" t="s">
        <v>514</v>
      </c>
      <c r="D240" s="23" t="s">
        <v>27</v>
      </c>
      <c r="E240" s="35">
        <v>30.500325</v>
      </c>
      <c r="F240" s="25">
        <v>285.93</v>
      </c>
      <c r="G240" s="26">
        <f>'[2]Memória 05'!K233</f>
        <v>0</v>
      </c>
      <c r="H240" s="27">
        <f>G240+'[2]BM 04'!H240</f>
        <v>0</v>
      </c>
      <c r="I240" s="28">
        <f t="shared" si="65"/>
        <v>8720.9579272499996</v>
      </c>
      <c r="J240" s="28">
        <f t="shared" si="65"/>
        <v>0</v>
      </c>
      <c r="K240" s="28">
        <f t="shared" si="65"/>
        <v>0</v>
      </c>
      <c r="L240" s="4"/>
    </row>
    <row r="241" spans="2:12" s="5" customFormat="1" ht="24.75" thickBot="1">
      <c r="B241" s="109" t="s">
        <v>515</v>
      </c>
      <c r="C241" s="64" t="s">
        <v>516</v>
      </c>
      <c r="D241" s="23" t="s">
        <v>27</v>
      </c>
      <c r="E241" s="35">
        <v>416.05245000000002</v>
      </c>
      <c r="F241" s="25">
        <v>8</v>
      </c>
      <c r="G241" s="26">
        <f>'[2]Memória 05'!K234</f>
        <v>0</v>
      </c>
      <c r="H241" s="27">
        <f>G241+'[2]BM 04'!H241</f>
        <v>0</v>
      </c>
      <c r="I241" s="28">
        <f t="shared" si="65"/>
        <v>3328.4196000000002</v>
      </c>
      <c r="J241" s="28">
        <f t="shared" si="65"/>
        <v>0</v>
      </c>
      <c r="K241" s="28">
        <f t="shared" si="65"/>
        <v>0</v>
      </c>
      <c r="L241" s="4"/>
    </row>
    <row r="242" spans="2:12" s="5" customFormat="1" ht="15">
      <c r="B242" s="117" t="s">
        <v>439</v>
      </c>
      <c r="C242" s="118"/>
      <c r="D242" s="118"/>
      <c r="E242" s="118"/>
      <c r="F242" s="118"/>
      <c r="G242" s="118"/>
      <c r="H242" s="119"/>
      <c r="I242" s="66">
        <f>SUM(I223+I216+I212+I155+I105+I86+I56+I52+I48+I32+I25+I20+I11+I229)</f>
        <v>649116.54869174992</v>
      </c>
      <c r="J242" s="66">
        <f t="shared" ref="J242:K242" si="68">SUM(J223+J216+J212+J155+J105+J86+J56+J52+J48+J32+J25+J20+J11+J229)</f>
        <v>66711.217999999993</v>
      </c>
      <c r="K242" s="66">
        <f t="shared" si="68"/>
        <v>301351.40737679997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 ht="13.5" thickBot="1">
      <c r="I245" s="70"/>
    </row>
    <row r="246" spans="2:12">
      <c r="B246" s="155" t="s">
        <v>517</v>
      </c>
      <c r="C246" s="156"/>
      <c r="D246" s="156"/>
      <c r="E246" s="156"/>
      <c r="F246" s="156"/>
      <c r="G246" s="156"/>
      <c r="H246" s="156"/>
      <c r="I246" s="156"/>
      <c r="J246" s="156"/>
      <c r="K246" s="157"/>
    </row>
    <row r="247" spans="2:12">
      <c r="B247" s="158"/>
      <c r="C247" s="149"/>
      <c r="D247" s="149"/>
      <c r="E247" s="149"/>
      <c r="F247" s="149"/>
      <c r="G247" s="149"/>
      <c r="H247" s="149"/>
      <c r="I247" s="149"/>
      <c r="J247" s="149"/>
      <c r="K247" s="159"/>
    </row>
    <row r="248" spans="2:12" ht="13.5" thickBot="1">
      <c r="B248" s="160"/>
      <c r="C248" s="161"/>
      <c r="D248" s="161"/>
      <c r="E248" s="161"/>
      <c r="F248" s="161"/>
      <c r="G248" s="161"/>
      <c r="H248" s="161"/>
      <c r="I248" s="161"/>
      <c r="J248" s="161"/>
      <c r="K248" s="162"/>
    </row>
    <row r="249" spans="2:12" hidden="1">
      <c r="B249" s="155" t="s">
        <v>530</v>
      </c>
      <c r="C249" s="156"/>
      <c r="D249" s="156"/>
      <c r="E249" s="156"/>
      <c r="F249" s="156"/>
      <c r="G249" s="156"/>
      <c r="H249" s="156"/>
      <c r="I249" s="156"/>
      <c r="J249" s="156"/>
      <c r="K249" s="157"/>
    </row>
    <row r="250" spans="2:12" hidden="1">
      <c r="B250" s="158"/>
      <c r="C250" s="149"/>
      <c r="D250" s="149"/>
      <c r="E250" s="149"/>
      <c r="F250" s="149"/>
      <c r="G250" s="149"/>
      <c r="H250" s="149"/>
      <c r="I250" s="149"/>
      <c r="J250" s="149"/>
      <c r="K250" s="159"/>
    </row>
    <row r="251" spans="2:12" ht="13.5" hidden="1" thickBot="1">
      <c r="B251" s="160"/>
      <c r="C251" s="161"/>
      <c r="D251" s="161"/>
      <c r="E251" s="161"/>
      <c r="F251" s="161"/>
      <c r="G251" s="161"/>
      <c r="H251" s="161"/>
      <c r="I251" s="161"/>
      <c r="J251" s="161"/>
      <c r="K251" s="162"/>
    </row>
    <row r="252" spans="2:12" ht="16.5" hidden="1" customHeight="1" thickBot="1">
      <c r="G252" s="151" t="s">
        <v>531</v>
      </c>
      <c r="H252" s="152"/>
      <c r="I252" s="152"/>
      <c r="J252" s="153">
        <f>ROUND(J242*1.1157,2)</f>
        <v>74429.710000000006</v>
      </c>
      <c r="K252" s="154"/>
    </row>
    <row r="255" spans="2:12">
      <c r="J255" s="71">
        <f>K242/I242</f>
        <v>0.46424853592802889</v>
      </c>
    </row>
  </sheetData>
  <mergeCells count="23">
    <mergeCell ref="B5:C5"/>
    <mergeCell ref="D5:H5"/>
    <mergeCell ref="I5:K5"/>
    <mergeCell ref="B2:K2"/>
    <mergeCell ref="B3:K3"/>
    <mergeCell ref="B4:C4"/>
    <mergeCell ref="D4:H4"/>
    <mergeCell ref="I4:K4"/>
    <mergeCell ref="G252:I252"/>
    <mergeCell ref="J252:K252"/>
    <mergeCell ref="B6:C6"/>
    <mergeCell ref="D6:H6"/>
    <mergeCell ref="I6:K6"/>
    <mergeCell ref="B7:C7"/>
    <mergeCell ref="D7:H7"/>
    <mergeCell ref="B8:C8"/>
    <mergeCell ref="D8:H8"/>
    <mergeCell ref="I8:K8"/>
    <mergeCell ref="B9:K9"/>
    <mergeCell ref="C84:D84"/>
    <mergeCell ref="B242:H242"/>
    <mergeCell ref="B246:K248"/>
    <mergeCell ref="B249:K251"/>
  </mergeCells>
  <conditionalFormatting sqref="B11:K83 B84:C84">
    <cfRule type="expression" dxfId="15" priority="3">
      <formula>LEN($B11)=1</formula>
    </cfRule>
  </conditionalFormatting>
  <conditionalFormatting sqref="B85:K241">
    <cfRule type="expression" dxfId="14" priority="1">
      <formula>LEN($B85)=1</formula>
    </cfRule>
  </conditionalFormatting>
  <conditionalFormatting sqref="E84:K84">
    <cfRule type="expression" dxfId="13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  <rowBreaks count="3" manualBreakCount="3">
    <brk id="38" min="1" max="10" man="1"/>
    <brk id="85" min="1" max="10" man="1"/>
    <brk id="227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18</vt:i4>
      </vt:variant>
    </vt:vector>
  </HeadingPairs>
  <TitlesOfParts>
    <vt:vector size="31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BM 06</vt:lpstr>
      <vt:lpstr>Memória 06</vt:lpstr>
      <vt:lpstr>Planilha1</vt:lpstr>
      <vt:lpstr>'BM 01'!Area_de_impressao</vt:lpstr>
      <vt:lpstr>'BM 02'!Area_de_impressao</vt:lpstr>
      <vt:lpstr>'BM 03'!Area_de_impressao</vt:lpstr>
      <vt:lpstr>'BM 04'!Area_de_impressao</vt:lpstr>
      <vt:lpstr>'BM 05'!Area_de_impressao</vt:lpstr>
      <vt:lpstr>'BM 06'!Area_de_impressao</vt:lpstr>
      <vt:lpstr>'Memória 01'!Area_de_impressao</vt:lpstr>
      <vt:lpstr>'Memória 02'!Area_de_impressao</vt:lpstr>
      <vt:lpstr>'Memória 03'!Area_de_impressao</vt:lpstr>
      <vt:lpstr>'Memória 04'!Area_de_impressao</vt:lpstr>
      <vt:lpstr>'Memória 05'!Area_de_impressao</vt:lpstr>
      <vt:lpstr>'Memória 06'!Area_de_impressao</vt:lpstr>
      <vt:lpstr>'BM 01'!Titulos_de_impressao</vt:lpstr>
      <vt:lpstr>'BM 02'!Titulos_de_impressao</vt:lpstr>
      <vt:lpstr>'BM 03'!Titulos_de_impressao</vt:lpstr>
      <vt:lpstr>'BM 04'!Titulos_de_impressao</vt:lpstr>
      <vt:lpstr>'BM 05'!Titulos_de_impressao</vt:lpstr>
      <vt:lpstr>'BM 06'!Titulos_de_impressao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2025-02-20T18:23:54Z</dcterms:created>
  <dcterms:modified xsi:type="dcterms:W3CDTF">2025-02-20T19:32:38Z</dcterms:modified>
</cp:coreProperties>
</file>