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 codeName="ThisWorkbook"/>
  <xr:revisionPtr revIDLastSave="0" documentId="13_ncr:1_{34B8DDA9-8CD6-4FA7-B697-7491FA7D28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ÇÃO 02" sheetId="1" r:id="rId1"/>
    <sheet name="RELATÓRIO FOTOGRÁFICO" sheetId="4" r:id="rId2"/>
    <sheet name="MEMORIA BM 02" sheetId="2" r:id="rId3"/>
    <sheet name="MEMORIA ATERRO" sheetId="3" r:id="rId4"/>
  </sheets>
  <externalReferences>
    <externalReference r:id="rId5"/>
  </externalReferences>
  <definedNames>
    <definedName name="_xlnm._FilterDatabase" localSheetId="2" hidden="1">'MEMORIA BM 02'!$D$1:$D$224</definedName>
    <definedName name="_xlnm.Print_Area" localSheetId="0">'MEDIÇÃO 02'!$A$1:$Q$266</definedName>
    <definedName name="_xlnm.Print_Area" localSheetId="3">'MEMORIA ATERRO'!$A$1:$AH$40</definedName>
    <definedName name="_xlnm.Print_Area" localSheetId="2">'MEMORIA BM 02'!$A$1:$E$216</definedName>
    <definedName name="_xlnm.Print_Area" localSheetId="1">'RELATÓRIO FOTOGRÁFICO'!$A$1:$P$137</definedName>
    <definedName name="JR_PAGE_ANCHOR_0_1">'MEDIÇÃO 02'!$A$1</definedName>
  </definedNames>
  <calcPr calcId="191029"/>
</workbook>
</file>

<file path=xl/calcChain.xml><?xml version="1.0" encoding="utf-8"?>
<calcChain xmlns="http://schemas.openxmlformats.org/spreadsheetml/2006/main">
  <c r="N59" i="1" l="1"/>
  <c r="N47" i="1"/>
  <c r="N33" i="1"/>
  <c r="N28" i="1"/>
  <c r="N18" i="1"/>
  <c r="N229" i="1"/>
  <c r="N225" i="1"/>
  <c r="N103" i="1"/>
  <c r="N96" i="1"/>
  <c r="N92" i="1"/>
  <c r="N76" i="1"/>
  <c r="N69" i="1"/>
  <c r="K41" i="1"/>
  <c r="K40" i="1"/>
  <c r="K39" i="1"/>
  <c r="K38" i="1"/>
  <c r="K37" i="1"/>
  <c r="E35" i="2"/>
  <c r="E33" i="2"/>
  <c r="K35" i="1"/>
  <c r="M230" i="1"/>
  <c r="Q30" i="1"/>
  <c r="Q31" i="1"/>
  <c r="Q32" i="1"/>
  <c r="Q33" i="1"/>
  <c r="Q46" i="1"/>
  <c r="Q49" i="1"/>
  <c r="Q50" i="1"/>
  <c r="Q51" i="1"/>
  <c r="Q52" i="1"/>
  <c r="Q53" i="1"/>
  <c r="Q54" i="1"/>
  <c r="Q55" i="1"/>
  <c r="Q56" i="1"/>
  <c r="Q57" i="1"/>
  <c r="Q58" i="1"/>
  <c r="Q59" i="1"/>
  <c r="Q61" i="1"/>
  <c r="Q62" i="1"/>
  <c r="Q63" i="1"/>
  <c r="Q64" i="1"/>
  <c r="Q65" i="1"/>
  <c r="Q66" i="1"/>
  <c r="Q67" i="1"/>
  <c r="Q68" i="1"/>
  <c r="Q69" i="1"/>
  <c r="Q71" i="1"/>
  <c r="Q72" i="1"/>
  <c r="Q73" i="1"/>
  <c r="Q74" i="1"/>
  <c r="Q75" i="1"/>
  <c r="Q76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5" i="1"/>
  <c r="Q98" i="1"/>
  <c r="Q99" i="1"/>
  <c r="Q100" i="1"/>
  <c r="Q101" i="1"/>
  <c r="Q102" i="1"/>
  <c r="Q103" i="1"/>
  <c r="Q105" i="1"/>
  <c r="Q106" i="1"/>
  <c r="Q107" i="1"/>
  <c r="Q108" i="1"/>
  <c r="Q109" i="1"/>
  <c r="Q110" i="1"/>
  <c r="Q113" i="1"/>
  <c r="Q114" i="1"/>
  <c r="Q115" i="1"/>
  <c r="Q116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4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6" i="1"/>
  <c r="Q217" i="1"/>
  <c r="Q218" i="1"/>
  <c r="Q219" i="1"/>
  <c r="Q220" i="1"/>
  <c r="Q221" i="1"/>
  <c r="Q222" i="1"/>
  <c r="Q223" i="1"/>
  <c r="Q224" i="1"/>
  <c r="Q225" i="1"/>
  <c r="Q227" i="1"/>
  <c r="Q228" i="1"/>
  <c r="Q229" i="1"/>
  <c r="E27" i="2" l="1"/>
  <c r="E26" i="2"/>
  <c r="E25" i="2"/>
  <c r="E23" i="2"/>
  <c r="E21" i="2" l="1"/>
  <c r="F17" i="2" l="1"/>
  <c r="F20" i="2"/>
  <c r="F33" i="2"/>
  <c r="W40" i="3"/>
  <c r="Z40" i="3" s="1"/>
  <c r="W39" i="3"/>
  <c r="Z39" i="3" s="1"/>
  <c r="W38" i="3"/>
  <c r="Z38" i="3" s="1"/>
  <c r="W37" i="3"/>
  <c r="Z37" i="3" s="1"/>
  <c r="W36" i="3"/>
  <c r="Z36" i="3" s="1"/>
  <c r="W35" i="3"/>
  <c r="Z35" i="3" s="1"/>
  <c r="W34" i="3"/>
  <c r="Z34" i="3" s="1"/>
  <c r="W33" i="3"/>
  <c r="Z33" i="3" s="1"/>
  <c r="W32" i="3"/>
  <c r="Z32" i="3" s="1"/>
  <c r="W31" i="3"/>
  <c r="Z31" i="3" s="1"/>
  <c r="W30" i="3"/>
  <c r="Z30" i="3" s="1"/>
  <c r="W29" i="3"/>
  <c r="Z29" i="3" s="1"/>
  <c r="W28" i="3"/>
  <c r="Z28" i="3" s="1"/>
  <c r="W27" i="3"/>
  <c r="Z27" i="3" s="1"/>
  <c r="W26" i="3"/>
  <c r="Z26" i="3" s="1"/>
  <c r="W25" i="3"/>
  <c r="Z25" i="3" s="1"/>
  <c r="W24" i="3"/>
  <c r="Z24" i="3" s="1"/>
  <c r="W23" i="3"/>
  <c r="Z23" i="3" s="1"/>
  <c r="W22" i="3"/>
  <c r="Z22" i="3" s="1"/>
  <c r="W21" i="3"/>
  <c r="Z21" i="3" s="1"/>
  <c r="W20" i="3"/>
  <c r="Z20" i="3" s="1"/>
  <c r="W19" i="3"/>
  <c r="Z19" i="3" s="1"/>
  <c r="W18" i="3"/>
  <c r="Z18" i="3" s="1"/>
  <c r="W17" i="3"/>
  <c r="Z17" i="3" s="1"/>
  <c r="W16" i="3"/>
  <c r="Z16" i="3" s="1"/>
  <c r="AC15" i="3" l="1"/>
  <c r="AD42" i="3" s="1"/>
  <c r="E16" i="2" s="1"/>
  <c r="E87" i="2" l="1"/>
  <c r="K36" i="1" l="1"/>
  <c r="K42" i="1"/>
  <c r="K43" i="1"/>
  <c r="K44" i="1"/>
  <c r="K21" i="1"/>
  <c r="K22" i="1"/>
  <c r="K23" i="1"/>
  <c r="K24" i="1"/>
  <c r="K25" i="1"/>
  <c r="K26" i="1"/>
  <c r="K27" i="1"/>
  <c r="K17" i="1" l="1"/>
  <c r="K9" i="1"/>
  <c r="K10" i="1"/>
  <c r="K11" i="1"/>
  <c r="E39" i="2" l="1"/>
  <c r="E38" i="2"/>
  <c r="E37" i="2" l="1"/>
  <c r="E36" i="2"/>
  <c r="B222" i="2"/>
  <c r="B224" i="2"/>
  <c r="B221" i="2"/>
  <c r="B223" i="2" l="1"/>
  <c r="B219" i="2" s="1"/>
  <c r="K20" i="1"/>
  <c r="K16" i="1"/>
  <c r="A216" i="2"/>
  <c r="B216" i="2"/>
  <c r="C216" i="2"/>
  <c r="C215" i="2"/>
  <c r="B215" i="2"/>
  <c r="A215" i="2"/>
  <c r="B214" i="2"/>
  <c r="A214" i="2"/>
  <c r="A213" i="2"/>
  <c r="B213" i="2"/>
  <c r="C213" i="2"/>
  <c r="A210" i="2"/>
  <c r="B210" i="2"/>
  <c r="C210" i="2"/>
  <c r="A211" i="2"/>
  <c r="B211" i="2"/>
  <c r="C211" i="2"/>
  <c r="A212" i="2"/>
  <c r="B212" i="2"/>
  <c r="C212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C205" i="2"/>
  <c r="B205" i="2"/>
  <c r="A205" i="2"/>
  <c r="B204" i="2"/>
  <c r="A204" i="2"/>
  <c r="A202" i="2"/>
  <c r="B202" i="2"/>
  <c r="C202" i="2"/>
  <c r="A203" i="2"/>
  <c r="B203" i="2"/>
  <c r="C203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C144" i="2"/>
  <c r="B144" i="2"/>
  <c r="A144" i="2"/>
  <c r="B143" i="2"/>
  <c r="A143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C96" i="2"/>
  <c r="B96" i="2"/>
  <c r="A96" i="2"/>
  <c r="B95" i="2"/>
  <c r="A95" i="2"/>
  <c r="A91" i="2"/>
  <c r="B91" i="2"/>
  <c r="C91" i="2"/>
  <c r="A92" i="2"/>
  <c r="B92" i="2"/>
  <c r="C92" i="2"/>
  <c r="A93" i="2"/>
  <c r="B93" i="2"/>
  <c r="C93" i="2"/>
  <c r="A94" i="2"/>
  <c r="B94" i="2"/>
  <c r="C94" i="2"/>
  <c r="C90" i="2"/>
  <c r="B90" i="2"/>
  <c r="A90" i="2"/>
  <c r="B89" i="2"/>
  <c r="A89" i="2"/>
  <c r="A88" i="2"/>
  <c r="B88" i="2"/>
  <c r="C88" i="2"/>
  <c r="C87" i="2"/>
  <c r="B87" i="2"/>
  <c r="A87" i="2"/>
  <c r="B86" i="2"/>
  <c r="A86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C72" i="2"/>
  <c r="B72" i="2"/>
  <c r="A72" i="2"/>
  <c r="B71" i="2"/>
  <c r="A71" i="2"/>
  <c r="A69" i="2"/>
  <c r="B69" i="2"/>
  <c r="C69" i="2"/>
  <c r="A70" i="2"/>
  <c r="B70" i="2"/>
  <c r="C70" i="2"/>
  <c r="A67" i="2"/>
  <c r="B67" i="2"/>
  <c r="C67" i="2"/>
  <c r="A68" i="2"/>
  <c r="B68" i="2"/>
  <c r="C68" i="2"/>
  <c r="C66" i="2"/>
  <c r="B66" i="2"/>
  <c r="A66" i="2"/>
  <c r="B65" i="2"/>
  <c r="A65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C57" i="2"/>
  <c r="B57" i="2"/>
  <c r="A57" i="2"/>
  <c r="B56" i="2"/>
  <c r="A5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C46" i="2"/>
  <c r="B46" i="2"/>
  <c r="A46" i="2"/>
  <c r="B45" i="2"/>
  <c r="A45" i="2"/>
  <c r="B43" i="2"/>
  <c r="A43" i="2"/>
  <c r="A44" i="2"/>
  <c r="B44" i="2"/>
  <c r="C44" i="2"/>
  <c r="A34" i="2"/>
  <c r="B34" i="2"/>
  <c r="C34" i="2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C33" i="2"/>
  <c r="B33" i="2"/>
  <c r="A33" i="2"/>
  <c r="B32" i="2"/>
  <c r="A32" i="2"/>
  <c r="A30" i="2"/>
  <c r="B30" i="2"/>
  <c r="C30" i="2"/>
  <c r="A31" i="2"/>
  <c r="B31" i="2"/>
  <c r="C31" i="2"/>
  <c r="C29" i="2"/>
  <c r="B29" i="2"/>
  <c r="A29" i="2"/>
  <c r="B28" i="2"/>
  <c r="A28" i="2"/>
  <c r="C21" i="2"/>
  <c r="C22" i="2"/>
  <c r="C23" i="2"/>
  <c r="C24" i="2"/>
  <c r="C25" i="2"/>
  <c r="C26" i="2"/>
  <c r="C27" i="2"/>
  <c r="C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B20" i="2"/>
  <c r="A20" i="2"/>
  <c r="B19" i="2"/>
  <c r="A19" i="2"/>
  <c r="C17" i="2"/>
  <c r="C18" i="2"/>
  <c r="C16" i="2"/>
  <c r="A17" i="2"/>
  <c r="B17" i="2"/>
  <c r="A18" i="2"/>
  <c r="B18" i="2"/>
  <c r="B16" i="2"/>
  <c r="A16" i="2"/>
  <c r="B15" i="2"/>
  <c r="A15" i="2"/>
  <c r="K12" i="1"/>
  <c r="C12" i="2"/>
  <c r="C13" i="2"/>
  <c r="C14" i="2"/>
  <c r="C11" i="2"/>
  <c r="A13" i="2"/>
  <c r="A14" i="2"/>
  <c r="B12" i="2"/>
  <c r="B13" i="2"/>
  <c r="B14" i="2"/>
  <c r="B11" i="2"/>
  <c r="B10" i="2"/>
  <c r="A12" i="2"/>
  <c r="A11" i="2"/>
  <c r="A10" i="2"/>
  <c r="H228" i="1"/>
  <c r="H227" i="1"/>
  <c r="H217" i="1"/>
  <c r="I217" i="1" s="1"/>
  <c r="H218" i="1"/>
  <c r="I218" i="1"/>
  <c r="H219" i="1"/>
  <c r="I219" i="1" s="1"/>
  <c r="H220" i="1"/>
  <c r="I220" i="1" s="1"/>
  <c r="H221" i="1"/>
  <c r="I221" i="1" s="1"/>
  <c r="H222" i="1"/>
  <c r="I222" i="1"/>
  <c r="H223" i="1"/>
  <c r="I223" i="1" s="1"/>
  <c r="H224" i="1"/>
  <c r="I224" i="1" s="1"/>
  <c r="H216" i="1"/>
  <c r="H155" i="1"/>
  <c r="I155" i="1" s="1"/>
  <c r="H156" i="1"/>
  <c r="I156" i="1" s="1"/>
  <c r="H157" i="1"/>
  <c r="H158" i="1"/>
  <c r="I158" i="1" s="1"/>
  <c r="H159" i="1"/>
  <c r="H160" i="1"/>
  <c r="I160" i="1" s="1"/>
  <c r="H161" i="1"/>
  <c r="H162" i="1"/>
  <c r="I162" i="1" s="1"/>
  <c r="H163" i="1"/>
  <c r="H164" i="1"/>
  <c r="I164" i="1" s="1"/>
  <c r="H165" i="1"/>
  <c r="H166" i="1"/>
  <c r="I166" i="1"/>
  <c r="H167" i="1"/>
  <c r="H168" i="1"/>
  <c r="I168" i="1" s="1"/>
  <c r="H169" i="1"/>
  <c r="H170" i="1"/>
  <c r="I170" i="1" s="1"/>
  <c r="H171" i="1"/>
  <c r="H172" i="1"/>
  <c r="I172" i="1" s="1"/>
  <c r="H173" i="1"/>
  <c r="H174" i="1"/>
  <c r="I174" i="1" s="1"/>
  <c r="H175" i="1"/>
  <c r="H176" i="1"/>
  <c r="I176" i="1" s="1"/>
  <c r="H177" i="1"/>
  <c r="H178" i="1"/>
  <c r="I178" i="1"/>
  <c r="H179" i="1"/>
  <c r="H180" i="1"/>
  <c r="I180" i="1" s="1"/>
  <c r="H181" i="1"/>
  <c r="H182" i="1"/>
  <c r="I182" i="1" s="1"/>
  <c r="H183" i="1"/>
  <c r="H184" i="1"/>
  <c r="I184" i="1" s="1"/>
  <c r="H185" i="1"/>
  <c r="H186" i="1"/>
  <c r="I186" i="1"/>
  <c r="H187" i="1"/>
  <c r="H188" i="1"/>
  <c r="I188" i="1" s="1"/>
  <c r="H189" i="1"/>
  <c r="H190" i="1"/>
  <c r="I190" i="1" s="1"/>
  <c r="H191" i="1"/>
  <c r="H192" i="1"/>
  <c r="I192" i="1" s="1"/>
  <c r="H193" i="1"/>
  <c r="H194" i="1"/>
  <c r="I194" i="1" s="1"/>
  <c r="H195" i="1"/>
  <c r="H196" i="1"/>
  <c r="I196" i="1" s="1"/>
  <c r="H197" i="1"/>
  <c r="H198" i="1"/>
  <c r="I198" i="1"/>
  <c r="H199" i="1"/>
  <c r="H200" i="1"/>
  <c r="I200" i="1" s="1"/>
  <c r="H201" i="1"/>
  <c r="H202" i="1"/>
  <c r="I202" i="1" s="1"/>
  <c r="H203" i="1"/>
  <c r="H204" i="1"/>
  <c r="I204" i="1" s="1"/>
  <c r="H205" i="1"/>
  <c r="H206" i="1"/>
  <c r="I206" i="1" s="1"/>
  <c r="H207" i="1"/>
  <c r="H208" i="1"/>
  <c r="I208" i="1" s="1"/>
  <c r="H209" i="1"/>
  <c r="H210" i="1"/>
  <c r="I210" i="1"/>
  <c r="H211" i="1"/>
  <c r="H212" i="1"/>
  <c r="I212" i="1" s="1"/>
  <c r="H213" i="1"/>
  <c r="H154" i="1"/>
  <c r="H106" i="1"/>
  <c r="H107" i="1"/>
  <c r="I107" i="1" s="1"/>
  <c r="H108" i="1"/>
  <c r="H109" i="1"/>
  <c r="I109" i="1" s="1"/>
  <c r="H110" i="1"/>
  <c r="H111" i="1"/>
  <c r="I111" i="1" s="1"/>
  <c r="H112" i="1"/>
  <c r="H113" i="1"/>
  <c r="I113" i="1" s="1"/>
  <c r="H114" i="1"/>
  <c r="H115" i="1"/>
  <c r="I115" i="1"/>
  <c r="H116" i="1"/>
  <c r="I116" i="1" s="1"/>
  <c r="H117" i="1"/>
  <c r="I117" i="1" s="1"/>
  <c r="H118" i="1"/>
  <c r="I118" i="1" s="1"/>
  <c r="H119" i="1"/>
  <c r="I119" i="1"/>
  <c r="H120" i="1"/>
  <c r="I120" i="1" s="1"/>
  <c r="H121" i="1"/>
  <c r="I121" i="1" s="1"/>
  <c r="H122" i="1"/>
  <c r="I122" i="1" s="1"/>
  <c r="H123" i="1"/>
  <c r="I123" i="1"/>
  <c r="H124" i="1"/>
  <c r="I124" i="1" s="1"/>
  <c r="H125" i="1"/>
  <c r="I125" i="1" s="1"/>
  <c r="H126" i="1"/>
  <c r="I126" i="1" s="1"/>
  <c r="H127" i="1"/>
  <c r="I127" i="1"/>
  <c r="H128" i="1"/>
  <c r="I128" i="1" s="1"/>
  <c r="H129" i="1"/>
  <c r="I129" i="1" s="1"/>
  <c r="H130" i="1"/>
  <c r="I130" i="1" s="1"/>
  <c r="H131" i="1"/>
  <c r="I131" i="1"/>
  <c r="H132" i="1"/>
  <c r="I132" i="1" s="1"/>
  <c r="H133" i="1"/>
  <c r="I133" i="1" s="1"/>
  <c r="H134" i="1"/>
  <c r="I134" i="1" s="1"/>
  <c r="H135" i="1"/>
  <c r="I135" i="1"/>
  <c r="H136" i="1"/>
  <c r="I136" i="1" s="1"/>
  <c r="H137" i="1"/>
  <c r="I137" i="1" s="1"/>
  <c r="H138" i="1"/>
  <c r="I138" i="1" s="1"/>
  <c r="H139" i="1"/>
  <c r="I139" i="1"/>
  <c r="H140" i="1"/>
  <c r="I140" i="1" s="1"/>
  <c r="H141" i="1"/>
  <c r="I141" i="1" s="1"/>
  <c r="H142" i="1"/>
  <c r="I142" i="1" s="1"/>
  <c r="H143" i="1"/>
  <c r="I143" i="1"/>
  <c r="H144" i="1"/>
  <c r="I144" i="1" s="1"/>
  <c r="H145" i="1"/>
  <c r="I145" i="1" s="1"/>
  <c r="H146" i="1"/>
  <c r="I146" i="1" s="1"/>
  <c r="H147" i="1"/>
  <c r="I147" i="1"/>
  <c r="H148" i="1"/>
  <c r="I148" i="1" s="1"/>
  <c r="H149" i="1"/>
  <c r="I149" i="1" s="1"/>
  <c r="H150" i="1"/>
  <c r="I150" i="1" s="1"/>
  <c r="H151" i="1"/>
  <c r="I151" i="1"/>
  <c r="H105" i="1"/>
  <c r="H99" i="1"/>
  <c r="H100" i="1"/>
  <c r="I100" i="1"/>
  <c r="H101" i="1"/>
  <c r="H102" i="1"/>
  <c r="H98" i="1"/>
  <c r="H95" i="1"/>
  <c r="H94" i="1"/>
  <c r="H79" i="1"/>
  <c r="H80" i="1"/>
  <c r="I80" i="1" s="1"/>
  <c r="H81" i="1"/>
  <c r="H82" i="1"/>
  <c r="I82" i="1" s="1"/>
  <c r="H83" i="1"/>
  <c r="H84" i="1"/>
  <c r="H85" i="1"/>
  <c r="H86" i="1"/>
  <c r="I86" i="1"/>
  <c r="H87" i="1"/>
  <c r="H88" i="1"/>
  <c r="I88" i="1" s="1"/>
  <c r="H89" i="1"/>
  <c r="H90" i="1"/>
  <c r="I90" i="1" s="1"/>
  <c r="H91" i="1"/>
  <c r="H78" i="1"/>
  <c r="H72" i="1"/>
  <c r="H73" i="1"/>
  <c r="H74" i="1"/>
  <c r="I74" i="1" s="1"/>
  <c r="H75" i="1"/>
  <c r="H71" i="1"/>
  <c r="H62" i="1"/>
  <c r="H63" i="1"/>
  <c r="H64" i="1"/>
  <c r="H65" i="1"/>
  <c r="I65" i="1" s="1"/>
  <c r="H66" i="1"/>
  <c r="H67" i="1"/>
  <c r="I67" i="1" s="1"/>
  <c r="H68" i="1"/>
  <c r="H61" i="1"/>
  <c r="H50" i="1"/>
  <c r="H51" i="1"/>
  <c r="I51" i="1"/>
  <c r="H52" i="1"/>
  <c r="H53" i="1"/>
  <c r="I53" i="1" s="1"/>
  <c r="H54" i="1"/>
  <c r="H55" i="1"/>
  <c r="I55" i="1" s="1"/>
  <c r="H56" i="1"/>
  <c r="H57" i="1"/>
  <c r="H58" i="1"/>
  <c r="H49" i="1"/>
  <c r="H46" i="1"/>
  <c r="H36" i="1"/>
  <c r="H37" i="1"/>
  <c r="N37" i="1" s="1"/>
  <c r="H38" i="1"/>
  <c r="H39" i="1"/>
  <c r="M39" i="1" s="1"/>
  <c r="H40" i="1"/>
  <c r="I40" i="1" s="1"/>
  <c r="H41" i="1"/>
  <c r="M41" i="1" s="1"/>
  <c r="H42" i="1"/>
  <c r="H43" i="1"/>
  <c r="N43" i="1" s="1"/>
  <c r="H44" i="1"/>
  <c r="I44" i="1" s="1"/>
  <c r="H35" i="1"/>
  <c r="I35" i="1" s="1"/>
  <c r="H31" i="1"/>
  <c r="I31" i="1" s="1"/>
  <c r="H32" i="1"/>
  <c r="N32" i="1" s="1"/>
  <c r="H30" i="1"/>
  <c r="I30" i="1" s="1"/>
  <c r="H21" i="1"/>
  <c r="H22" i="1"/>
  <c r="M22" i="1" s="1"/>
  <c r="H23" i="1"/>
  <c r="H24" i="1"/>
  <c r="N24" i="1" s="1"/>
  <c r="H25" i="1"/>
  <c r="I25" i="1" s="1"/>
  <c r="H26" i="1"/>
  <c r="I26" i="1" s="1"/>
  <c r="H27" i="1"/>
  <c r="I27" i="1" s="1"/>
  <c r="H20" i="1"/>
  <c r="I20" i="1" s="1"/>
  <c r="H16" i="1"/>
  <c r="I16" i="1" s="1"/>
  <c r="H17" i="1"/>
  <c r="M17" i="1" s="1"/>
  <c r="H15" i="1"/>
  <c r="I15" i="1" s="1"/>
  <c r="G12" i="1"/>
  <c r="H12" i="1" s="1"/>
  <c r="G11" i="1"/>
  <c r="H11" i="1" s="1"/>
  <c r="N11" i="1" s="1"/>
  <c r="G10" i="1"/>
  <c r="H10" i="1" s="1"/>
  <c r="G9" i="1"/>
  <c r="H9" i="1" s="1"/>
  <c r="I24" i="1" l="1"/>
  <c r="I43" i="1"/>
  <c r="I11" i="1"/>
  <c r="I39" i="1"/>
  <c r="N10" i="1"/>
  <c r="M10" i="1"/>
  <c r="I10" i="1"/>
  <c r="M12" i="1"/>
  <c r="I12" i="1"/>
  <c r="M9" i="1"/>
  <c r="I9" i="1"/>
  <c r="N9" i="1"/>
  <c r="I42" i="1"/>
  <c r="N42" i="1"/>
  <c r="I38" i="1"/>
  <c r="N38" i="1"/>
  <c r="O38" i="1" s="1"/>
  <c r="I46" i="1"/>
  <c r="N46" i="1"/>
  <c r="M46" i="1"/>
  <c r="M57" i="1"/>
  <c r="N57" i="1"/>
  <c r="I54" i="1"/>
  <c r="M54" i="1"/>
  <c r="N54" i="1"/>
  <c r="O54" i="1" s="1"/>
  <c r="I68" i="1"/>
  <c r="M68" i="1"/>
  <c r="N68" i="1"/>
  <c r="M63" i="1"/>
  <c r="N63" i="1"/>
  <c r="N75" i="1"/>
  <c r="M75" i="1"/>
  <c r="N73" i="1"/>
  <c r="M73" i="1"/>
  <c r="I78" i="1"/>
  <c r="M78" i="1"/>
  <c r="N78" i="1"/>
  <c r="O78" i="1" s="1"/>
  <c r="I89" i="1"/>
  <c r="M89" i="1"/>
  <c r="N89" i="1"/>
  <c r="N84" i="1"/>
  <c r="M84" i="1"/>
  <c r="I81" i="1"/>
  <c r="M81" i="1"/>
  <c r="N81" i="1"/>
  <c r="O81" i="1" s="1"/>
  <c r="I94" i="1"/>
  <c r="N94" i="1"/>
  <c r="M94" i="1"/>
  <c r="N102" i="1"/>
  <c r="M102" i="1"/>
  <c r="I99" i="1"/>
  <c r="N99" i="1"/>
  <c r="M99" i="1"/>
  <c r="O99" i="1" s="1"/>
  <c r="I17" i="1"/>
  <c r="I22" i="1"/>
  <c r="I21" i="1"/>
  <c r="N21" i="1"/>
  <c r="I32" i="1"/>
  <c r="I41" i="1"/>
  <c r="I37" i="1"/>
  <c r="I36" i="1"/>
  <c r="M36" i="1"/>
  <c r="N36" i="1"/>
  <c r="I49" i="1"/>
  <c r="N49" i="1"/>
  <c r="M49" i="1"/>
  <c r="I57" i="1"/>
  <c r="I56" i="1"/>
  <c r="M56" i="1"/>
  <c r="N56" i="1"/>
  <c r="M55" i="1"/>
  <c r="N55" i="1"/>
  <c r="I52" i="1"/>
  <c r="M52" i="1"/>
  <c r="N52" i="1"/>
  <c r="O52" i="1" s="1"/>
  <c r="M51" i="1"/>
  <c r="M59" i="1" s="1"/>
  <c r="N51" i="1"/>
  <c r="O51" i="1" s="1"/>
  <c r="P51" i="1" s="1"/>
  <c r="I61" i="1"/>
  <c r="N61" i="1"/>
  <c r="M61" i="1"/>
  <c r="I66" i="1"/>
  <c r="M66" i="1"/>
  <c r="N66" i="1"/>
  <c r="O66" i="1" s="1"/>
  <c r="M65" i="1"/>
  <c r="N65" i="1"/>
  <c r="O65" i="1" s="1"/>
  <c r="P65" i="1" s="1"/>
  <c r="I63" i="1"/>
  <c r="I62" i="1"/>
  <c r="M62" i="1"/>
  <c r="N62" i="1"/>
  <c r="O62" i="1" s="1"/>
  <c r="I75" i="1"/>
  <c r="I73" i="1"/>
  <c r="I72" i="1"/>
  <c r="N72" i="1"/>
  <c r="O72" i="1" s="1"/>
  <c r="P72" i="1" s="1"/>
  <c r="M72" i="1"/>
  <c r="I91" i="1"/>
  <c r="N91" i="1"/>
  <c r="M91" i="1"/>
  <c r="O91" i="1" s="1"/>
  <c r="N90" i="1"/>
  <c r="M90" i="1"/>
  <c r="O90" i="1" s="1"/>
  <c r="P90" i="1" s="1"/>
  <c r="I87" i="1"/>
  <c r="M87" i="1"/>
  <c r="N87" i="1"/>
  <c r="N86" i="1"/>
  <c r="M86" i="1"/>
  <c r="I84" i="1"/>
  <c r="I83" i="1"/>
  <c r="N83" i="1"/>
  <c r="M83" i="1"/>
  <c r="N82" i="1"/>
  <c r="M82" i="1"/>
  <c r="I79" i="1"/>
  <c r="M79" i="1"/>
  <c r="N79" i="1"/>
  <c r="O79" i="1" s="1"/>
  <c r="I95" i="1"/>
  <c r="N95" i="1"/>
  <c r="M95" i="1"/>
  <c r="I102" i="1"/>
  <c r="I101" i="1"/>
  <c r="N101" i="1"/>
  <c r="M101" i="1"/>
  <c r="N100" i="1"/>
  <c r="M100" i="1"/>
  <c r="I105" i="1"/>
  <c r="M105" i="1"/>
  <c r="N105" i="1"/>
  <c r="N151" i="1"/>
  <c r="M151" i="1"/>
  <c r="N150" i="1"/>
  <c r="O150" i="1" s="1"/>
  <c r="P150" i="1" s="1"/>
  <c r="M150" i="1"/>
  <c r="N149" i="1"/>
  <c r="M149" i="1"/>
  <c r="M148" i="1"/>
  <c r="N148" i="1"/>
  <c r="O148" i="1" s="1"/>
  <c r="P148" i="1" s="1"/>
  <c r="M147" i="1"/>
  <c r="N147" i="1"/>
  <c r="O147" i="1" s="1"/>
  <c r="P147" i="1" s="1"/>
  <c r="M146" i="1"/>
  <c r="N146" i="1"/>
  <c r="N145" i="1"/>
  <c r="M145" i="1"/>
  <c r="N144" i="1"/>
  <c r="O144" i="1" s="1"/>
  <c r="P144" i="1" s="1"/>
  <c r="M144" i="1"/>
  <c r="N143" i="1"/>
  <c r="M143" i="1"/>
  <c r="N142" i="1"/>
  <c r="O142" i="1" s="1"/>
  <c r="P142" i="1" s="1"/>
  <c r="M142" i="1"/>
  <c r="N141" i="1"/>
  <c r="M141" i="1"/>
  <c r="M140" i="1"/>
  <c r="N140" i="1"/>
  <c r="O140" i="1" s="1"/>
  <c r="P140" i="1" s="1"/>
  <c r="M139" i="1"/>
  <c r="N139" i="1"/>
  <c r="O139" i="1" s="1"/>
  <c r="P139" i="1" s="1"/>
  <c r="M138" i="1"/>
  <c r="N138" i="1"/>
  <c r="N137" i="1"/>
  <c r="M137" i="1"/>
  <c r="N136" i="1"/>
  <c r="O136" i="1" s="1"/>
  <c r="P136" i="1" s="1"/>
  <c r="M136" i="1"/>
  <c r="N135" i="1"/>
  <c r="M135" i="1"/>
  <c r="N134" i="1"/>
  <c r="O134" i="1" s="1"/>
  <c r="P134" i="1" s="1"/>
  <c r="M134" i="1"/>
  <c r="N133" i="1"/>
  <c r="M133" i="1"/>
  <c r="M132" i="1"/>
  <c r="N132" i="1"/>
  <c r="O132" i="1" s="1"/>
  <c r="P132" i="1" s="1"/>
  <c r="M131" i="1"/>
  <c r="N131" i="1"/>
  <c r="O131" i="1" s="1"/>
  <c r="P131" i="1" s="1"/>
  <c r="M130" i="1"/>
  <c r="N130" i="1"/>
  <c r="N129" i="1"/>
  <c r="M129" i="1"/>
  <c r="O129" i="1" s="1"/>
  <c r="P129" i="1" s="1"/>
  <c r="N128" i="1"/>
  <c r="M128" i="1"/>
  <c r="O128" i="1" s="1"/>
  <c r="P128" i="1" s="1"/>
  <c r="N127" i="1"/>
  <c r="M127" i="1"/>
  <c r="O127" i="1" s="1"/>
  <c r="P127" i="1" s="1"/>
  <c r="N126" i="1"/>
  <c r="M126" i="1"/>
  <c r="O126" i="1" s="1"/>
  <c r="P126" i="1" s="1"/>
  <c r="N125" i="1"/>
  <c r="M125" i="1"/>
  <c r="O125" i="1" s="1"/>
  <c r="P125" i="1" s="1"/>
  <c r="M124" i="1"/>
  <c r="N124" i="1"/>
  <c r="O124" i="1" s="1"/>
  <c r="P124" i="1" s="1"/>
  <c r="M123" i="1"/>
  <c r="N123" i="1"/>
  <c r="O123" i="1" s="1"/>
  <c r="P123" i="1" s="1"/>
  <c r="M122" i="1"/>
  <c r="N122" i="1"/>
  <c r="O122" i="1" s="1"/>
  <c r="P122" i="1" s="1"/>
  <c r="N121" i="1"/>
  <c r="M121" i="1"/>
  <c r="O121" i="1" s="1"/>
  <c r="P121" i="1" s="1"/>
  <c r="N120" i="1"/>
  <c r="M120" i="1"/>
  <c r="O120" i="1" s="1"/>
  <c r="P120" i="1" s="1"/>
  <c r="N119" i="1"/>
  <c r="M119" i="1"/>
  <c r="O119" i="1" s="1"/>
  <c r="P119" i="1" s="1"/>
  <c r="N118" i="1"/>
  <c r="M118" i="1"/>
  <c r="O118" i="1" s="1"/>
  <c r="P118" i="1" s="1"/>
  <c r="N117" i="1"/>
  <c r="M117" i="1"/>
  <c r="O117" i="1" s="1"/>
  <c r="P117" i="1" s="1"/>
  <c r="M116" i="1"/>
  <c r="N116" i="1"/>
  <c r="O116" i="1" s="1"/>
  <c r="P116" i="1" s="1"/>
  <c r="M115" i="1"/>
  <c r="N115" i="1"/>
  <c r="O115" i="1" s="1"/>
  <c r="P115" i="1" s="1"/>
  <c r="I112" i="1"/>
  <c r="N112" i="1"/>
  <c r="M112" i="1"/>
  <c r="N111" i="1"/>
  <c r="M111" i="1"/>
  <c r="I108" i="1"/>
  <c r="M108" i="1"/>
  <c r="N108" i="1"/>
  <c r="O108" i="1" s="1"/>
  <c r="M107" i="1"/>
  <c r="N107" i="1"/>
  <c r="O107" i="1" s="1"/>
  <c r="P107" i="1" s="1"/>
  <c r="I154" i="1"/>
  <c r="M154" i="1"/>
  <c r="N154" i="1"/>
  <c r="I211" i="1"/>
  <c r="M211" i="1"/>
  <c r="N211" i="1"/>
  <c r="O211" i="1" s="1"/>
  <c r="N210" i="1"/>
  <c r="O210" i="1" s="1"/>
  <c r="P210" i="1" s="1"/>
  <c r="M210" i="1"/>
  <c r="I207" i="1"/>
  <c r="M207" i="1"/>
  <c r="N207" i="1"/>
  <c r="N206" i="1"/>
  <c r="M206" i="1"/>
  <c r="I203" i="1"/>
  <c r="M203" i="1"/>
  <c r="N203" i="1"/>
  <c r="O203" i="1" s="1"/>
  <c r="N202" i="1"/>
  <c r="M202" i="1"/>
  <c r="O202" i="1" s="1"/>
  <c r="P202" i="1" s="1"/>
  <c r="I199" i="1"/>
  <c r="M199" i="1"/>
  <c r="N199" i="1"/>
  <c r="N198" i="1"/>
  <c r="M198" i="1"/>
  <c r="I195" i="1"/>
  <c r="M195" i="1"/>
  <c r="N195" i="1"/>
  <c r="O195" i="1" s="1"/>
  <c r="N194" i="1"/>
  <c r="M194" i="1"/>
  <c r="O194" i="1" s="1"/>
  <c r="P194" i="1" s="1"/>
  <c r="I191" i="1"/>
  <c r="M191" i="1"/>
  <c r="N191" i="1"/>
  <c r="N190" i="1"/>
  <c r="M190" i="1"/>
  <c r="I187" i="1"/>
  <c r="N187" i="1"/>
  <c r="M187" i="1"/>
  <c r="N186" i="1"/>
  <c r="M186" i="1"/>
  <c r="O186" i="1" s="1"/>
  <c r="P186" i="1" s="1"/>
  <c r="I183" i="1"/>
  <c r="M183" i="1"/>
  <c r="N183" i="1"/>
  <c r="N182" i="1"/>
  <c r="M182" i="1"/>
  <c r="I179" i="1"/>
  <c r="N179" i="1"/>
  <c r="M179" i="1"/>
  <c r="O179" i="1" s="1"/>
  <c r="N178" i="1"/>
  <c r="M178" i="1"/>
  <c r="O178" i="1" s="1"/>
  <c r="P178" i="1" s="1"/>
  <c r="I175" i="1"/>
  <c r="M175" i="1"/>
  <c r="N175" i="1"/>
  <c r="N174" i="1"/>
  <c r="M174" i="1"/>
  <c r="I171" i="1"/>
  <c r="N171" i="1"/>
  <c r="M171" i="1"/>
  <c r="O171" i="1" s="1"/>
  <c r="N170" i="1"/>
  <c r="M170" i="1"/>
  <c r="O170" i="1" s="1"/>
  <c r="P170" i="1" s="1"/>
  <c r="I167" i="1"/>
  <c r="M167" i="1"/>
  <c r="N167" i="1"/>
  <c r="N166" i="1"/>
  <c r="M166" i="1"/>
  <c r="I163" i="1"/>
  <c r="N163" i="1"/>
  <c r="M163" i="1"/>
  <c r="O163" i="1" s="1"/>
  <c r="N162" i="1"/>
  <c r="M162" i="1"/>
  <c r="O162" i="1" s="1"/>
  <c r="P162" i="1" s="1"/>
  <c r="I159" i="1"/>
  <c r="M159" i="1"/>
  <c r="N159" i="1"/>
  <c r="N158" i="1"/>
  <c r="M158" i="1"/>
  <c r="I216" i="1"/>
  <c r="I225" i="1" s="1"/>
  <c r="M216" i="1"/>
  <c r="N216" i="1"/>
  <c r="O216" i="1" s="1"/>
  <c r="N224" i="1"/>
  <c r="M224" i="1"/>
  <c r="O224" i="1" s="1"/>
  <c r="P224" i="1" s="1"/>
  <c r="M223" i="1"/>
  <c r="N223" i="1"/>
  <c r="O223" i="1" s="1"/>
  <c r="P223" i="1" s="1"/>
  <c r="M222" i="1"/>
  <c r="N222" i="1"/>
  <c r="O222" i="1" s="1"/>
  <c r="P222" i="1" s="1"/>
  <c r="M221" i="1"/>
  <c r="N221" i="1"/>
  <c r="O221" i="1" s="1"/>
  <c r="P221" i="1" s="1"/>
  <c r="N220" i="1"/>
  <c r="M220" i="1"/>
  <c r="O220" i="1" s="1"/>
  <c r="P220" i="1" s="1"/>
  <c r="N219" i="1"/>
  <c r="M219" i="1"/>
  <c r="O219" i="1" s="1"/>
  <c r="P219" i="1" s="1"/>
  <c r="N218" i="1"/>
  <c r="M218" i="1"/>
  <c r="O218" i="1" s="1"/>
  <c r="P218" i="1" s="1"/>
  <c r="N217" i="1"/>
  <c r="M217" i="1"/>
  <c r="I228" i="1"/>
  <c r="M228" i="1"/>
  <c r="N228" i="1"/>
  <c r="M11" i="1"/>
  <c r="M15" i="1"/>
  <c r="M16" i="1"/>
  <c r="N17" i="1"/>
  <c r="N27" i="1"/>
  <c r="O27" i="1" s="1"/>
  <c r="N25" i="1"/>
  <c r="M24" i="1"/>
  <c r="O24" i="1" s="1"/>
  <c r="N22" i="1"/>
  <c r="O22" i="1" s="1"/>
  <c r="Q22" i="1" s="1"/>
  <c r="M21" i="1"/>
  <c r="N30" i="1"/>
  <c r="N31" i="1"/>
  <c r="M32" i="1"/>
  <c r="N35" i="1"/>
  <c r="M44" i="1"/>
  <c r="M43" i="1"/>
  <c r="O43" i="1" s="1"/>
  <c r="N41" i="1"/>
  <c r="O41" i="1" s="1"/>
  <c r="Q41" i="1" s="1"/>
  <c r="N40" i="1"/>
  <c r="O40" i="1" s="1"/>
  <c r="N39" i="1"/>
  <c r="O39" i="1" s="1"/>
  <c r="Q39" i="1" s="1"/>
  <c r="M38" i="1"/>
  <c r="M37" i="1"/>
  <c r="O37" i="1" s="1"/>
  <c r="M26" i="1"/>
  <c r="N26" i="1"/>
  <c r="I23" i="1"/>
  <c r="N23" i="1"/>
  <c r="I58" i="1"/>
  <c r="M58" i="1"/>
  <c r="N58" i="1"/>
  <c r="O58" i="1" s="1"/>
  <c r="M53" i="1"/>
  <c r="N53" i="1"/>
  <c r="O53" i="1" s="1"/>
  <c r="P53" i="1" s="1"/>
  <c r="I50" i="1"/>
  <c r="M50" i="1"/>
  <c r="N50" i="1"/>
  <c r="M67" i="1"/>
  <c r="O67" i="1" s="1"/>
  <c r="P67" i="1" s="1"/>
  <c r="N67" i="1"/>
  <c r="I64" i="1"/>
  <c r="M64" i="1"/>
  <c r="N64" i="1"/>
  <c r="O64" i="1" s="1"/>
  <c r="I71" i="1"/>
  <c r="N71" i="1"/>
  <c r="M71" i="1"/>
  <c r="N74" i="1"/>
  <c r="O74" i="1" s="1"/>
  <c r="P74" i="1" s="1"/>
  <c r="M74" i="1"/>
  <c r="M88" i="1"/>
  <c r="N88" i="1"/>
  <c r="I85" i="1"/>
  <c r="N85" i="1"/>
  <c r="M85" i="1"/>
  <c r="O85" i="1" s="1"/>
  <c r="M80" i="1"/>
  <c r="N80" i="1"/>
  <c r="O80" i="1" s="1"/>
  <c r="P80" i="1" s="1"/>
  <c r="I98" i="1"/>
  <c r="N98" i="1"/>
  <c r="M98" i="1"/>
  <c r="M103" i="1" s="1"/>
  <c r="I114" i="1"/>
  <c r="M114" i="1"/>
  <c r="N114" i="1"/>
  <c r="O114" i="1" s="1"/>
  <c r="N113" i="1"/>
  <c r="M113" i="1"/>
  <c r="O113" i="1" s="1"/>
  <c r="P113" i="1" s="1"/>
  <c r="I110" i="1"/>
  <c r="N110" i="1"/>
  <c r="M110" i="1"/>
  <c r="N109" i="1"/>
  <c r="M109" i="1"/>
  <c r="I106" i="1"/>
  <c r="M106" i="1"/>
  <c r="N106" i="1"/>
  <c r="O106" i="1" s="1"/>
  <c r="I213" i="1"/>
  <c r="N213" i="1"/>
  <c r="M213" i="1"/>
  <c r="N212" i="1"/>
  <c r="O212" i="1" s="1"/>
  <c r="P212" i="1" s="1"/>
  <c r="M212" i="1"/>
  <c r="I209" i="1"/>
  <c r="N209" i="1"/>
  <c r="M209" i="1"/>
  <c r="N208" i="1"/>
  <c r="M208" i="1"/>
  <c r="I205" i="1"/>
  <c r="N205" i="1"/>
  <c r="M205" i="1"/>
  <c r="N204" i="1"/>
  <c r="M204" i="1"/>
  <c r="I201" i="1"/>
  <c r="N201" i="1"/>
  <c r="M201" i="1"/>
  <c r="O201" i="1" s="1"/>
  <c r="N200" i="1"/>
  <c r="M200" i="1"/>
  <c r="O200" i="1" s="1"/>
  <c r="P200" i="1" s="1"/>
  <c r="I197" i="1"/>
  <c r="N197" i="1"/>
  <c r="M197" i="1"/>
  <c r="N196" i="1"/>
  <c r="M196" i="1"/>
  <c r="I193" i="1"/>
  <c r="N193" i="1"/>
  <c r="M193" i="1"/>
  <c r="O193" i="1" s="1"/>
  <c r="N192" i="1"/>
  <c r="M192" i="1"/>
  <c r="O192" i="1" s="1"/>
  <c r="P192" i="1" s="1"/>
  <c r="I189" i="1"/>
  <c r="N189" i="1"/>
  <c r="O189" i="1" s="1"/>
  <c r="P189" i="1" s="1"/>
  <c r="M189" i="1"/>
  <c r="N188" i="1"/>
  <c r="M188" i="1"/>
  <c r="I185" i="1"/>
  <c r="M185" i="1"/>
  <c r="N185" i="1"/>
  <c r="O185" i="1" s="1"/>
  <c r="M184" i="1"/>
  <c r="N184" i="1"/>
  <c r="O184" i="1" s="1"/>
  <c r="P184" i="1" s="1"/>
  <c r="I181" i="1"/>
  <c r="N181" i="1"/>
  <c r="M181" i="1"/>
  <c r="N180" i="1"/>
  <c r="M180" i="1"/>
  <c r="I177" i="1"/>
  <c r="M177" i="1"/>
  <c r="N177" i="1"/>
  <c r="O177" i="1" s="1"/>
  <c r="M176" i="1"/>
  <c r="N176" i="1"/>
  <c r="O176" i="1" s="1"/>
  <c r="P176" i="1" s="1"/>
  <c r="I173" i="1"/>
  <c r="N173" i="1"/>
  <c r="M173" i="1"/>
  <c r="N172" i="1"/>
  <c r="M172" i="1"/>
  <c r="I169" i="1"/>
  <c r="M169" i="1"/>
  <c r="N169" i="1"/>
  <c r="O169" i="1" s="1"/>
  <c r="M168" i="1"/>
  <c r="N168" i="1"/>
  <c r="O168" i="1" s="1"/>
  <c r="P168" i="1" s="1"/>
  <c r="I165" i="1"/>
  <c r="N165" i="1"/>
  <c r="M165" i="1"/>
  <c r="N164" i="1"/>
  <c r="M164" i="1"/>
  <c r="I161" i="1"/>
  <c r="M161" i="1"/>
  <c r="N161" i="1"/>
  <c r="O161" i="1" s="1"/>
  <c r="M160" i="1"/>
  <c r="N160" i="1"/>
  <c r="O160" i="1" s="1"/>
  <c r="P160" i="1" s="1"/>
  <c r="I157" i="1"/>
  <c r="N157" i="1"/>
  <c r="M157" i="1"/>
  <c r="N156" i="1"/>
  <c r="M156" i="1"/>
  <c r="N155" i="1"/>
  <c r="M155" i="1"/>
  <c r="I227" i="1"/>
  <c r="I229" i="1" s="1"/>
  <c r="M227" i="1"/>
  <c r="N227" i="1"/>
  <c r="N15" i="1"/>
  <c r="M20" i="1"/>
  <c r="M27" i="1"/>
  <c r="M25" i="1"/>
  <c r="M23" i="1"/>
  <c r="M30" i="1"/>
  <c r="M31" i="1"/>
  <c r="M35" i="1"/>
  <c r="N44" i="1"/>
  <c r="M42" i="1"/>
  <c r="M40" i="1"/>
  <c r="N20" i="1"/>
  <c r="N12" i="1"/>
  <c r="N16" i="1"/>
  <c r="O16" i="1" s="1"/>
  <c r="Q16" i="1" s="1"/>
  <c r="L228" i="1"/>
  <c r="O227" i="1"/>
  <c r="P227" i="1" s="1"/>
  <c r="L227" i="1"/>
  <c r="L217" i="1"/>
  <c r="L218" i="1"/>
  <c r="L219" i="1"/>
  <c r="L220" i="1"/>
  <c r="L221" i="1"/>
  <c r="L222" i="1"/>
  <c r="L223" i="1"/>
  <c r="L224" i="1"/>
  <c r="L216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O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O209" i="1"/>
  <c r="L210" i="1"/>
  <c r="L211" i="1"/>
  <c r="L212" i="1"/>
  <c r="L213" i="1"/>
  <c r="L154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O130" i="1"/>
  <c r="P130" i="1" s="1"/>
  <c r="L131" i="1"/>
  <c r="L132" i="1"/>
  <c r="L133" i="1"/>
  <c r="L134" i="1"/>
  <c r="L135" i="1"/>
  <c r="L136" i="1"/>
  <c r="L137" i="1"/>
  <c r="L138" i="1"/>
  <c r="O138" i="1"/>
  <c r="P138" i="1" s="1"/>
  <c r="L139" i="1"/>
  <c r="L140" i="1"/>
  <c r="L141" i="1"/>
  <c r="L142" i="1"/>
  <c r="L143" i="1"/>
  <c r="L144" i="1"/>
  <c r="L145" i="1"/>
  <c r="L146" i="1"/>
  <c r="O146" i="1"/>
  <c r="P146" i="1" s="1"/>
  <c r="L147" i="1"/>
  <c r="L148" i="1"/>
  <c r="L149" i="1"/>
  <c r="L150" i="1"/>
  <c r="L151" i="1"/>
  <c r="L105" i="1"/>
  <c r="L99" i="1"/>
  <c r="L100" i="1"/>
  <c r="L101" i="1"/>
  <c r="L102" i="1"/>
  <c r="L98" i="1"/>
  <c r="M96" i="1"/>
  <c r="I96" i="1"/>
  <c r="L95" i="1"/>
  <c r="L94" i="1"/>
  <c r="M92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78" i="1"/>
  <c r="L72" i="1"/>
  <c r="L73" i="1"/>
  <c r="L74" i="1"/>
  <c r="L75" i="1"/>
  <c r="L71" i="1"/>
  <c r="M69" i="1"/>
  <c r="L62" i="1"/>
  <c r="L63" i="1"/>
  <c r="L64" i="1"/>
  <c r="L65" i="1"/>
  <c r="L66" i="1"/>
  <c r="L67" i="1"/>
  <c r="L68" i="1"/>
  <c r="L61" i="1"/>
  <c r="L50" i="1"/>
  <c r="L51" i="1"/>
  <c r="L52" i="1"/>
  <c r="L53" i="1"/>
  <c r="L54" i="1"/>
  <c r="L55" i="1"/>
  <c r="L56" i="1"/>
  <c r="L57" i="1"/>
  <c r="L58" i="1"/>
  <c r="L49" i="1"/>
  <c r="L46" i="1"/>
  <c r="L36" i="1"/>
  <c r="O36" i="1"/>
  <c r="L37" i="1"/>
  <c r="L38" i="1"/>
  <c r="L39" i="1"/>
  <c r="L40" i="1"/>
  <c r="L41" i="1"/>
  <c r="L42" i="1"/>
  <c r="O42" i="1"/>
  <c r="L43" i="1"/>
  <c r="L44" i="1"/>
  <c r="O44" i="1"/>
  <c r="L35" i="1"/>
  <c r="I33" i="1"/>
  <c r="L31" i="1"/>
  <c r="L32" i="1"/>
  <c r="O32" i="1"/>
  <c r="L30" i="1"/>
  <c r="L21" i="1"/>
  <c r="L22" i="1"/>
  <c r="L23" i="1"/>
  <c r="L24" i="1"/>
  <c r="L25" i="1"/>
  <c r="L26" i="1"/>
  <c r="L27" i="1"/>
  <c r="L20" i="1"/>
  <c r="L16" i="1"/>
  <c r="L17" i="1"/>
  <c r="O17" i="1"/>
  <c r="Q17" i="1" s="1"/>
  <c r="L15" i="1"/>
  <c r="L10" i="1"/>
  <c r="L11" i="1"/>
  <c r="L12" i="1"/>
  <c r="L9" i="1"/>
  <c r="P38" i="1" l="1"/>
  <c r="Q38" i="1"/>
  <c r="P40" i="1"/>
  <c r="Q40" i="1"/>
  <c r="P27" i="1"/>
  <c r="Q27" i="1"/>
  <c r="P37" i="1"/>
  <c r="Q37" i="1"/>
  <c r="P42" i="1"/>
  <c r="Q42" i="1"/>
  <c r="P36" i="1"/>
  <c r="Q36" i="1"/>
  <c r="P43" i="1"/>
  <c r="Q43" i="1"/>
  <c r="P24" i="1"/>
  <c r="Q24" i="1"/>
  <c r="P44" i="1"/>
  <c r="Q44" i="1"/>
  <c r="O98" i="1"/>
  <c r="P98" i="1" s="1"/>
  <c r="P169" i="1"/>
  <c r="O181" i="1"/>
  <c r="P181" i="1" s="1"/>
  <c r="O188" i="1"/>
  <c r="P188" i="1" s="1"/>
  <c r="P201" i="1"/>
  <c r="O110" i="1"/>
  <c r="P110" i="1" s="1"/>
  <c r="P114" i="1"/>
  <c r="P85" i="1"/>
  <c r="O71" i="1"/>
  <c r="P71" i="1" s="1"/>
  <c r="O50" i="1"/>
  <c r="P50" i="1" s="1"/>
  <c r="P58" i="1"/>
  <c r="M229" i="1"/>
  <c r="O159" i="1"/>
  <c r="P159" i="1" s="1"/>
  <c r="P163" i="1"/>
  <c r="O166" i="1"/>
  <c r="P166" i="1" s="1"/>
  <c r="O175" i="1"/>
  <c r="P175" i="1" s="1"/>
  <c r="P179" i="1"/>
  <c r="O182" i="1"/>
  <c r="P182" i="1" s="1"/>
  <c r="O191" i="1"/>
  <c r="P191" i="1" s="1"/>
  <c r="P195" i="1"/>
  <c r="O198" i="1"/>
  <c r="P198" i="1" s="1"/>
  <c r="O207" i="1"/>
  <c r="P207" i="1" s="1"/>
  <c r="P211" i="1"/>
  <c r="O154" i="1"/>
  <c r="P154" i="1" s="1"/>
  <c r="P108" i="1"/>
  <c r="O111" i="1"/>
  <c r="P111" i="1" s="1"/>
  <c r="O101" i="1"/>
  <c r="P101" i="1" s="1"/>
  <c r="O95" i="1"/>
  <c r="P95" i="1" s="1"/>
  <c r="O83" i="1"/>
  <c r="P83" i="1" s="1"/>
  <c r="O86" i="1"/>
  <c r="P86" i="1" s="1"/>
  <c r="P66" i="1"/>
  <c r="P52" i="1"/>
  <c r="O55" i="1"/>
  <c r="P55" i="1" s="1"/>
  <c r="I47" i="1"/>
  <c r="I103" i="1"/>
  <c r="O94" i="1"/>
  <c r="O89" i="1"/>
  <c r="P89" i="1" s="1"/>
  <c r="O75" i="1"/>
  <c r="P75" i="1" s="1"/>
  <c r="O68" i="1"/>
  <c r="P68" i="1" s="1"/>
  <c r="O46" i="1"/>
  <c r="P46" i="1" s="1"/>
  <c r="M33" i="1"/>
  <c r="M28" i="1"/>
  <c r="O156" i="1"/>
  <c r="P156" i="1" s="1"/>
  <c r="I214" i="1"/>
  <c r="O165" i="1"/>
  <c r="P165" i="1" s="1"/>
  <c r="O172" i="1"/>
  <c r="P172" i="1" s="1"/>
  <c r="P185" i="1"/>
  <c r="O197" i="1"/>
  <c r="P197" i="1" s="1"/>
  <c r="O204" i="1"/>
  <c r="P204" i="1" s="1"/>
  <c r="O213" i="1"/>
  <c r="P213" i="1" s="1"/>
  <c r="O88" i="1"/>
  <c r="P88" i="1" s="1"/>
  <c r="O23" i="1"/>
  <c r="Q23" i="1" s="1"/>
  <c r="O208" i="1"/>
  <c r="P208" i="1" s="1"/>
  <c r="I76" i="1"/>
  <c r="P39" i="1"/>
  <c r="O190" i="1"/>
  <c r="P190" i="1" s="1"/>
  <c r="M152" i="1"/>
  <c r="O133" i="1"/>
  <c r="P133" i="1" s="1"/>
  <c r="O135" i="1"/>
  <c r="P135" i="1" s="1"/>
  <c r="O137" i="1"/>
  <c r="P137" i="1" s="1"/>
  <c r="O141" i="1"/>
  <c r="P141" i="1" s="1"/>
  <c r="O143" i="1"/>
  <c r="P143" i="1" s="1"/>
  <c r="O145" i="1"/>
  <c r="P145" i="1" s="1"/>
  <c r="O149" i="1"/>
  <c r="P149" i="1" s="1"/>
  <c r="O151" i="1"/>
  <c r="P151" i="1" s="1"/>
  <c r="M76" i="1"/>
  <c r="O49" i="1"/>
  <c r="P49" i="1" s="1"/>
  <c r="O73" i="1"/>
  <c r="P73" i="1" s="1"/>
  <c r="I152" i="1"/>
  <c r="I69" i="1"/>
  <c r="I92" i="1"/>
  <c r="P187" i="1"/>
  <c r="P32" i="1"/>
  <c r="P41" i="1"/>
  <c r="P78" i="1"/>
  <c r="O25" i="1"/>
  <c r="O157" i="1"/>
  <c r="P157" i="1" s="1"/>
  <c r="O164" i="1"/>
  <c r="P164" i="1" s="1"/>
  <c r="P177" i="1"/>
  <c r="O180" i="1"/>
  <c r="P180" i="1" s="1"/>
  <c r="O196" i="1"/>
  <c r="P196" i="1" s="1"/>
  <c r="O205" i="1"/>
  <c r="P205" i="1" s="1"/>
  <c r="P106" i="1"/>
  <c r="O109" i="1"/>
  <c r="P109" i="1" s="1"/>
  <c r="P64" i="1"/>
  <c r="O26" i="1"/>
  <c r="O35" i="1"/>
  <c r="O47" i="1" s="1"/>
  <c r="M225" i="1"/>
  <c r="P216" i="1"/>
  <c r="O158" i="1"/>
  <c r="P158" i="1" s="1"/>
  <c r="O167" i="1"/>
  <c r="P167" i="1" s="1"/>
  <c r="P171" i="1"/>
  <c r="O174" i="1"/>
  <c r="P174" i="1" s="1"/>
  <c r="O183" i="1"/>
  <c r="P183" i="1" s="1"/>
  <c r="O199" i="1"/>
  <c r="P199" i="1" s="1"/>
  <c r="P203" i="1"/>
  <c r="O206" i="1"/>
  <c r="P206" i="1" s="1"/>
  <c r="O112" i="1"/>
  <c r="P112" i="1" s="1"/>
  <c r="N152" i="1"/>
  <c r="O100" i="1"/>
  <c r="P100" i="1" s="1"/>
  <c r="P79" i="1"/>
  <c r="O82" i="1"/>
  <c r="P82" i="1" s="1"/>
  <c r="O87" i="1"/>
  <c r="P87" i="1" s="1"/>
  <c r="P91" i="1"/>
  <c r="P62" i="1"/>
  <c r="I59" i="1"/>
  <c r="O56" i="1"/>
  <c r="P56" i="1" s="1"/>
  <c r="O21" i="1"/>
  <c r="P99" i="1"/>
  <c r="O102" i="1"/>
  <c r="P102" i="1" s="1"/>
  <c r="P81" i="1"/>
  <c r="O84" i="1"/>
  <c r="P84" i="1" s="1"/>
  <c r="O63" i="1"/>
  <c r="P63" i="1" s="1"/>
  <c r="P54" i="1"/>
  <c r="O57" i="1"/>
  <c r="P57" i="1" s="1"/>
  <c r="O30" i="1"/>
  <c r="P30" i="1" s="1"/>
  <c r="P209" i="1"/>
  <c r="N230" i="1"/>
  <c r="O228" i="1"/>
  <c r="P228" i="1" s="1"/>
  <c r="M47" i="1"/>
  <c r="N214" i="1"/>
  <c r="P161" i="1"/>
  <c r="O173" i="1"/>
  <c r="P173" i="1" s="1"/>
  <c r="P193" i="1"/>
  <c r="M214" i="1"/>
  <c r="O217" i="1"/>
  <c r="P217" i="1" s="1"/>
  <c r="P23" i="1"/>
  <c r="P22" i="1"/>
  <c r="O31" i="1"/>
  <c r="P31" i="1" s="1"/>
  <c r="O61" i="1"/>
  <c r="P61" i="1" s="1"/>
  <c r="O105" i="1"/>
  <c r="P105" i="1" s="1"/>
  <c r="O155" i="1"/>
  <c r="P155" i="1" s="1"/>
  <c r="O33" i="1"/>
  <c r="P33" i="1" s="1"/>
  <c r="O103" i="1"/>
  <c r="P103" i="1" s="1"/>
  <c r="O96" i="1"/>
  <c r="O9" i="1"/>
  <c r="Q9" i="1" s="1"/>
  <c r="O12" i="1"/>
  <c r="O20" i="1"/>
  <c r="Q20" i="1" s="1"/>
  <c r="M18" i="1"/>
  <c r="O15" i="1"/>
  <c r="Q15" i="1" s="1"/>
  <c r="O10" i="1"/>
  <c r="M13" i="1"/>
  <c r="O11" i="1"/>
  <c r="N13" i="1"/>
  <c r="I28" i="1"/>
  <c r="P17" i="1"/>
  <c r="P16" i="1"/>
  <c r="I18" i="1"/>
  <c r="O230" i="1" l="1"/>
  <c r="P26" i="1"/>
  <c r="Q26" i="1"/>
  <c r="P96" i="1"/>
  <c r="Q96" i="1"/>
  <c r="P21" i="1"/>
  <c r="Q21" i="1"/>
  <c r="P47" i="1"/>
  <c r="Q47" i="1"/>
  <c r="P11" i="1"/>
  <c r="Q11" i="1"/>
  <c r="P12" i="1"/>
  <c r="Q12" i="1"/>
  <c r="P25" i="1"/>
  <c r="Q25" i="1"/>
  <c r="P10" i="1"/>
  <c r="Q10" i="1"/>
  <c r="P35" i="1"/>
  <c r="Q35" i="1"/>
  <c r="P94" i="1"/>
  <c r="Q94" i="1"/>
  <c r="O229" i="1"/>
  <c r="P229" i="1" s="1"/>
  <c r="O76" i="1"/>
  <c r="P76" i="1" s="1"/>
  <c r="O92" i="1"/>
  <c r="P92" i="1" s="1"/>
  <c r="O152" i="1"/>
  <c r="P152" i="1" s="1"/>
  <c r="O59" i="1"/>
  <c r="P59" i="1" s="1"/>
  <c r="O214" i="1"/>
  <c r="P214" i="1" s="1"/>
  <c r="O69" i="1"/>
  <c r="P69" i="1" s="1"/>
  <c r="O225" i="1"/>
  <c r="P225" i="1" s="1"/>
  <c r="O13" i="1"/>
  <c r="Q13" i="1" s="1"/>
  <c r="P20" i="1"/>
  <c r="O28" i="1"/>
  <c r="N4" i="1"/>
  <c r="P15" i="1"/>
  <c r="O18" i="1"/>
  <c r="I13" i="1"/>
  <c r="P9" i="1"/>
  <c r="P28" i="1" l="1"/>
  <c r="Q28" i="1"/>
  <c r="P18" i="1"/>
  <c r="Q18" i="1"/>
  <c r="Q230" i="1"/>
  <c r="J230" i="1"/>
  <c r="P13" i="1"/>
  <c r="P230" i="1" s="1"/>
</calcChain>
</file>

<file path=xl/sharedStrings.xml><?xml version="1.0" encoding="utf-8"?>
<sst xmlns="http://schemas.openxmlformats.org/spreadsheetml/2006/main" count="1105" uniqueCount="697">
  <si>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</si>
  <si>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</si>
  <si>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</si>
  <si>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</si>
  <si>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</si>
  <si>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</si>
  <si>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</si>
  <si>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</si>
  <si>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</si>
  <si>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</si>
  <si>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</si>
  <si>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</si>
  <si>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</si>
  <si>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</si>
  <si>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</si>
  <si>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</si>
  <si>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</si>
  <si>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</si>
  <si>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</si>
  <si>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</si>
  <si>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</si>
  <si>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</si>
  <si>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</si>
  <si>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</si>
  <si>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</si>
  <si>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</si>
  <si>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</si>
  <si>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</si>
  <si>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</si>
  <si>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</si>
  <si>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</si>
  <si>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</si>
  <si>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</si>
  <si>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</si>
  <si>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</si>
  <si>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</si>
  <si>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</si>
  <si>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</si>
  <si>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</si>
  <si>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</si>
  <si>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</si>
  <si>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</si>
  <si>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</si>
  <si>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</si>
  <si>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</si>
  <si>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</si>
  <si>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</si>
  <si>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</si>
  <si>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</si>
  <si>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</si>
  <si>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</si>
  <si>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</si>
  <si>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</si>
  <si>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</si>
  <si>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</si>
  <si>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</si>
  <si>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</si>
  <si>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</si>
  <si>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</si>
  <si>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</si>
  <si>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</si>
  <si>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</si>
  <si>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</si>
  <si>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</si>
  <si>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</si>
  <si>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</si>
  <si>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</si>
  <si>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</si>
  <si>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</si>
  <si>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</si>
  <si>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</si>
  <si>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</si>
  <si>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</si>
  <si>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</si>
  <si>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</si>
  <si>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</si>
  <si>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</si>
  <si>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</si>
  <si>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</si>
  <si>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</si>
  <si>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</si>
  <si>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</si>
  <si>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</si>
  <si>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</si>
  <si>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</si>
  <si>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</si>
  <si>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</si>
  <si>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</si>
  <si>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</si>
  <si>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</si>
  <si>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</si>
  <si>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</si>
  <si>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</si>
  <si>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</si>
  <si>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</si>
  <si>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</si>
  <si>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</si>
  <si>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</si>
  <si>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</si>
  <si>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</si>
  <si>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</si>
  <si>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</si>
  <si>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</si>
  <si>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</si>
  <si>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</si>
  <si>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</si>
  <si>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</si>
  <si>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</si>
  <si>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</si>
  <si>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</si>
  <si>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</si>
  <si>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</si>
  <si>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</si>
  <si>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</si>
  <si>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</si>
  <si>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</si>
  <si>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</si>
  <si>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</si>
  <si>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</si>
  <si>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</si>
  <si>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</si>
  <si>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</si>
  <si>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</si>
  <si>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</si>
  <si>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</si>
  <si>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</si>
  <si>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</si>
  <si>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</si>
  <si>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</si>
  <si>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</si>
  <si>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</si>
  <si>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</si>
  <si>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</si>
  <si>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</si>
  <si>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</si>
  <si>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</si>
  <si>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</si>
  <si>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</si>
  <si>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</si>
  <si>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</si>
  <si>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</si>
  <si>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</si>
  <si>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</si>
  <si>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</si>
  <si>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</si>
  <si>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</si>
  <si>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</si>
  <si>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</si>
  <si>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</si>
  <si>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</si>
  <si>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</si>
  <si>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</si>
  <si>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</si>
  <si>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</si>
  <si>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</si>
  <si>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</si>
  <si>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</si>
  <si>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</si>
  <si>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</si>
  <si>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</si>
  <si>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</si>
  <si>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</si>
  <si>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</si>
  <si>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</si>
  <si>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</si>
  <si>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</si>
  <si>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</si>
  <si>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</si>
  <si>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</si>
  <si>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</si>
  <si>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</si>
  <si>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</si>
  <si>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</si>
  <si>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</si>
  <si>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</si>
  <si>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</si>
  <si>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</si>
  <si>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</si>
  <si>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</si>
  <si>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</si>
  <si>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</si>
  <si>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</si>
  <si>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</si>
  <si>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</si>
  <si>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</si>
  <si>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</si>
  <si>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</si>
  <si>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</si>
  <si>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</si>
  <si>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</si>
  <si>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</si>
  <si>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</si>
  <si>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</si>
  <si>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</si>
  <si>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</si>
  <si>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</si>
  <si>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</si>
  <si>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</si>
  <si>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</si>
  <si>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</si>
  <si>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</si>
  <si>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</si>
  <si>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</si>
  <si>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</si>
  <si>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</si>
  <si>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</si>
  <si>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</si>
  <si>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</si>
  <si>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</si>
  <si>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</si>
  <si>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</si>
  <si>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</si>
  <si>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</si>
  <si>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</si>
  <si>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</si>
  <si>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</si>
  <si>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</si>
  <si>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</si>
  <si>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</si>
  <si>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</si>
  <si>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</si>
  <si>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</si>
  <si>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</si>
  <si>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</si>
  <si>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</si>
  <si>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</si>
  <si>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</si>
  <si>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</si>
  <si>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</si>
  <si>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</si>
  <si>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</si>
  <si>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</si>
  <si>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</si>
  <si>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</si>
  <si>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</si>
  <si>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</si>
  <si>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</si>
  <si>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</si>
  <si>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</si>
  <si>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</si>
  <si>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</si>
  <si>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</si>
  <si>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</si>
  <si>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</si>
  <si>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</si>
  <si>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</si>
  <si>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</si>
  <si>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</si>
  <si>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</si>
  <si>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</si>
  <si>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</si>
  <si>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</si>
  <si>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</si>
  <si>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</si>
  <si>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</si>
  <si>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</si>
  <si>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</si>
  <si>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</si>
  <si>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</si>
  <si>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</si>
  <si>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</si>
  <si>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</si>
  <si>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</si>
  <si>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</si>
  <si>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</si>
  <si>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</si>
  <si>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</si>
  <si>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</si>
  <si>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</si>
  <si>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</si>
  <si>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</si>
  <si>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</si>
  <si>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</si>
  <si>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</si>
  <si>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</si>
  <si>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</si>
  <si>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</si>
  <si>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</si>
  <si>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</si>
  <si>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</si>
  <si>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</si>
  <si>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</si>
  <si>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</si>
  <si>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</si>
  <si>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</si>
  <si>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</si>
  <si>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</si>
  <si>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</si>
  <si>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</si>
  <si>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</si>
  <si>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</si>
  <si>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</si>
  <si>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</si>
  <si>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</si>
  <si>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</si>
  <si>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</si>
  <si>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</si>
  <si>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</si>
  <si>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</si>
  <si>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</si>
  <si>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</si>
  <si>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</si>
  <si>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</si>
  <si>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</si>
  <si>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</si>
  <si>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</si>
  <si>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</si>
  <si>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</si>
  <si>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</si>
  <si>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</si>
  <si>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</si>
  <si>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</si>
  <si>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</si>
  <si>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</si>
  <si>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</si>
  <si>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</si>
  <si>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</si>
  <si>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</si>
  <si>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</si>
  <si>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</si>
  <si>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</si>
  <si>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</si>
  <si>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</si>
  <si>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</si>
  <si>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</si>
  <si>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</si>
  <si>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</si>
  <si>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</si>
  <si>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</si>
  <si>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</si>
  <si>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</si>
  <si>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</si>
  <si>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</si>
  <si>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</si>
  <si>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</si>
  <si>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</si>
  <si>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</si>
  <si>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</si>
  <si>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</si>
  <si>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</si>
  <si>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</si>
  <si>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</si>
  <si>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</si>
  <si>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</si>
  <si>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</si>
  <si>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</si>
  <si>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</si>
  <si>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</si>
  <si>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</si>
  <si>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</si>
  <si>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</si>
  <si>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</si>
  <si>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</si>
  <si>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</si>
  <si>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</si>
  <si>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</si>
  <si>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</si>
  <si>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</si>
  <si>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</si>
  <si>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</si>
  <si>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</si>
  <si>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</si>
  <si>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</si>
  <si>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</si>
  <si>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</si>
  <si>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</si>
  <si>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</si>
  <si>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</si>
  <si>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</si>
  <si>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</si>
  <si>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</si>
  <si>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</si>
  <si>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</si>
  <si>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</si>
  <si>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</si>
  <si>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</si>
  <si>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</si>
  <si>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</si>
  <si>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</si>
  <si>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</si>
  <si>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</si>
  <si>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</si>
  <si>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</si>
  <si>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</si>
  <si>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</si>
  <si>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</si>
  <si>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</si>
  <si>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</si>
  <si>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</si>
  <si>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</si>
  <si>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</si>
  <si>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</si>
  <si>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</si>
  <si>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</si>
  <si>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</si>
  <si>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</si>
  <si>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</si>
  <si>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</si>
  <si>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</si>
  <si>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</si>
  <si>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</si>
  <si>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</si>
  <si>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</si>
  <si>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</si>
  <si>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</si>
  <si>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</si>
  <si>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</si>
  <si>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</si>
  <si>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</si>
  <si>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</si>
  <si>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</si>
  <si>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</si>
  <si>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</si>
  <si>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</si>
  <si>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</si>
  <si>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</si>
  <si>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</si>
  <si>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</si>
  <si>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</si>
  <si>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</si>
  <si>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</si>
  <si>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</si>
  <si>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</si>
  <si>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</si>
  <si>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</si>
  <si>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</si>
  <si>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</si>
  <si>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</si>
  <si>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</si>
  <si>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</si>
  <si>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</si>
  <si>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</si>
  <si>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</si>
  <si>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</si>
  <si>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</si>
  <si>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</si>
  <si>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</si>
  <si>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</si>
  <si>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</si>
  <si>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</si>
  <si>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</si>
  <si>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</si>
  <si>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</si>
  <si>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</si>
  <si>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</si>
  <si>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</si>
  <si>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</si>
  <si>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</si>
  <si>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</si>
  <si>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</si>
  <si>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</si>
  <si>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</si>
  <si>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</si>
  <si>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</si>
  <si>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</si>
  <si>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</si>
  <si>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</si>
  <si>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</si>
  <si>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</si>
  <si>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</si>
  <si>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</si>
  <si>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</si>
  <si>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</si>
  <si>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</si>
  <si>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</si>
  <si>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</si>
  <si>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</si>
  <si>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</si>
  <si>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</si>
  <si>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</si>
  <si>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</si>
  <si>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</si>
  <si>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</si>
  <si>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</si>
  <si>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</si>
  <si>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</si>
  <si>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</si>
  <si>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</si>
  <si>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</si>
  <si>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</si>
  <si>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</si>
  <si>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</si>
  <si>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</si>
  <si>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</si>
  <si>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</si>
  <si>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</si>
  <si>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</si>
  <si>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</si>
  <si>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</si>
  <si>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</si>
  <si>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</si>
  <si>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</si>
  <si>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</si>
  <si>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</si>
  <si>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</si>
  <si>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</si>
  <si>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</si>
  <si>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</si>
  <si>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</si>
  <si>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</si>
  <si>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</si>
  <si>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</si>
  <si>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</si>
  <si>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</si>
  <si>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</si>
  <si>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</si>
  <si>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</si>
  <si>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</si>
  <si>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</si>
  <si>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</si>
  <si>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</si>
  <si>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</si>
  <si>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</si>
  <si>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</si>
  <si>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</si>
  <si>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</si>
  <si>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</si>
  <si>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</si>
  <si>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</si>
  <si>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</si>
  <si>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</si>
  <si>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</si>
  <si>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</si>
  <si>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</si>
  <si>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</si>
  <si>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</si>
  <si>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</si>
  <si>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</si>
  <si>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</si>
  <si>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</si>
  <si>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</si>
  <si>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</si>
  <si>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</si>
  <si>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</si>
  <si>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</si>
  <si>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</si>
  <si>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</si>
  <si>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</si>
  <si>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</si>
  <si>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</si>
  <si>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</si>
  <si>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</si>
  <si>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</si>
  <si>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</si>
  <si>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</si>
  <si>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</si>
  <si>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</si>
  <si>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</si>
  <si>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</si>
  <si>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</si>
  <si>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</si>
  <si>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</si>
  <si>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</si>
  <si>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</si>
  <si>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</si>
  <si>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</si>
  <si>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</si>
  <si>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</si>
  <si>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</si>
  <si>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</si>
  <si>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</si>
  <si>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</si>
  <si>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</si>
  <si>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</si>
  <si>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</si>
  <si>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</si>
  <si>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</si>
  <si>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</si>
  <si>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</si>
  <si>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</si>
  <si>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</si>
  <si>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</si>
  <si>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</si>
  <si>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</si>
  <si>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</si>
  <si>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</si>
  <si>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</si>
  <si>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</si>
  <si>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</si>
  <si>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</si>
  <si>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</si>
  <si>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</si>
  <si>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</si>
  <si>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</si>
  <si>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</si>
  <si>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</si>
  <si>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</si>
  <si>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</si>
  <si>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</si>
  <si>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</si>
  <si>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</si>
  <si>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</si>
  <si>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</si>
  <si>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</si>
  <si>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</si>
  <si>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</si>
  <si>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</si>
  <si>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</si>
  <si>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</si>
  <si>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</si>
  <si>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</si>
  <si>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</si>
  <si>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</si>
  <si>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PREVISTO</t>
  </si>
  <si>
    <t>ACUMULADO ANTERIOR</t>
  </si>
  <si>
    <t>NO PERÍODO</t>
  </si>
  <si>
    <t>FÍSICO</t>
  </si>
  <si>
    <t>FINANCEIRO</t>
  </si>
  <si>
    <t>ACUMULADO TOTAL</t>
  </si>
  <si>
    <t>SALDO</t>
  </si>
  <si>
    <t xml:space="preserve">PLANILHA DE MEDIÇÃO </t>
  </si>
  <si>
    <t>HAYA CONSTRUTORA</t>
  </si>
  <si>
    <t>CONSTRUÇÃO DE ESCOLA COM 6 SALAS, LOCALIZADA, NO BAIRRO ANGELIM, NO MUNICÍPIO DE SOUSA -PB</t>
  </si>
  <si>
    <t>OBJETO: CONSTRUÇÃO DE ESCOLA COM 6 SALAS, LOCALIZADA, NO BAIRRO ANGELIM, NO MUNICÍPIO DE SOUSA -PB</t>
  </si>
  <si>
    <t>DISCRIMINAÇÃO</t>
  </si>
  <si>
    <t xml:space="preserve">UN </t>
  </si>
  <si>
    <t>QUANT.</t>
  </si>
  <si>
    <t>TOTAL</t>
  </si>
  <si>
    <t>Volume sapata cuscuz</t>
  </si>
  <si>
    <t>h</t>
  </si>
  <si>
    <t>s1</t>
  </si>
  <si>
    <t>s2</t>
  </si>
  <si>
    <t>Volume cuscuz</t>
  </si>
  <si>
    <t>Volume base</t>
  </si>
  <si>
    <r>
      <rPr>
        <b/>
        <sz val="14"/>
        <color theme="1"/>
        <rFont val="Calibri"/>
        <family val="2"/>
      </rPr>
      <t>2ª</t>
    </r>
    <r>
      <rPr>
        <b/>
        <sz val="14"/>
        <color theme="1"/>
        <rFont val="Arial"/>
        <family val="2"/>
      </rPr>
      <t xml:space="preserve"> MEDIÇÃO</t>
    </r>
  </si>
  <si>
    <t>PREÇO
UNITÁRIO R$ - BDI</t>
  </si>
  <si>
    <t>0,3 restante referente ao restante da unidade do barracão</t>
  </si>
  <si>
    <t>VIGA X = COMPRIMENTO DA VIGA X PERIMETRO IMPERMEABILIZADO = AREA DE IMPERMEABILIZAÇÃO DA VIGA
VIGA 01 = (11,89+11,850) * (0,15+0,3+0,3) = 17,805 m²
VIGA 02 = 3,39 * 0,75 = 2,55 m² 
VIGA 03 = 3,39 * 0,75 = 2,55 m² 
VIGA 04 = 3,26 * 0,75 = 2,445 m²
VIGA 07 = 6,40 * 0,75 = 4,8 m² 
VIGA 21 = 2,04 * 0,75 = 1,53 m²
VIGA 06 = (11,89+12+12+3,74) * 0,75 = 29,7225 m² 
VIGA 08 = 6,40 * 0,75 = 4,8 m²
VIGA 22 = 1,70 * 0,75 = 1,275 m²
VIGA 09 = (11,89+12+12+4,07) * 0,75 = 29,97 m²
VIGA 11 = 4,24 * 0,75 = 3,18 m²
VIGA 12 = 5,64 * 0,75 = 4,23 m²
VIGA 10 = (11,89+12+12+3,74) * 0,75 = 29,7225 m²
VIGA 20 = 8,26 * 0,75 = 6,195 m² 
VIGA 25 = 1,70 * 0,75 = 1,275 m²
VIGA 13 =  (11,89+12+12+4,07) * 0,75 = 29,97 m²
VIGA 23 = 10,62 * 0,75 = 7,965 m²
VIGA 14 = (12+7,43) * 0,75 = 14,5725 m²
VIGA 15 = (12+12+8,05) * 0,75 = 24,0375 m²
VIGA 16 = (12+7,23) * 0,75 = 14,4225 m²
VIGA 17 = (12+12+8,49) * 0,75 = 24,3675 m²
VIGA 18 = (12+12+8,49) * 0,75 = 24,3675 m² 
VIGA 24 = 9,74 * 0,75 = 7,305 m²</t>
  </si>
  <si>
    <t>PILARETES
S8/S9/S10/S12/S14/S16/S31/S87/S92 = 9*((0,174*3,20*2)+(0,324*3,20*2)) = 28,6848 m²
S1/S2/S3/S4/S15/S18/S25/S26/S27/S29/S36/S37/S38/S82/S83/S85 = (13*((0,174*3,20*2)+(0,324*3,20*2)))+(3*((0,224*3,2)+(0,324*3,2))) = 46,6944 m²
S11/S17/S39/S40/S41/S42/S43/S44/S52/S54/S62/S64/S72/S73/S74/S75/S77/S80/S81/S93= 20*((0,174*3,20*2)+(0,324*3,20*2)) = 63,744 m²
S13/S46 = (1*((0,224*3,20*2)+(0,324*3,20*2)))+(1*((0,274*3,2)+(0,324*3,2))) = 5,4208 m²
S7/S19/S20/S30/S49/S50/S59/S60/S70/S71/S78/S84/S86 = 13*((0,174*3,20*2)+(0,324*3,20*2)) = 41,4336 m²
S45 = ((0,274*3,20*2)+(0,324*3,20*2)) = 3,8272 m²
S28/S35/S68/S76/S88 = (4*((0,174*3,20*2)+(0,324*3,20*2)))+(1*((0,224*3,2)+(0,324*3,2))) = 14,5024 m²
S5/S6S/S24/S51/S53/S58/S61/S63/S69/S79/S89/S90/S91 = (12*((0,174*3,20*2)+(0,324*3,20*2)))+(1*((0,224*3,2)+(0,324*3,2))) = 40,00 m² 
S23/S32/S57 = 3*((0,174*3,20*2)+(0,324*3,20*2)) = 9,5616 m²
S33/S34/S55 = 3*((0,174*3,20*2)+(0,324*3,20*2)) = 9,5616 m² 
S21 = ((0,174*3,20*2)+(0,424*3,20*2)) = 3,8272 m²
S65 = ((0,224*3,20*2)+(0,324*3,20*2)) = 3,5072 m²
S22 = ((0,224*3,20*2)+(0,424*3,20*2)) = 4,1472 m²
S47 = ((0,174*3,20*2)+(0,324*3,20*2)) = 3,1872 m²
S48 = ((0,174*3,20*2)+(0,324*3,20*2)) = 3,1872 m²
S56 = ((0,174*3,20*2)+(0,324*3,20*2)) = 3,1872 m²
S66/S67 = (1*((0,174*3,20*2)+(0,324*3,20*2)))+(1*((0,224*3,2)+(0,324*3,2))) = 4,9408 m²
Total = 289,414 m²
*OBSERVAÇÃO: TODOS OS PILARETES ESTÃO COM 3,00 M DE ALTURA</t>
  </si>
  <si>
    <t>PILARETES
S8/S9/S10/S12/S14/S16/S31/S87/S92 = 9*3,2*4 = 115,2 m 
S1/S2/S3/S4/S15/S18/S25/S26/S27/S29/S36/S37/S38/S82/S83/S85 = ((13*3,20*4)+(3*3,2*6)) = 224,00 m
S11/S17/S39/S40/S41/S42/S43/S44/S52/S54/S62/S64/S72/S73/S74/S75/S77/S80/S81/S93= ((19*3,2*4)+(1*3,2*6)) = 262,4 m
S13/S46 = 2*3,2*6 = 38,4 m 
S7/S19/S20/S30/S49/S50/S59/S60/S70/S71/S78/S84/S86 = 13*3,2*4 = 166,4 m
S45 = 1*3,2*6 = 19,2 m
S28/S35/S68/S76/S88 = ((4*3,2*4)+(1*3,2*6)) = 70,4 m
S5/S6S/S24/S51/S53/S58/S61/S63/S69/S79/S89/S90/S91 = ((8*3,2*4)+(4*3,2*6)+(1*3,2*8)) = 204,8 m
S23/S32/S57 = ((2*3,2*4)+(1*3,2*6)) = 44,8 m
S33/S34/S55 = 2*3,2*4 = 25,6 m 
S21 = 1*3,2*6 = 19,2 m
S22 = 1*3,2*6 = 19,2 m
S47 = 1*3,2*8 = 25,6 m
S56 = 1*3,2*4 = 12,8 m
Total = 1248,00 m
Total em kg = 0,617 kg/m * 1248,00 m = 770,016 kg
*OBSERVAÇÃO: TODOS OS PILARETES ESTÃO COM 3,00 M DE ALTURA</t>
  </si>
  <si>
    <t>PILARETES
S33/S34/S55 = 1*3,20*8 = 25,60 m
S65 = 1*3,20*8 = 25,60 m 
S48 = 1*3,20*6 = 19,2 m
S66/S67 = 2*3,2*8 = 25,6 m
Total =  96,00 m
Total em kg = 0,963 kg/m * 96,00 m = 92,448 kg 
*OBSERVAÇÃO: TODOS OS PILARETES ESTÃO COM 3,00 M DE ALTURA</t>
  </si>
  <si>
    <t>PILARETES
S8/S9/S10/S12/S14/S16/S31/S87/S92 = 9*0,77*25 = 173,25 m
S1/S2/S3/S4/S15/S18/S25/S26/S27/S29/S36/S37/S38/S82/S83/S85 = ((13*0,77*25)+(3*0,87*25)) = 315,50 m
S11/S17/S39/S40/S41/S42/S43/S44/S52/S54/S62/S64/S72/S73/S74/S75/S77/S80/S81/S93= 20*0,77*25 = 385,00 m
S13/S46 = (((0,97*25)+(0,34*25))+(0,87*25)) = 54,5 m
S7/S19/S20/S30/S49/S50/S59/S60/S70/S71/S78/S84/S86 = 13*0,77*25 = 250,25 m
S45 = ((0,97*25)+(0,34*25)) = 32,75 m
S28/S35/S68/S76/S88 = (((4*0,77*25)+((25*0,87)+(25*0,29))) = 106,00 m
S5/S6S/S24/S51/S53/S58/S61/S63/S69/S79/S89/S90/S91 = ((12*0,77*25)+(1*0,24*25)+(1*0,87*25)+(1*0,29*25)) = 266,00 m 
S23/S32/S57 = ((25*0,77)+(25*0,24)+(2*25*0,77)) = 63,75 m
S33/S34/S55 = ((2*25*0,77)+(0,77*22)) = 55,44 m 
S21 = 1*((25*0,97)+(25*0,24)) = 30,25 m
S65 = 1*22*0,87 = 19,14 m
S22 = 1*((25*1,07)+(25*0,29)) = 34 m
S47 = 1*((25*0,77)+(25*0,24)) = 25,25 m
S48 = 1*((22*0,77)+(22*0,24)) = 22,22 m
S56 = 0,77*25 = 19,25 m
S66/S67 = ((22*0,87)+(22*0,77)) = 36,08 m
Total = 1888,63 m
Total em kg = 0,154 kg/m * 1888,63 m = 290,849 kg
*OBSERVAÇÃO: TODOS OS PILARETES ESTÃO COM 3,00 M DE ALTURA</t>
  </si>
  <si>
    <t>PILARETES
S8/S9/S10/S12/S14/S16/S31/S87/S92 = 9*0,15*0,3*3 = 1,215 m³
S1/S2/S3/S4/S15/S18/S25/S26/S27/S29/S36/S37/S38/S82/S83/S85 = ((13*0,15*0,3*3)+(3*0,2*0,3*3)) = 2,295 m³
S11/S17/S39/S40/S41/S42/S43/S44/S52/S54/S62/S64/S72/S73/S74/S75/S77/S80/S81/S93= 20*0,15*0,3*3 = 2,7 m³
S13/S46 = ((0,2*0,3*3)+(0,25*0,3*3)) = 0,405 m³
S7/S19/S20/S30/S49/S50/S59/S60/S70/S71/S78/S84/S86 = 13*0,15*0,3*3 = 1,755 m³
S45 = 0,25*0,3*3 = 0,225 m³
S28/S35/S68/S76/S88 = ((4*0,15*0,3*3)+(1*0,2*0,3*3)) = 0,72 m³
S5/S6S/S24/S51/S53/S58/S61/S63/S69/S79/S89/S90/S91 = ((12*0,15*0,3*3)+(1*0,2*0,3*3)) = 1,8 m³ 
S23/S32/S57 = 3*0,15*0,3*3 = 0,405 m³
S33/S34/S55 = 3*0,15*0,3*3 = 0,405 m³ 
S21 = 1*0,15*0,4*3 = 0,18 m³
S65 = 1*0,2*0,3*3 = 0,18 m³
S22 = 1*0,2*0,4*3 = 0,24 m³
S47 = 1*0,15*0,3*3 = 0,135 m³
S48 = 1*0,15*0,3*3 = 0,135 m³
S56 = 1*0,15*0,3*3 = 0,135 m³
S66/S67 = ((1*0,15*0,3*3)+(1*0,2*0,3*3)) = 0,315 m³
Total = 13,245 m³
*OBSERVAÇÃO: TODOS OS PILARETES ESTÃO COM 3,00 M DE ALTURA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</si>
  <si>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</si>
  <si>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</si>
  <si>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</si>
  <si>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</si>
  <si>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</si>
  <si>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</si>
  <si>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</si>
  <si>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</si>
  <si>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</si>
  <si>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</si>
  <si>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</si>
  <si>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GERAL</t>
  </si>
  <si>
    <t>02.00</t>
  </si>
  <si>
    <t>02.1</t>
  </si>
  <si>
    <t>Aterro manual de valas com solo argilo-arenoso e compactação mecanizada (EDIFICAÇÃO)</t>
  </si>
  <si>
    <t>Refeitório</t>
  </si>
  <si>
    <t>Sala 01</t>
  </si>
  <si>
    <t>Sala 02</t>
  </si>
  <si>
    <t>Sala 03</t>
  </si>
  <si>
    <t>Sala 04</t>
  </si>
  <si>
    <t>Sala 05</t>
  </si>
  <si>
    <t>Sala 06</t>
  </si>
  <si>
    <t>Sala Diretora</t>
  </si>
  <si>
    <t>Secretaria</t>
  </si>
  <si>
    <t>Wc diretoria</t>
  </si>
  <si>
    <t>Sala dos Professores</t>
  </si>
  <si>
    <t>Wc professores</t>
  </si>
  <si>
    <t>Sala de informática</t>
  </si>
  <si>
    <t>Biblioteca</t>
  </si>
  <si>
    <t>PCD + Wc Feminino</t>
  </si>
  <si>
    <t>PCD + Wc  Masculino</t>
  </si>
  <si>
    <t>DML</t>
  </si>
  <si>
    <t>Despensa</t>
  </si>
  <si>
    <t>Cozinha</t>
  </si>
  <si>
    <t xml:space="preserve"> Área de serviço</t>
  </si>
  <si>
    <t>Wc's Área de serviço</t>
  </si>
  <si>
    <t>Corredor 01</t>
  </si>
  <si>
    <t>Recepção</t>
  </si>
  <si>
    <t>Corredor 02</t>
  </si>
  <si>
    <t>Corredor 03</t>
  </si>
  <si>
    <t>MEMORIA DE CALCULO - BM 02</t>
  </si>
  <si>
    <t>MEMÓRIA DE CÁLCULO - BM 02</t>
  </si>
  <si>
    <t>MEMÓRIA DE CÁLCULO ATERRO - BM 02</t>
  </si>
  <si>
    <t>MEMÓRIA DE CÁLCULO SEPARADA DO ATERRO</t>
  </si>
  <si>
    <t>VIGAS BALDRAMES = COMPRIMENTO DA VIGA X ALTURA DA FORMA = ÁREA DA FÔRMA
VIGA 01 = (11,89+11,850)*0,40*2 = 18,99 m²
VIGA 02 = 3,39*0,40*2 = 2,71 m²
VIGA 03 = 3,39*0,40*2 = 2,71 m²
VIGA 04 = 3,26*0,40*2 = 2,61 m²
VIGA 07 = 6,40*0,40*2 = 5,12 m²
VIGA 21 = 2,04*0,40*2 = 1,63 m²
VIGA 06 = (11,89+12+12+3,74)*0,40*2 = 31,70 m²
VIGA 08 = 6,40*0,40*2 = 5,12 m²
VIGA 22 = 1,70*0,40*2 = 1,36 m²
VIGA 09 = (11,89+12+12+4,07)*0,40*2 = 31,97 m²
VIGA 11 = 4,24*0,40*2 = 3,39 m²
VIGA 12 = 5,64*0,40*2 = 4,51 m²
VIGA 10 = (11,89+12+12+3,74)*0,40*2 = 31,70 m²
VIGA 20 = 8,26*0,40*2 = 6,61m²
VIGA 25 = 1,70*0,40*2 =  1,36 m²
VIGA 13 =  (11,89+12+12+4,07)*0,40*2 = 31,97 m²
VIGA 23 = 10,62*0,40*2 = 8,50 m²
VIGA 14 = (12+7,43)*0,40*2 = 15,54 m²
VIGA 15 = (12+12+8,05)*0,40*2 = 25,64 m²
VIGA 16 = (12+7,23)*0,40*2 = 15,38 m²
VIGA 17 = (12+12+8,49)*0,40*2 = 25,99 m²
VIGA 18 = (12+12+8,49)*0,40*2 = 25,99 m²
VIGA 24 = 9,74*0,40*2 = 7,79 m²
VIGA LADO NORTE (A MAIS DO PROJETO) = 22,60*2*0,4 = 18,08 m²
VIGA LADO OESTE (A MAIS DO PROJETO) = 24,70*2*0,40 = 19,76 m²</t>
  </si>
  <si>
    <t>VIGAS BALDRAMES
VIGA 01 = ((2*11,99)+(11,95*2)+(3*11,67)+(2*11,57)+1,45+1,65) = 109,13 m
VIGA 02 = ((2*3,58)+(2*3,49)) = 14,14 m
VIGA 03 = ((2*3,49) + (2*3,39)) = 13,76 m
VIGA 04 = ((2*3,49)+(2*3,26)) = 13,5 m
VIGA 07 = ((2*6,63)+(2*6,40)) = 26,06 m
VIGA 21 = ((2*2,26)+(2*2,04)) = 8,60 m
VIGA 08 = ((2*6,63)+(2*6,40)) = 26,06 m
VIGA 06 = ((2*11,99)+(2*12)+1,55+1,65+(2*12)+(2*3,84)+(2*5,89)+(2*9,38)+(3*10,95)+(2*11,57)) = 169,39 m
VIGA 22 = ((2*2,01)+(2*1,78)) = 7,58 m
VIGA 09 = ((2*1,99)+(2*11,57)+(2*12)+(2*5,63)+(2*2,90)+(2*10,95)+(2*12)+(2*2,85)+(2*2,75)+(2*4,27)+(3*10,85)+(2*4,57)) = 175,51 m
VIGA 11 = ((2*4,61)+(2*4,24)) = 17,7 m
VIGA 12 = ((2*6,07)+(2*5,74)) = 23,62 m
VIGA 10 = ((2*11,99)+(2*11,57)+(2*12)+(2*2,68)+(2*2,70)+(2*5,63)+(2*10,95)+(2*12)+(2*3,74)+(2*9,98)+(2*5,82)) = 178,12 m
VIGA 20 = ((2*8,52)+(2*2,10)+(2*8,26)) = 37,76 m
VIGA 25 = ((2*2,01)+(2*1,78)) = 7,58m
VIGA 13 = ((2*1,99)+(2*11,57)+(2*12)+(2*5,63)+(2*6,18)+(2*12)+(2*10,95)+(3*9,75)+(2*4,17)+(2*5,82)) = 169,87m
VIGA 23 = ((2*10,83)+(2*2,55)+(2*10,62)) = 48m
VIGA 14 = ((2*12)+(2*10,60)+(2*7,43)+(2*8,2)) = 76,46m
VIGA 15 = ((2*12)+(2*10,57)+(2*12)+(2*10,71)+(2*8,05)+(2*9,72)) = 126,1m
VIGA 16 = ((2*12)+(2*10,57)+(2*7,43)+(2*8,07)) = 73,14m
VIGA 17 = ((2*12)+(2*10,57)+(2*12)+(2*10,61)+(2*8,49)+(2*9,57)) = 126,48m
VIGA 18 = ((2*12)+(2*11,47)+1,75+(2*5,63)+(2*12)+(2*10,04)+(2*8,49)+(2*9,72)) = 140,45m
VIGA 24 = ((2*9,74)+(2*9,74)) = 38,96 m
VIGA LADO NORTE (A MAIS DO PROJETO) = (4*22,84) = 91,36 m
VIGA LADO OESTE (A MAIS DO PROJETO) = (4*24,94) =  99,76 m
Total = 1666,1 m
Total em kg = 0,617 kg/m * 1664,8 m = 1027,98 kg</t>
  </si>
  <si>
    <t>VIGAS BALDRAMES
VIGA 01 = 183 * 0,77m = 140,91m
VIGA 02 = 26*0,77 = 20,02m
VIGA 03 = 25*0,77 = 19,25m
VIGA 04 = 26*0,77 = 20,02m
VIGA 07 = 51*0,77 = 39,27m
VIGA 21 = 14*0,77 = 10,78m
VIGA 06 = 308 * 0,77 = 237,16m
VIGA 08 = 52 * 0,77 =  40,04m
VIGA 22 = 13*0,77 = 10,01m
VIGA 09 = 305 * 0,77 = 234,85m
VIGA 11 = 34*0,77 = 26,18m
VIGA 12 = 44*0,77 = 33,88m
VIGA 10 = 308*0,77 = 237,16m
VIGA 20 = 64*0,77 = 49,29m
VIGA 25 = 13*0,77 = 10,01m
VIGA 13 = 302*0,77 = 232,54m
VIGA 23 = 82*0,77 = 63,14m
VIGA 14 = 146*0,77 = 112,42m
VIGA 15 = 240*0,77 = 184,8m
VIGA 16 = 144*0,77 = 110,88m
VIGA 17 = 241*0,77 = 185,57m
VIGA 18 = 247*0,77 = 190,19m
VIGA 24 = 72*0,77 = 55,44m
VIGA LADO NORTE (A MAIS DO PROJETO) = 189*0,77 = 145,53 m
VIGA LADO OESTE (A MAIS DO PROJETO) = 206*0,77 =  158,62 m
Total = 2567,96 m
Total em kg = 0,154 kg/m * 2263,81 m = 395,47 kg</t>
  </si>
  <si>
    <t>VIGAS BALDRAMES = COMPRIMENTO DA VIGA X ÁREA DA SEÇÃO = VOLUME DE CONCRETO
VIGA 01 = (11,89+11,850) * (0,045) = 1,0683 m³
VIGA 02 = 3,39 * 0,045 = 0,15 m³
VIGA 03 = 3,39 * 0,045 = 0,15 m³
VIGA 04 = 3,26 * 0,045 = 0,15 m³
VIGA 07 = 6,40 * 0,045 =  0,29 m³
VIGA 21 = 2,04 * 0,045 = 0,09 m³
VIGA 06 = (11,89+12+12+3,74) * 0,045 =  1,78 m³
VIGA 08 = 6,40 * 0,045 = 0,29 m³
VIGA 22 = 1,70 * 0,045 = 0,08 m³
VIGA 09 = (11,89+12+12+4,07) * 0,045 = 1,80 m³
VIGA 11 = 4,24 * 0,045 = 0,19 m³
VIGA 12 = 5,64 * 0,045 = 0,25 m³
VIGA 10 = (11,89+12+12+3,74) * 0,045 = 1,78 m³
VIGA 20 = 8,26 * 0,045 = 0,37 m³
VIGA 25 = 1,70 * 0,045 = 0,08 m³
VIGA 13 =  (11,89+12+12+4,07) * 0,045 = 1,80 m³
VIGA 23 = 10,62 * 0,045 = 0,48 m³
VIGA 14 = (12+7,43) * 0,045 = 0,87 m³
VIGA 15 = (12+12+8,05) * 0,045 = 1,44 m³
VIGA 16 = (12+7,23) * 0,045 = 0,87 m³
VIGA 17 = (12+12+8,49) * 0,045 = 1,46 m³
VIGA 18 = (12+12+8,49) * 0,045 = 1,46 m³ 
VIGA 24 = 9,74 * 0,045 = 0,44 m³
VIGA LADO NORTE (A MAIS DO PROJETO) = (0,045*22,6) = 1,017 m³
VIGA LADO OESTE (A MAIS DO PROJETO) = (0,045*24,7) =  1,1115 m³</t>
  </si>
  <si>
    <t>PERIODO 30/01/2023 a 04/04/2023</t>
  </si>
  <si>
    <t>%</t>
  </si>
  <si>
    <t>04850/ORSE Impermeabilizaçao com vedapren parede ou similar, 03 demaõs</t>
  </si>
  <si>
    <t>ESTADO DA PARAÍBA</t>
  </si>
  <si>
    <t>PREFEITURA MUNICIPAL DE SOUSA</t>
  </si>
  <si>
    <t>SEPLAN</t>
  </si>
  <si>
    <t>RELATÓRIO FOTOGRÁFICO</t>
  </si>
  <si>
    <t>OBSERVAÇÕES:</t>
  </si>
  <si>
    <t>2- Possibilidade real de não conclusão no tempo previsto;</t>
  </si>
  <si>
    <t>3- Verificar as Cláusula de Contrato, quanto ao cumprimento de prazos;</t>
  </si>
  <si>
    <t>4- Solicita-se ao setor de convênios/contrato para análise e tomada das medidas administrativas cabíveis;</t>
  </si>
  <si>
    <t>Sousa, 05 de maio de 2023</t>
  </si>
  <si>
    <t>Ricardo Lima Rodrigues</t>
  </si>
  <si>
    <t>Inicio da obra: 06/09/2022</t>
  </si>
  <si>
    <t>Previsão de Término da Obra:06/06/2023</t>
  </si>
  <si>
    <t>1- Obra com atraso na execução cima do aceitável, evolução de apenas de 19%, onde conforme cronograma deveria está em91,79%;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</si>
</sst>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&quot;R$&quot;\ #,##0.00"/>
    <numFmt numFmtId="166" formatCode="#,##0.0"/>
    <numFmt numFmtId="167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20"/>
      <color indexed="8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43" fontId="1" fillId="7" borderId="0" applyFont="0" applyFill="0" applyBorder="0" applyAlignment="0" applyProtection="0"/>
    <xf numFmtId="0" fontId="18" fillId="7" borderId="0"/>
    <xf numFmtId="167" fontId="20" fillId="7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0" fillId="10" borderId="0" xfId="0" applyFill="1"/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 wrapText="1"/>
    </xf>
    <xf numFmtId="44" fontId="13" fillId="6" borderId="1" xfId="2" applyFont="1" applyFill="1" applyBorder="1" applyAlignment="1" applyProtection="1">
      <alignment horizontal="center" vertical="center" wrapText="1"/>
    </xf>
    <xf numFmtId="44" fontId="13" fillId="7" borderId="1" xfId="2" applyFont="1" applyFill="1" applyBorder="1" applyAlignment="1" applyProtection="1">
      <alignment horizontal="center" vertical="center" wrapText="1"/>
    </xf>
    <xf numFmtId="4" fontId="13" fillId="10" borderId="1" xfId="0" applyNumberFormat="1" applyFont="1" applyFill="1" applyBorder="1" applyAlignment="1">
      <alignment horizontal="center" vertical="center" wrapText="1"/>
    </xf>
    <xf numFmtId="44" fontId="13" fillId="10" borderId="1" xfId="2" applyFont="1" applyFill="1" applyBorder="1" applyAlignment="1" applyProtection="1">
      <alignment horizontal="center" vertical="center" wrapText="1"/>
    </xf>
    <xf numFmtId="44" fontId="12" fillId="10" borderId="1" xfId="2" applyFont="1" applyFill="1" applyBorder="1" applyAlignment="1" applyProtection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/>
    </xf>
    <xf numFmtId="0" fontId="2" fillId="8" borderId="14" xfId="3" applyFont="1" applyFill="1" applyBorder="1" applyAlignment="1">
      <alignment horizontal="center" vertical="center"/>
    </xf>
    <xf numFmtId="0" fontId="2" fillId="8" borderId="10" xfId="3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2" fontId="0" fillId="13" borderId="1" xfId="0" applyNumberForma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4" fontId="0" fillId="0" borderId="6" xfId="2" applyFont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 wrapText="1"/>
    </xf>
    <xf numFmtId="44" fontId="2" fillId="10" borderId="6" xfId="2" applyFont="1" applyFill="1" applyBorder="1" applyAlignment="1">
      <alignment horizontal="center" vertical="center"/>
    </xf>
    <xf numFmtId="43" fontId="20" fillId="7" borderId="23" xfId="4" applyFont="1" applyBorder="1" applyAlignment="1" applyProtection="1">
      <alignment vertical="center"/>
      <protection locked="0"/>
    </xf>
    <xf numFmtId="43" fontId="20" fillId="7" borderId="0" xfId="4" applyFont="1" applyBorder="1" applyAlignment="1" applyProtection="1">
      <alignment vertical="center"/>
      <protection locked="0"/>
    </xf>
    <xf numFmtId="43" fontId="20" fillId="7" borderId="24" xfId="4" applyFont="1" applyBorder="1" applyAlignment="1" applyProtection="1">
      <alignment vertical="center"/>
      <protection locked="0"/>
    </xf>
    <xf numFmtId="43" fontId="21" fillId="7" borderId="25" xfId="4" applyFont="1" applyFill="1" applyBorder="1" applyAlignment="1">
      <alignment vertical="center"/>
    </xf>
    <xf numFmtId="43" fontId="21" fillId="7" borderId="16" xfId="4" applyFont="1" applyFill="1" applyBorder="1" applyAlignment="1">
      <alignment vertical="center"/>
    </xf>
    <xf numFmtId="43" fontId="22" fillId="7" borderId="16" xfId="4" applyFont="1" applyFill="1" applyBorder="1" applyAlignment="1">
      <alignment vertical="center"/>
    </xf>
    <xf numFmtId="43" fontId="22" fillId="7" borderId="26" xfId="4" applyFont="1" applyFill="1" applyBorder="1" applyAlignment="1">
      <alignment vertical="center"/>
    </xf>
    <xf numFmtId="0" fontId="24" fillId="7" borderId="23" xfId="5" applyFont="1" applyBorder="1" applyAlignment="1">
      <alignment vertical="center"/>
    </xf>
    <xf numFmtId="49" fontId="25" fillId="7" borderId="0" xfId="5" applyNumberFormat="1" applyFont="1" applyAlignment="1">
      <alignment horizontal="left" vertical="center" indent="1"/>
    </xf>
    <xf numFmtId="43" fontId="25" fillId="7" borderId="0" xfId="4" applyFont="1" applyFill="1" applyBorder="1" applyAlignment="1">
      <alignment horizontal="left" vertical="center" indent="1"/>
    </xf>
    <xf numFmtId="0" fontId="24" fillId="7" borderId="0" xfId="5" applyFont="1" applyAlignment="1">
      <alignment vertical="center"/>
    </xf>
    <xf numFmtId="0" fontId="24" fillId="7" borderId="24" xfId="5" applyFont="1" applyBorder="1" applyAlignment="1">
      <alignment vertical="center"/>
    </xf>
    <xf numFmtId="43" fontId="19" fillId="13" borderId="37" xfId="4" applyFont="1" applyFill="1" applyBorder="1" applyAlignment="1">
      <alignment horizontal="center" vertical="center"/>
    </xf>
    <xf numFmtId="43" fontId="19" fillId="13" borderId="35" xfId="4" applyFont="1" applyFill="1" applyBorder="1" applyAlignment="1">
      <alignment horizontal="center" vertical="center"/>
    </xf>
    <xf numFmtId="43" fontId="19" fillId="13" borderId="36" xfId="4" applyFont="1" applyFill="1" applyBorder="1" applyAlignment="1">
      <alignment horizontal="center" vertical="center"/>
    </xf>
    <xf numFmtId="43" fontId="19" fillId="13" borderId="38" xfId="4" applyFont="1" applyFill="1" applyBorder="1" applyAlignment="1">
      <alignment horizontal="center" vertical="center"/>
    </xf>
    <xf numFmtId="43" fontId="26" fillId="13" borderId="34" xfId="4" applyFont="1" applyFill="1" applyBorder="1" applyAlignment="1">
      <alignment horizontal="center" vertical="center"/>
    </xf>
    <xf numFmtId="43" fontId="26" fillId="13" borderId="35" xfId="4" applyFont="1" applyFill="1" applyBorder="1" applyAlignment="1">
      <alignment horizontal="center" vertical="center"/>
    </xf>
    <xf numFmtId="43" fontId="26" fillId="13" borderId="36" xfId="4" applyFont="1" applyFill="1" applyBorder="1" applyAlignment="1">
      <alignment horizontal="center" vertical="center"/>
    </xf>
    <xf numFmtId="0" fontId="26" fillId="13" borderId="37" xfId="4" applyNumberFormat="1" applyFont="1" applyFill="1" applyBorder="1" applyAlignment="1">
      <alignment horizontal="left" vertical="center" indent="1"/>
    </xf>
    <xf numFmtId="0" fontId="26" fillId="13" borderId="35" xfId="4" applyNumberFormat="1" applyFont="1" applyFill="1" applyBorder="1" applyAlignment="1">
      <alignment horizontal="left" vertical="center" indent="1"/>
    </xf>
    <xf numFmtId="43" fontId="26" fillId="7" borderId="29" xfId="4" applyFont="1" applyFill="1" applyBorder="1" applyAlignment="1">
      <alignment horizontal="center" vertical="center"/>
    </xf>
    <xf numFmtId="43" fontId="26" fillId="7" borderId="30" xfId="4" applyFont="1" applyFill="1" applyBorder="1" applyAlignment="1">
      <alignment horizontal="center" vertical="center"/>
    </xf>
    <xf numFmtId="43" fontId="26" fillId="7" borderId="31" xfId="4" applyFont="1" applyFill="1" applyBorder="1" applyAlignment="1">
      <alignment horizontal="center" vertical="center"/>
    </xf>
    <xf numFmtId="0" fontId="26" fillId="13" borderId="32" xfId="4" applyNumberFormat="1" applyFont="1" applyFill="1" applyBorder="1" applyAlignment="1">
      <alignment horizontal="center" vertical="center"/>
    </xf>
    <xf numFmtId="2" fontId="26" fillId="13" borderId="32" xfId="4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13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2" fillId="8" borderId="2" xfId="3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" fontId="0" fillId="0" borderId="2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8" borderId="2" xfId="3" applyFont="1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 wrapText="1"/>
    </xf>
    <xf numFmtId="0" fontId="0" fillId="13" borderId="1" xfId="0" applyFill="1" applyBorder="1" applyAlignment="1">
      <alignment horizontal="left" wrapText="1"/>
    </xf>
    <xf numFmtId="0" fontId="0" fillId="13" borderId="1" xfId="0" applyFill="1" applyBorder="1" applyAlignment="1">
      <alignment horizontal="left"/>
    </xf>
    <xf numFmtId="164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0" fillId="15" borderId="40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9" fontId="0" fillId="0" borderId="41" xfId="7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/>
    </xf>
    <xf numFmtId="44" fontId="12" fillId="0" borderId="1" xfId="2" applyFont="1" applyFill="1" applyBorder="1" applyAlignment="1" applyProtection="1">
      <alignment horizontal="center" vertical="center" wrapText="1"/>
    </xf>
    <xf numFmtId="44" fontId="12" fillId="17" borderId="1" xfId="2" applyFont="1" applyFill="1" applyBorder="1" applyAlignment="1" applyProtection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left" vertical="center" wrapText="1"/>
    </xf>
    <xf numFmtId="0" fontId="2" fillId="14" borderId="0" xfId="0" applyFont="1" applyFill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4" fontId="15" fillId="11" borderId="1" xfId="2" applyFont="1" applyFill="1" applyBorder="1" applyAlignment="1" applyProtection="1">
      <alignment horizontal="center" vertical="center"/>
    </xf>
    <xf numFmtId="44" fontId="15" fillId="11" borderId="8" xfId="2" applyFont="1" applyFill="1" applyBorder="1" applyAlignment="1" applyProtection="1">
      <alignment horizontal="center" vertical="center"/>
    </xf>
    <xf numFmtId="165" fontId="16" fillId="11" borderId="1" xfId="1" applyNumberFormat="1" applyFont="1" applyFill="1" applyBorder="1" applyAlignment="1" applyProtection="1">
      <alignment horizontal="center" vertical="center"/>
    </xf>
    <xf numFmtId="165" fontId="16" fillId="11" borderId="8" xfId="1" applyNumberFormat="1" applyFont="1" applyFill="1" applyBorder="1" applyAlignment="1" applyProtection="1">
      <alignment horizontal="center" vertical="center"/>
    </xf>
    <xf numFmtId="165" fontId="14" fillId="11" borderId="6" xfId="1" applyNumberFormat="1" applyFont="1" applyFill="1" applyBorder="1" applyAlignment="1" applyProtection="1">
      <alignment horizontal="center" vertical="center"/>
    </xf>
    <xf numFmtId="165" fontId="14" fillId="11" borderId="9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6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9" fontId="2" fillId="14" borderId="41" xfId="7" applyFont="1" applyFill="1" applyBorder="1" applyAlignment="1">
      <alignment horizontal="center" vertical="center"/>
    </xf>
    <xf numFmtId="9" fontId="2" fillId="14" borderId="42" xfId="7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14" fillId="11" borderId="5" xfId="0" applyNumberFormat="1" applyFont="1" applyFill="1" applyBorder="1" applyAlignment="1" applyProtection="1">
      <alignment horizontal="center" vertical="center"/>
      <protection locked="0"/>
    </xf>
    <xf numFmtId="4" fontId="14" fillId="11" borderId="1" xfId="0" applyNumberFormat="1" applyFont="1" applyFill="1" applyBorder="1" applyAlignment="1" applyProtection="1">
      <alignment horizontal="center" vertical="center"/>
      <protection locked="0"/>
    </xf>
    <xf numFmtId="4" fontId="14" fillId="11" borderId="7" xfId="0" applyNumberFormat="1" applyFont="1" applyFill="1" applyBorder="1" applyAlignment="1" applyProtection="1">
      <alignment horizontal="center" vertical="center"/>
      <protection locked="0"/>
    </xf>
    <xf numFmtId="4" fontId="14" fillId="11" borderId="8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4" fontId="2" fillId="8" borderId="15" xfId="0" applyNumberFormat="1" applyFont="1" applyFill="1" applyBorder="1" applyAlignment="1">
      <alignment horizontal="center" vertical="center" wrapText="1"/>
    </xf>
    <xf numFmtId="4" fontId="2" fillId="8" borderId="16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0" fillId="13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3" fontId="23" fillId="7" borderId="1" xfId="4" applyFont="1" applyFill="1" applyBorder="1" applyAlignment="1">
      <alignment horizontal="center" vertical="center"/>
    </xf>
    <xf numFmtId="43" fontId="19" fillId="8" borderId="27" xfId="4" applyFont="1" applyFill="1" applyBorder="1" applyAlignment="1">
      <alignment horizontal="center" vertical="center"/>
    </xf>
    <xf numFmtId="43" fontId="19" fillId="8" borderId="12" xfId="4" applyFont="1" applyFill="1" applyBorder="1" applyAlignment="1">
      <alignment horizontal="center" vertical="center"/>
    </xf>
    <xf numFmtId="43" fontId="19" fillId="8" borderId="13" xfId="4" applyFont="1" applyFill="1" applyBorder="1" applyAlignment="1">
      <alignment horizontal="center" vertical="center"/>
    </xf>
    <xf numFmtId="43" fontId="19" fillId="8" borderId="11" xfId="4" applyFont="1" applyFill="1" applyBorder="1" applyAlignment="1">
      <alignment horizontal="left" vertical="center" indent="1"/>
    </xf>
    <xf numFmtId="43" fontId="19" fillId="8" borderId="12" xfId="4" applyFont="1" applyFill="1" applyBorder="1" applyAlignment="1">
      <alignment horizontal="left" vertical="center" indent="1"/>
    </xf>
    <xf numFmtId="43" fontId="19" fillId="8" borderId="28" xfId="4" applyFont="1" applyFill="1" applyBorder="1" applyAlignment="1">
      <alignment horizontal="left" vertical="center" indent="1"/>
    </xf>
    <xf numFmtId="43" fontId="21" fillId="7" borderId="5" xfId="4" applyFont="1" applyFill="1" applyBorder="1" applyAlignment="1">
      <alignment horizontal="center" vertical="center"/>
    </xf>
    <xf numFmtId="43" fontId="21" fillId="7" borderId="1" xfId="4" applyFont="1" applyFill="1" applyBorder="1" applyAlignment="1">
      <alignment horizontal="center" vertical="center"/>
    </xf>
    <xf numFmtId="43" fontId="22" fillId="7" borderId="1" xfId="4" applyFont="1" applyFill="1" applyBorder="1" applyAlignment="1">
      <alignment horizontal="center" vertical="center"/>
    </xf>
    <xf numFmtId="43" fontId="21" fillId="7" borderId="6" xfId="4" applyFont="1" applyFill="1" applyBorder="1" applyAlignment="1">
      <alignment horizontal="center" vertical="center"/>
    </xf>
    <xf numFmtId="43" fontId="19" fillId="13" borderId="29" xfId="4" applyFont="1" applyFill="1" applyBorder="1" applyAlignment="1">
      <alignment horizontal="center" vertical="center"/>
    </xf>
    <xf numFmtId="43" fontId="19" fillId="13" borderId="30" xfId="4" applyFont="1" applyFill="1" applyBorder="1" applyAlignment="1">
      <alignment horizontal="center" vertical="center"/>
    </xf>
    <xf numFmtId="43" fontId="19" fillId="13" borderId="31" xfId="4" applyFont="1" applyFill="1" applyBorder="1" applyAlignment="1">
      <alignment horizontal="center" vertical="center"/>
    </xf>
    <xf numFmtId="43" fontId="19" fillId="13" borderId="32" xfId="4" applyFont="1" applyFill="1" applyBorder="1" applyAlignment="1">
      <alignment horizontal="left" vertical="center" indent="1"/>
    </xf>
    <xf numFmtId="43" fontId="19" fillId="13" borderId="30" xfId="4" applyFont="1" applyFill="1" applyBorder="1" applyAlignment="1">
      <alignment horizontal="left" vertical="center" indent="1"/>
    </xf>
    <xf numFmtId="43" fontId="19" fillId="13" borderId="31" xfId="4" applyFont="1" applyFill="1" applyBorder="1" applyAlignment="1">
      <alignment horizontal="left" vertical="center" indent="1"/>
    </xf>
    <xf numFmtId="43" fontId="19" fillId="13" borderId="32" xfId="4" applyFont="1" applyFill="1" applyBorder="1" applyAlignment="1">
      <alignment horizontal="center" vertical="center"/>
    </xf>
    <xf numFmtId="43" fontId="19" fillId="13" borderId="33" xfId="4" applyFont="1" applyFill="1" applyBorder="1" applyAlignment="1">
      <alignment horizontal="center" vertical="center"/>
    </xf>
    <xf numFmtId="43" fontId="26" fillId="13" borderId="34" xfId="4" applyFont="1" applyFill="1" applyBorder="1" applyAlignment="1">
      <alignment horizontal="center" vertical="center"/>
    </xf>
    <xf numFmtId="43" fontId="26" fillId="13" borderId="35" xfId="4" applyFont="1" applyFill="1" applyBorder="1" applyAlignment="1">
      <alignment horizontal="center" vertical="center"/>
    </xf>
    <xf numFmtId="43" fontId="26" fillId="13" borderId="36" xfId="4" applyFont="1" applyFill="1" applyBorder="1" applyAlignment="1">
      <alignment horizontal="center" vertical="center"/>
    </xf>
    <xf numFmtId="0" fontId="26" fillId="13" borderId="37" xfId="4" applyNumberFormat="1" applyFont="1" applyFill="1" applyBorder="1" applyAlignment="1">
      <alignment horizontal="left" vertical="center" indent="1"/>
    </xf>
    <xf numFmtId="0" fontId="26" fillId="13" borderId="35" xfId="4" applyNumberFormat="1" applyFont="1" applyFill="1" applyBorder="1" applyAlignment="1">
      <alignment horizontal="left" vertical="center" indent="1"/>
    </xf>
    <xf numFmtId="43" fontId="26" fillId="13" borderId="37" xfId="4" applyFont="1" applyFill="1" applyBorder="1" applyAlignment="1">
      <alignment horizontal="center" vertical="center"/>
    </xf>
    <xf numFmtId="167" fontId="26" fillId="13" borderId="37" xfId="4" applyNumberFormat="1" applyFont="1" applyFill="1" applyBorder="1" applyAlignment="1">
      <alignment horizontal="center" vertical="center"/>
    </xf>
    <xf numFmtId="167" fontId="26" fillId="13" borderId="35" xfId="4" applyNumberFormat="1" applyFont="1" applyFill="1" applyBorder="1" applyAlignment="1">
      <alignment horizontal="center" vertical="center"/>
    </xf>
    <xf numFmtId="167" fontId="26" fillId="13" borderId="36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4" fontId="13" fillId="0" borderId="1" xfId="2" applyFont="1" applyFill="1" applyBorder="1" applyAlignment="1" applyProtection="1">
      <alignment horizontal="center" vertical="center" wrapText="1"/>
    </xf>
    <xf numFmtId="0" fontId="31" fillId="14" borderId="0" xfId="0" applyFont="1" applyFill="1" applyAlignment="1">
      <alignment horizontal="left"/>
    </xf>
    <xf numFmtId="0" fontId="32" fillId="14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32" fillId="0" borderId="0" xfId="0" applyFont="1" applyFill="1"/>
    <xf numFmtId="0" fontId="33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left"/>
    </xf>
  </cellXfs>
  <cellStyles count="8">
    <cellStyle name="20% - Ênfase1" xfId="3" builtinId="30"/>
    <cellStyle name="Moeda" xfId="2" builtinId="4"/>
    <cellStyle name="Normal" xfId="0" builtinId="0"/>
    <cellStyle name="Normal 3" xfId="5" xr:uid="{00000000-0005-0000-0000-000003000000}"/>
    <cellStyle name="Porcentagem" xfId="7" builtinId="5"/>
    <cellStyle name="Separador de milhares 2 2 2" xfId="6" xr:uid="{00000000-0005-0000-0000-000004000000}"/>
    <cellStyle name="Vírgula" xfId="1" builtinId="3"/>
    <cellStyle name="Vírgula 6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216657</xdr:colOff>
      <xdr:row>0</xdr:row>
      <xdr:rowOff>49610</xdr:rowOff>
    </xdr:from>
    <xdr:to>
      <xdr:col>1</xdr:col>
      <xdr:colOff>358089</xdr:colOff>
      <xdr:row>2</xdr:row>
      <xdr:rowOff>298127</xdr:rowOff>
    </xdr:to>
    <xdr:pic>
      <xdr:nvPicPr>
        <xdr:cNvPr id="3" name="Imagem 2" descr="Descrição: brasao sousa">
          <a:extLst>
            <a:ext uri="{FF2B5EF4-FFF2-40B4-BE49-F238E27FC236}">
              <a16:creationId xmlns:a16="http://schemas.microsoft.com/office/drawing/2014/main" id="{BF6BFD13-2D21-4618-B19A-55F14CC0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657" y="49610"/>
          <a:ext cx="637526" cy="62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216657</xdr:colOff>
      <xdr:row>0</xdr:row>
      <xdr:rowOff>49610</xdr:rowOff>
    </xdr:from>
    <xdr:to>
      <xdr:col>1</xdr:col>
      <xdr:colOff>358089</xdr:colOff>
      <xdr:row>2</xdr:row>
      <xdr:rowOff>298127</xdr:rowOff>
    </xdr:to>
    <xdr:pic>
      <xdr:nvPicPr>
        <xdr:cNvPr id="2" name="Imagem 1" descr="Descrição: brasao sousa">
          <a:extLst>
            <a:ext uri="{FF2B5EF4-FFF2-40B4-BE49-F238E27FC236}">
              <a16:creationId xmlns:a16="http://schemas.microsoft.com/office/drawing/2014/main" id="{9594400E-B62F-437E-8A8F-55202525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657" y="49610"/>
          <a:ext cx="636732" cy="629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7</xdr:row>
      <xdr:rowOff>114300</xdr:rowOff>
    </xdr:from>
    <xdr:to>
      <xdr:col>5</xdr:col>
      <xdr:colOff>256575</xdr:colOff>
      <xdr:row>26</xdr:row>
      <xdr:rowOff>94800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657A6C9-B36B-42A2-9B00-99A6F03D2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485900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7</xdr:row>
      <xdr:rowOff>104775</xdr:rowOff>
    </xdr:from>
    <xdr:to>
      <xdr:col>14</xdr:col>
      <xdr:colOff>56550</xdr:colOff>
      <xdr:row>26</xdr:row>
      <xdr:rowOff>85275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0765072-E436-4755-8156-8EC79BA6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476375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28</xdr:row>
      <xdr:rowOff>9525</xdr:rowOff>
    </xdr:from>
    <xdr:to>
      <xdr:col>5</xdr:col>
      <xdr:colOff>237525</xdr:colOff>
      <xdr:row>46</xdr:row>
      <xdr:rowOff>180525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11568515-DFA4-479A-B1FB-A7370A154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381625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28</xdr:row>
      <xdr:rowOff>9525</xdr:rowOff>
    </xdr:from>
    <xdr:to>
      <xdr:col>14</xdr:col>
      <xdr:colOff>56550</xdr:colOff>
      <xdr:row>46</xdr:row>
      <xdr:rowOff>180525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9C675CFE-AF2C-4740-9CA9-040CB3DD7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5381625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258535</xdr:colOff>
      <xdr:row>49</xdr:row>
      <xdr:rowOff>55790</xdr:rowOff>
    </xdr:from>
    <xdr:to>
      <xdr:col>5</xdr:col>
      <xdr:colOff>257935</xdr:colOff>
      <xdr:row>68</xdr:row>
      <xdr:rowOff>36290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7F83BFA1-4485-4B23-9DDF-1995E86D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535" y="10057040"/>
          <a:ext cx="4795918" cy="3858536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48</xdr:row>
      <xdr:rowOff>140153</xdr:rowOff>
    </xdr:from>
    <xdr:to>
      <xdr:col>13</xdr:col>
      <xdr:colOff>592671</xdr:colOff>
      <xdr:row>67</xdr:row>
      <xdr:rowOff>120653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2DEC3549-CBE4-4548-9E8F-1E6D1896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989" y="9937296"/>
          <a:ext cx="4821771" cy="3858536"/>
        </a:xfrm>
        <a:prstGeom prst="rect">
          <a:avLst/>
        </a:prstGeom>
      </xdr:spPr>
    </xdr:pic>
    <xdr:clientData/>
  </xdr:twoCellAnchor>
  <xdr:twoCellAnchor editAs="oneCell">
    <xdr:from>
      <xdr:col>1</xdr:col>
      <xdr:colOff>443593</xdr:colOff>
      <xdr:row>70</xdr:row>
      <xdr:rowOff>134710</xdr:rowOff>
    </xdr:from>
    <xdr:to>
      <xdr:col>3</xdr:col>
      <xdr:colOff>171793</xdr:colOff>
      <xdr:row>89</xdr:row>
      <xdr:rowOff>115209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14D884EC-9E6C-4B41-BFA2-565F2E3F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914" y="14422210"/>
          <a:ext cx="2687754" cy="3858535"/>
        </a:xfrm>
        <a:prstGeom prst="rect">
          <a:avLst/>
        </a:prstGeom>
      </xdr:spPr>
    </xdr:pic>
    <xdr:clientData/>
  </xdr:twoCellAnchor>
  <xdr:twoCellAnchor editAs="oneCell">
    <xdr:from>
      <xdr:col>6</xdr:col>
      <xdr:colOff>108347</xdr:colOff>
      <xdr:row>70</xdr:row>
      <xdr:rowOff>115888</xdr:rowOff>
    </xdr:from>
    <xdr:to>
      <xdr:col>14</xdr:col>
      <xdr:colOff>31547</xdr:colOff>
      <xdr:row>89</xdr:row>
      <xdr:rowOff>96388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DF3544EA-CEC5-42EE-8785-2EB421667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13351669"/>
          <a:ext cx="4765075" cy="3562297"/>
        </a:xfrm>
        <a:prstGeom prst="rect">
          <a:avLst/>
        </a:prstGeom>
      </xdr:spPr>
    </xdr:pic>
    <xdr:clientData/>
  </xdr:twoCellAnchor>
  <xdr:twoCellAnchor editAs="oneCell">
    <xdr:from>
      <xdr:col>0</xdr:col>
      <xdr:colOff>184490</xdr:colOff>
      <xdr:row>95</xdr:row>
      <xdr:rowOff>163115</xdr:rowOff>
    </xdr:from>
    <xdr:to>
      <xdr:col>5</xdr:col>
      <xdr:colOff>183890</xdr:colOff>
      <xdr:row>114</xdr:row>
      <xdr:rowOff>143615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23077557-B5BB-492C-BB79-306A1CA7D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490" y="18111787"/>
          <a:ext cx="4781744" cy="3562297"/>
        </a:xfrm>
        <a:prstGeom prst="rect">
          <a:avLst/>
        </a:prstGeom>
      </xdr:spPr>
    </xdr:pic>
    <xdr:clientData/>
  </xdr:twoCellAnchor>
  <xdr:twoCellAnchor editAs="oneCell">
    <xdr:from>
      <xdr:col>6</xdr:col>
      <xdr:colOff>432537</xdr:colOff>
      <xdr:row>95</xdr:row>
      <xdr:rowOff>140267</xdr:rowOff>
    </xdr:from>
    <xdr:to>
      <xdr:col>14</xdr:col>
      <xdr:colOff>355736</xdr:colOff>
      <xdr:row>114</xdr:row>
      <xdr:rowOff>136359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12F61067-C4DD-48B5-84CF-8444C65C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0115" y="18088939"/>
          <a:ext cx="4765074" cy="3577889"/>
        </a:xfrm>
        <a:prstGeom prst="rect">
          <a:avLst/>
        </a:prstGeom>
      </xdr:spPr>
    </xdr:pic>
    <xdr:clientData/>
  </xdr:twoCellAnchor>
  <xdr:twoCellAnchor editAs="oneCell">
    <xdr:from>
      <xdr:col>0</xdr:col>
      <xdr:colOff>226615</xdr:colOff>
      <xdr:row>117</xdr:row>
      <xdr:rowOff>22621</xdr:rowOff>
    </xdr:from>
    <xdr:to>
      <xdr:col>5</xdr:col>
      <xdr:colOff>226015</xdr:colOff>
      <xdr:row>136</xdr:row>
      <xdr:rowOff>3121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4FDE99E6-F0A1-44A3-BB04-18178C3A5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15" y="22118637"/>
          <a:ext cx="4781744" cy="3562297"/>
        </a:xfrm>
        <a:prstGeom prst="rect">
          <a:avLst/>
        </a:prstGeom>
      </xdr:spPr>
    </xdr:pic>
    <xdr:clientData/>
  </xdr:twoCellAnchor>
  <xdr:twoCellAnchor editAs="oneCell">
    <xdr:from>
      <xdr:col>6</xdr:col>
      <xdr:colOff>371986</xdr:colOff>
      <xdr:row>117</xdr:row>
      <xdr:rowOff>20581</xdr:rowOff>
    </xdr:from>
    <xdr:to>
      <xdr:col>14</xdr:col>
      <xdr:colOff>295185</xdr:colOff>
      <xdr:row>136</xdr:row>
      <xdr:rowOff>1081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7EEFC1B4-DA9E-4B65-B355-6BD14F606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9564" y="22116597"/>
          <a:ext cx="4765074" cy="35622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R253"/>
  <sheetViews>
    <sheetView tabSelected="1" view="pageBreakPreview" zoomScale="62" zoomScaleNormal="100" zoomScaleSheetLayoutView="62" workbookViewId="0">
      <pane xSplit="1" ySplit="7" topLeftCell="B224" activePane="bottomRight" state="frozen"/>
      <selection pane="topRight" activeCell="B1" sqref="B1"/>
      <selection pane="bottomLeft" activeCell="A8" sqref="A8"/>
      <selection pane="bottomRight" activeCell="G240" sqref="G240"/>
    </sheetView>
  </sheetViews>
  <sheetFormatPr defaultRowHeight="15" x14ac:dyDescent="0.25"/>
  <cols>
    <col min="1" max="1" width="7.42578125" customWidth="1"/>
    <col min="2" max="2" width="9.85546875" bestFit="1" customWidth="1"/>
    <col min="3" max="3" width="50.28515625" style="71" customWidth="1"/>
    <col min="4" max="4" width="9" bestFit="1" customWidth="1"/>
    <col min="5" max="5" width="5.85546875" bestFit="1" customWidth="1"/>
    <col min="6" max="6" width="15" bestFit="1" customWidth="1"/>
    <col min="7" max="7" width="14.42578125" bestFit="1" customWidth="1"/>
    <col min="8" max="8" width="19.5703125" bestFit="1" customWidth="1"/>
    <col min="9" max="9" width="20.140625" bestFit="1" customWidth="1"/>
    <col min="10" max="10" width="14.85546875" bestFit="1" customWidth="1"/>
    <col min="11" max="11" width="10.85546875" bestFit="1" customWidth="1"/>
    <col min="12" max="12" width="14.85546875" bestFit="1" customWidth="1"/>
    <col min="13" max="13" width="26.28515625" bestFit="1" customWidth="1"/>
    <col min="14" max="14" width="21.5703125" bestFit="1" customWidth="1"/>
    <col min="15" max="15" width="22" bestFit="1" customWidth="1"/>
    <col min="16" max="16" width="20.7109375" bestFit="1" customWidth="1"/>
    <col min="17" max="17" width="11.28515625" customWidth="1"/>
    <col min="18" max="18" width="72.28515625" bestFit="1" customWidth="1"/>
  </cols>
  <sheetData>
    <row r="1" spans="1:18" ht="15" customHeight="1" x14ac:dyDescent="0.25">
      <c r="A1" s="118"/>
      <c r="B1" s="119"/>
      <c r="C1" s="91" t="s">
        <v>684</v>
      </c>
      <c r="D1" s="124" t="s">
        <v>610</v>
      </c>
      <c r="E1" s="124"/>
      <c r="F1" s="124"/>
      <c r="G1" s="124"/>
      <c r="H1" s="124"/>
      <c r="I1" s="124"/>
      <c r="J1" s="124"/>
      <c r="K1" s="124"/>
      <c r="L1" s="124"/>
      <c r="M1" s="124"/>
      <c r="N1" s="107" t="s">
        <v>681</v>
      </c>
      <c r="O1" s="107"/>
      <c r="P1" s="108"/>
      <c r="Q1" s="60"/>
    </row>
    <row r="2" spans="1:18" ht="15" customHeight="1" x14ac:dyDescent="0.25">
      <c r="A2" s="120"/>
      <c r="B2" s="121"/>
      <c r="C2" s="91" t="s">
        <v>685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09"/>
      <c r="O2" s="109"/>
      <c r="P2" s="110"/>
      <c r="Q2" s="60"/>
    </row>
    <row r="3" spans="1:18" ht="27" customHeight="1" x14ac:dyDescent="0.25">
      <c r="A3" s="122"/>
      <c r="B3" s="123"/>
      <c r="C3" s="90" t="s">
        <v>686</v>
      </c>
      <c r="D3" s="98" t="s">
        <v>613</v>
      </c>
      <c r="E3" s="98"/>
      <c r="F3" s="98"/>
      <c r="G3" s="98"/>
      <c r="H3" s="98"/>
      <c r="I3" s="98"/>
      <c r="J3" s="98"/>
      <c r="K3" s="98"/>
      <c r="L3" s="98"/>
      <c r="M3" s="98"/>
      <c r="N3" s="111" t="s">
        <v>624</v>
      </c>
      <c r="O3" s="111"/>
      <c r="P3" s="112"/>
      <c r="Q3" s="61"/>
    </row>
    <row r="4" spans="1:18" ht="10.5" customHeight="1" x14ac:dyDescent="0.25">
      <c r="A4" s="99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13">
        <f>N230</f>
        <v>98750.309154004819</v>
      </c>
      <c r="O4" s="113"/>
      <c r="P4" s="114"/>
      <c r="Q4" s="77"/>
    </row>
    <row r="5" spans="1:18" ht="10.5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13"/>
      <c r="O5" s="113"/>
      <c r="P5" s="114"/>
      <c r="Q5" s="77"/>
    </row>
    <row r="6" spans="1:18" ht="18" customHeight="1" thickBot="1" x14ac:dyDescent="0.3">
      <c r="A6" s="103" t="s">
        <v>0</v>
      </c>
      <c r="B6" s="104" t="s">
        <v>1</v>
      </c>
      <c r="C6" s="105" t="s">
        <v>2</v>
      </c>
      <c r="D6" s="104" t="s">
        <v>3</v>
      </c>
      <c r="E6" s="104" t="s">
        <v>4</v>
      </c>
      <c r="F6" s="106" t="s">
        <v>603</v>
      </c>
      <c r="G6" s="106"/>
      <c r="H6" s="106"/>
      <c r="I6" s="106"/>
      <c r="J6" s="106" t="s">
        <v>606</v>
      </c>
      <c r="K6" s="106"/>
      <c r="L6" s="106"/>
      <c r="M6" s="106" t="s">
        <v>607</v>
      </c>
      <c r="N6" s="106"/>
      <c r="O6" s="106"/>
      <c r="P6" s="115"/>
      <c r="Q6" s="78"/>
    </row>
    <row r="7" spans="1:18" ht="37.5" customHeight="1" x14ac:dyDescent="0.25">
      <c r="A7" s="103"/>
      <c r="B7" s="104"/>
      <c r="C7" s="105"/>
      <c r="D7" s="104"/>
      <c r="E7" s="104"/>
      <c r="F7" s="25" t="s">
        <v>5</v>
      </c>
      <c r="G7" s="1" t="s">
        <v>6</v>
      </c>
      <c r="H7" s="1" t="s">
        <v>625</v>
      </c>
      <c r="I7" s="1" t="s">
        <v>7</v>
      </c>
      <c r="J7" s="25" t="s">
        <v>604</v>
      </c>
      <c r="K7" s="83" t="s">
        <v>605</v>
      </c>
      <c r="L7" s="1" t="s">
        <v>608</v>
      </c>
      <c r="M7" s="25" t="s">
        <v>604</v>
      </c>
      <c r="N7" s="82" t="s">
        <v>605</v>
      </c>
      <c r="O7" s="1" t="s">
        <v>608</v>
      </c>
      <c r="P7" s="26" t="s">
        <v>609</v>
      </c>
      <c r="Q7" s="79" t="s">
        <v>682</v>
      </c>
    </row>
    <row r="8" spans="1:18" ht="20.100000000000001" customHeight="1" x14ac:dyDescent="0.25">
      <c r="A8" s="27">
        <v>1</v>
      </c>
      <c r="B8" s="101" t="s">
        <v>8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2"/>
      <c r="Q8" s="80"/>
    </row>
    <row r="9" spans="1:18" x14ac:dyDescent="0.25">
      <c r="A9" s="28" t="s">
        <v>9</v>
      </c>
      <c r="B9" s="2" t="s">
        <v>10</v>
      </c>
      <c r="C9" s="87" t="s">
        <v>11</v>
      </c>
      <c r="D9" s="2" t="s">
        <v>12</v>
      </c>
      <c r="E9" s="2" t="s">
        <v>13</v>
      </c>
      <c r="F9" s="7">
        <v>6</v>
      </c>
      <c r="G9" s="8">
        <f>288.89</f>
        <v>288.89</v>
      </c>
      <c r="H9" s="8">
        <f>G9*$R$9</f>
        <v>367.90141499999999</v>
      </c>
      <c r="I9" s="9">
        <f>F9*H9</f>
        <v>2207.4084899999998</v>
      </c>
      <c r="J9" s="5">
        <v>6</v>
      </c>
      <c r="K9" s="19">
        <f>'MEMORIA BM 02'!E11</f>
        <v>0</v>
      </c>
      <c r="L9" s="5">
        <f>K9+J9</f>
        <v>6</v>
      </c>
      <c r="M9" s="6">
        <f>J9*H9</f>
        <v>2207.4084899999998</v>
      </c>
      <c r="N9" s="84">
        <f>H9*K9</f>
        <v>0</v>
      </c>
      <c r="O9" s="6">
        <f>N9+M9</f>
        <v>2207.4084899999998</v>
      </c>
      <c r="P9" s="29">
        <f>I9-O9</f>
        <v>0</v>
      </c>
      <c r="Q9" s="81">
        <f>O9/I9</f>
        <v>1</v>
      </c>
      <c r="R9">
        <v>1.2735000000000001</v>
      </c>
    </row>
    <row r="10" spans="1:18" ht="25.5" x14ac:dyDescent="0.25">
      <c r="A10" s="28" t="s">
        <v>14</v>
      </c>
      <c r="B10" s="2" t="s">
        <v>15</v>
      </c>
      <c r="C10" s="87" t="s">
        <v>16</v>
      </c>
      <c r="D10" s="2" t="s">
        <v>12</v>
      </c>
      <c r="E10" s="2" t="s">
        <v>17</v>
      </c>
      <c r="F10" s="7">
        <v>1</v>
      </c>
      <c r="G10" s="8">
        <f>12298.86</f>
        <v>12298.86</v>
      </c>
      <c r="H10" s="8">
        <f t="shared" ref="H10:H12" si="0">G10*$R$9</f>
        <v>15662.598210000002</v>
      </c>
      <c r="I10" s="9">
        <f t="shared" ref="I10:I12" si="1">F10*H10</f>
        <v>15662.598210000002</v>
      </c>
      <c r="J10" s="5">
        <v>0.7</v>
      </c>
      <c r="K10" s="19">
        <f>'MEMORIA BM 02'!E12</f>
        <v>0.3</v>
      </c>
      <c r="L10" s="5">
        <f>K10+J10</f>
        <v>1</v>
      </c>
      <c r="M10" s="6">
        <f t="shared" ref="M10:M12" si="2">J10*H10</f>
        <v>10963.818747000001</v>
      </c>
      <c r="N10" s="84">
        <f t="shared" ref="N10:N12" si="3">H10*K10</f>
        <v>4698.7794630000008</v>
      </c>
      <c r="O10" s="6">
        <f t="shared" ref="O10:O12" si="4">N10+M10</f>
        <v>15662.598210000002</v>
      </c>
      <c r="P10" s="29">
        <f t="shared" ref="P10:P13" si="5">I10-O10</f>
        <v>0</v>
      </c>
      <c r="Q10" s="81">
        <f t="shared" ref="Q10:Q73" si="6">O10/I10</f>
        <v>1</v>
      </c>
    </row>
    <row r="11" spans="1:18" ht="38.25" x14ac:dyDescent="0.25">
      <c r="A11" s="28" t="s">
        <v>18</v>
      </c>
      <c r="B11" s="2" t="s">
        <v>19</v>
      </c>
      <c r="C11" s="87" t="s">
        <v>20</v>
      </c>
      <c r="D11" s="2" t="s">
        <v>21</v>
      </c>
      <c r="E11" s="2" t="s">
        <v>22</v>
      </c>
      <c r="F11" s="7">
        <v>160.1</v>
      </c>
      <c r="G11" s="8">
        <f>41.08</f>
        <v>41.08</v>
      </c>
      <c r="H11" s="8">
        <f t="shared" si="0"/>
        <v>52.315379999999998</v>
      </c>
      <c r="I11" s="9">
        <f t="shared" si="1"/>
        <v>8375.6923379999989</v>
      </c>
      <c r="J11" s="5">
        <v>152</v>
      </c>
      <c r="K11" s="19">
        <f>'MEMORIA BM 02'!E13</f>
        <v>0</v>
      </c>
      <c r="L11" s="5">
        <f t="shared" ref="L11:L12" si="7">K11+J11</f>
        <v>152</v>
      </c>
      <c r="M11" s="6">
        <f t="shared" si="2"/>
        <v>7951.9377599999998</v>
      </c>
      <c r="N11" s="84">
        <f t="shared" si="3"/>
        <v>0</v>
      </c>
      <c r="O11" s="6">
        <f t="shared" si="4"/>
        <v>7951.9377599999998</v>
      </c>
      <c r="P11" s="29">
        <f t="shared" si="5"/>
        <v>423.75457799999913</v>
      </c>
      <c r="Q11" s="81">
        <f t="shared" si="6"/>
        <v>0.94940662086196137</v>
      </c>
    </row>
    <row r="12" spans="1:18" ht="36" customHeight="1" x14ac:dyDescent="0.25">
      <c r="A12" s="28" t="s">
        <v>23</v>
      </c>
      <c r="B12" s="2" t="s">
        <v>24</v>
      </c>
      <c r="C12" s="87" t="s">
        <v>25</v>
      </c>
      <c r="D12" s="2" t="s">
        <v>12</v>
      </c>
      <c r="E12" s="2" t="s">
        <v>17</v>
      </c>
      <c r="F12" s="7">
        <v>1</v>
      </c>
      <c r="G12" s="8">
        <f>2055.31</f>
        <v>2055.31</v>
      </c>
      <c r="H12" s="8">
        <f t="shared" si="0"/>
        <v>2617.437285</v>
      </c>
      <c r="I12" s="9">
        <f t="shared" si="1"/>
        <v>2617.437285</v>
      </c>
      <c r="J12" s="5">
        <v>1</v>
      </c>
      <c r="K12" s="19">
        <f>'MEMORIA BM 02'!E14</f>
        <v>0</v>
      </c>
      <c r="L12" s="5">
        <f t="shared" si="7"/>
        <v>1</v>
      </c>
      <c r="M12" s="6">
        <f t="shared" si="2"/>
        <v>2617.437285</v>
      </c>
      <c r="N12" s="84">
        <f t="shared" si="3"/>
        <v>0</v>
      </c>
      <c r="O12" s="6">
        <f t="shared" si="4"/>
        <v>2617.437285</v>
      </c>
      <c r="P12" s="29">
        <f t="shared" si="5"/>
        <v>0</v>
      </c>
      <c r="Q12" s="81">
        <f t="shared" si="6"/>
        <v>1</v>
      </c>
    </row>
    <row r="13" spans="1:18" s="4" customFormat="1" x14ac:dyDescent="0.25">
      <c r="A13" s="30"/>
      <c r="B13" s="3"/>
      <c r="C13" s="88"/>
      <c r="D13" s="3"/>
      <c r="E13" s="3"/>
      <c r="F13" s="10"/>
      <c r="G13" s="11"/>
      <c r="H13" s="11"/>
      <c r="I13" s="12">
        <f>SUM(I9:I12)</f>
        <v>28863.136322999999</v>
      </c>
      <c r="J13" s="13"/>
      <c r="K13" s="13"/>
      <c r="L13" s="13"/>
      <c r="M13" s="12">
        <f>SUM(M9:M12)</f>
        <v>23740.602282</v>
      </c>
      <c r="N13" s="86">
        <f>SUM(N9:N12)</f>
        <v>4698.7794630000008</v>
      </c>
      <c r="O13" s="12">
        <f>SUM(O9:O12)</f>
        <v>28439.381745000002</v>
      </c>
      <c r="P13" s="31">
        <f t="shared" si="5"/>
        <v>423.7545779999964</v>
      </c>
      <c r="Q13" s="81">
        <f t="shared" si="6"/>
        <v>0.98531848468378946</v>
      </c>
    </row>
    <row r="14" spans="1:18" ht="20.100000000000001" customHeight="1" x14ac:dyDescent="0.25">
      <c r="A14" s="27" t="s">
        <v>26</v>
      </c>
      <c r="B14" s="101" t="s">
        <v>27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81"/>
    </row>
    <row r="15" spans="1:18" ht="38.25" x14ac:dyDescent="0.25">
      <c r="A15" s="28" t="s">
        <v>28</v>
      </c>
      <c r="B15" s="2" t="s">
        <v>29</v>
      </c>
      <c r="C15" s="87" t="s">
        <v>30</v>
      </c>
      <c r="D15" s="2" t="s">
        <v>21</v>
      </c>
      <c r="E15" s="2" t="s">
        <v>31</v>
      </c>
      <c r="F15" s="198">
        <v>477.87</v>
      </c>
      <c r="G15" s="8">
        <v>30.08</v>
      </c>
      <c r="H15" s="8">
        <f t="shared" ref="H15:H17" si="8">G15*$R$9</f>
        <v>38.30688</v>
      </c>
      <c r="I15" s="9">
        <f t="shared" ref="I15:I17" si="9">F15*H15</f>
        <v>18305.708745600001</v>
      </c>
      <c r="J15" s="5"/>
      <c r="K15" s="19">
        <v>477.87</v>
      </c>
      <c r="L15" s="19">
        <f>K15+J15</f>
        <v>477.87</v>
      </c>
      <c r="M15" s="6">
        <f t="shared" ref="M15:M17" si="10">J15*H15</f>
        <v>0</v>
      </c>
      <c r="N15" s="84">
        <f t="shared" ref="N15:N17" si="11">H15*K15</f>
        <v>18305.708745600001</v>
      </c>
      <c r="O15" s="6">
        <f>N15+M15</f>
        <v>18305.708745600001</v>
      </c>
      <c r="P15" s="29">
        <f>I15-O15</f>
        <v>0</v>
      </c>
      <c r="Q15" s="81">
        <f t="shared" si="6"/>
        <v>1</v>
      </c>
    </row>
    <row r="16" spans="1:18" ht="38.25" x14ac:dyDescent="0.25">
      <c r="A16" s="28" t="s">
        <v>32</v>
      </c>
      <c r="B16" s="2" t="s">
        <v>33</v>
      </c>
      <c r="C16" s="87" t="s">
        <v>34</v>
      </c>
      <c r="D16" s="2" t="s">
        <v>21</v>
      </c>
      <c r="E16" s="2" t="s">
        <v>31</v>
      </c>
      <c r="F16" s="7">
        <v>139.80000000000001</v>
      </c>
      <c r="G16" s="8">
        <v>63.46</v>
      </c>
      <c r="H16" s="8">
        <f t="shared" si="8"/>
        <v>80.816310000000001</v>
      </c>
      <c r="I16" s="9">
        <f t="shared" si="9"/>
        <v>11298.120138</v>
      </c>
      <c r="J16" s="5">
        <v>139.80000000000001</v>
      </c>
      <c r="K16" s="19">
        <f>'MEMORIA BM 02'!E17</f>
        <v>0</v>
      </c>
      <c r="L16" s="19">
        <f t="shared" ref="L16:L17" si="12">K16+J16</f>
        <v>139.80000000000001</v>
      </c>
      <c r="M16" s="6">
        <f t="shared" si="10"/>
        <v>11298.120138</v>
      </c>
      <c r="N16" s="84">
        <f t="shared" si="11"/>
        <v>0</v>
      </c>
      <c r="O16" s="6">
        <f t="shared" ref="O16:O17" si="13">N16+M16</f>
        <v>11298.120138</v>
      </c>
      <c r="P16" s="29">
        <f t="shared" ref="P16:P18" si="14">I16-O16</f>
        <v>0</v>
      </c>
      <c r="Q16" s="81">
        <f t="shared" si="6"/>
        <v>1</v>
      </c>
    </row>
    <row r="17" spans="1:17" ht="38.25" x14ac:dyDescent="0.25">
      <c r="A17" s="28" t="s">
        <v>35</v>
      </c>
      <c r="B17" s="2" t="s">
        <v>29</v>
      </c>
      <c r="C17" s="87" t="s">
        <v>30</v>
      </c>
      <c r="D17" s="2" t="s">
        <v>21</v>
      </c>
      <c r="E17" s="2" t="s">
        <v>31</v>
      </c>
      <c r="F17" s="7">
        <v>244.58</v>
      </c>
      <c r="G17" s="8">
        <v>30.08</v>
      </c>
      <c r="H17" s="8">
        <f t="shared" si="8"/>
        <v>38.30688</v>
      </c>
      <c r="I17" s="9">
        <f t="shared" si="9"/>
        <v>9369.096710400001</v>
      </c>
      <c r="J17" s="5"/>
      <c r="K17" s="19">
        <f>'MEMORIA BM 02'!E18</f>
        <v>0</v>
      </c>
      <c r="L17" s="5">
        <f t="shared" si="12"/>
        <v>0</v>
      </c>
      <c r="M17" s="6">
        <f t="shared" si="10"/>
        <v>0</v>
      </c>
      <c r="N17" s="84">
        <f t="shared" si="11"/>
        <v>0</v>
      </c>
      <c r="O17" s="6">
        <f t="shared" si="13"/>
        <v>0</v>
      </c>
      <c r="P17" s="29">
        <f t="shared" si="14"/>
        <v>9369.096710400001</v>
      </c>
      <c r="Q17" s="81">
        <f t="shared" si="6"/>
        <v>0</v>
      </c>
    </row>
    <row r="18" spans="1:17" x14ac:dyDescent="0.25">
      <c r="A18" s="30"/>
      <c r="B18" s="3"/>
      <c r="C18" s="88"/>
      <c r="D18" s="3"/>
      <c r="E18" s="3"/>
      <c r="F18" s="10"/>
      <c r="G18" s="11"/>
      <c r="H18" s="11"/>
      <c r="I18" s="12">
        <f>SUM(I15:I17)</f>
        <v>38972.925594</v>
      </c>
      <c r="J18" s="13"/>
      <c r="K18" s="13"/>
      <c r="L18" s="13"/>
      <c r="M18" s="12">
        <f>SUM(M15:M17)</f>
        <v>11298.120138</v>
      </c>
      <c r="N18" s="12">
        <f>SUM(N15:N17)</f>
        <v>18305.708745600001</v>
      </c>
      <c r="O18" s="12">
        <f>SUM(O15:O17)</f>
        <v>29603.828883599999</v>
      </c>
      <c r="P18" s="31">
        <f t="shared" si="14"/>
        <v>9369.096710400001</v>
      </c>
      <c r="Q18" s="81">
        <f t="shared" si="6"/>
        <v>0.75959986150379222</v>
      </c>
    </row>
    <row r="19" spans="1:17" ht="20.100000000000001" customHeight="1" x14ac:dyDescent="0.25">
      <c r="A19" s="27" t="s">
        <v>36</v>
      </c>
      <c r="B19" s="101" t="s">
        <v>37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  <c r="Q19" s="81"/>
    </row>
    <row r="20" spans="1:17" ht="51" x14ac:dyDescent="0.25">
      <c r="A20" s="28" t="s">
        <v>38</v>
      </c>
      <c r="B20" s="2" t="s">
        <v>39</v>
      </c>
      <c r="C20" s="87" t="s">
        <v>40</v>
      </c>
      <c r="D20" s="2" t="s">
        <v>21</v>
      </c>
      <c r="E20" s="2" t="s">
        <v>31</v>
      </c>
      <c r="F20" s="7">
        <v>5.42</v>
      </c>
      <c r="G20" s="8">
        <v>242.41</v>
      </c>
      <c r="H20" s="8">
        <f t="shared" ref="H20:H27" si="15">G20*$R$9</f>
        <v>308.709135</v>
      </c>
      <c r="I20" s="9">
        <f t="shared" ref="I20" si="16">F20*H20</f>
        <v>1673.2035117</v>
      </c>
      <c r="J20" s="5">
        <v>5.42</v>
      </c>
      <c r="K20" s="19">
        <f>'MEMORIA BM 02'!E20</f>
        <v>0</v>
      </c>
      <c r="L20" s="19">
        <f>K20+J20</f>
        <v>5.42</v>
      </c>
      <c r="M20" s="6">
        <f t="shared" ref="M20" si="17">J20*H20</f>
        <v>1673.2035117</v>
      </c>
      <c r="N20" s="84">
        <f t="shared" ref="N20" si="18">H20*K20</f>
        <v>0</v>
      </c>
      <c r="O20" s="6">
        <f>N20+M20</f>
        <v>1673.2035117</v>
      </c>
      <c r="P20" s="29">
        <f>I20-O20</f>
        <v>0</v>
      </c>
      <c r="Q20" s="81">
        <f t="shared" si="6"/>
        <v>1</v>
      </c>
    </row>
    <row r="21" spans="1:17" ht="25.5" x14ac:dyDescent="0.25">
      <c r="A21" s="28" t="s">
        <v>41</v>
      </c>
      <c r="B21" s="2" t="s">
        <v>42</v>
      </c>
      <c r="C21" s="87" t="s">
        <v>43</v>
      </c>
      <c r="D21" s="2" t="s">
        <v>12</v>
      </c>
      <c r="E21" s="2" t="s">
        <v>44</v>
      </c>
      <c r="F21" s="7">
        <v>476.29</v>
      </c>
      <c r="G21" s="8">
        <v>58.96</v>
      </c>
      <c r="H21" s="8">
        <f t="shared" si="15"/>
        <v>75.085560000000001</v>
      </c>
      <c r="I21" s="9">
        <f t="shared" ref="I21:I27" si="19">F21*H21</f>
        <v>35762.501372400002</v>
      </c>
      <c r="J21" s="19">
        <v>124.3424</v>
      </c>
      <c r="K21" s="19">
        <f>'MEMORIA BM 02'!E21</f>
        <v>346.46000000000004</v>
      </c>
      <c r="L21" s="19">
        <f t="shared" ref="L21:L27" si="20">K21+J21</f>
        <v>470.80240000000003</v>
      </c>
      <c r="M21" s="6">
        <f t="shared" ref="M21:M27" si="21">J21*H21</f>
        <v>9336.3187357440002</v>
      </c>
      <c r="N21" s="84">
        <f t="shared" ref="N21:N27" si="22">H21*K21</f>
        <v>26014.143117600004</v>
      </c>
      <c r="O21" s="6">
        <f t="shared" ref="O21:O27" si="23">N21+M21</f>
        <v>35350.461853344008</v>
      </c>
      <c r="P21" s="29">
        <f t="shared" ref="P21:P28" si="24">I21-O21</f>
        <v>412.03951905599388</v>
      </c>
      <c r="Q21" s="81">
        <f t="shared" si="6"/>
        <v>0.98847844800436724</v>
      </c>
    </row>
    <row r="22" spans="1:17" ht="38.25" x14ac:dyDescent="0.25">
      <c r="A22" s="28" t="s">
        <v>45</v>
      </c>
      <c r="B22" s="2" t="s">
        <v>46</v>
      </c>
      <c r="C22" s="87" t="s">
        <v>47</v>
      </c>
      <c r="D22" s="2" t="s">
        <v>21</v>
      </c>
      <c r="E22" s="2" t="s">
        <v>48</v>
      </c>
      <c r="F22" s="7">
        <v>11.12</v>
      </c>
      <c r="G22" s="8">
        <v>15.84</v>
      </c>
      <c r="H22" s="8">
        <f t="shared" si="15"/>
        <v>20.172240000000002</v>
      </c>
      <c r="I22" s="9">
        <f t="shared" si="19"/>
        <v>224.3153088</v>
      </c>
      <c r="J22" s="5"/>
      <c r="K22" s="19">
        <f>'MEMORIA BM 02'!E22</f>
        <v>0</v>
      </c>
      <c r="L22" s="5">
        <f t="shared" si="20"/>
        <v>0</v>
      </c>
      <c r="M22" s="6">
        <f t="shared" si="21"/>
        <v>0</v>
      </c>
      <c r="N22" s="84">
        <f t="shared" si="22"/>
        <v>0</v>
      </c>
      <c r="O22" s="6">
        <f t="shared" si="23"/>
        <v>0</v>
      </c>
      <c r="P22" s="29">
        <f t="shared" si="24"/>
        <v>224.3153088</v>
      </c>
      <c r="Q22" s="81">
        <f t="shared" si="6"/>
        <v>0</v>
      </c>
    </row>
    <row r="23" spans="1:17" ht="38.25" x14ac:dyDescent="0.25">
      <c r="A23" s="28" t="s">
        <v>49</v>
      </c>
      <c r="B23" s="2" t="s">
        <v>50</v>
      </c>
      <c r="C23" s="87" t="s">
        <v>51</v>
      </c>
      <c r="D23" s="2" t="s">
        <v>21</v>
      </c>
      <c r="E23" s="2" t="s">
        <v>48</v>
      </c>
      <c r="F23" s="7">
        <v>2763.11</v>
      </c>
      <c r="G23" s="8">
        <v>13.6</v>
      </c>
      <c r="H23" s="8">
        <f t="shared" si="15"/>
        <v>17.319600000000001</v>
      </c>
      <c r="I23" s="9">
        <f t="shared" si="19"/>
        <v>47855.959956000006</v>
      </c>
      <c r="J23" s="19">
        <v>958.63289999999995</v>
      </c>
      <c r="K23" s="19">
        <f>'MEMORIA BM 02'!E23</f>
        <v>1027.9837</v>
      </c>
      <c r="L23" s="19">
        <f t="shared" si="20"/>
        <v>1986.6165999999998</v>
      </c>
      <c r="M23" s="6">
        <f t="shared" si="21"/>
        <v>16603.13837484</v>
      </c>
      <c r="N23" s="84">
        <f t="shared" si="22"/>
        <v>17804.26649052</v>
      </c>
      <c r="O23" s="6">
        <f t="shared" si="23"/>
        <v>34407.404865360004</v>
      </c>
      <c r="P23" s="29">
        <f t="shared" si="24"/>
        <v>13448.555090640002</v>
      </c>
      <c r="Q23" s="81">
        <f t="shared" si="6"/>
        <v>0.71897846991252612</v>
      </c>
    </row>
    <row r="24" spans="1:17" ht="38.25" x14ac:dyDescent="0.25">
      <c r="A24" s="28" t="s">
        <v>52</v>
      </c>
      <c r="B24" s="2" t="s">
        <v>53</v>
      </c>
      <c r="C24" s="87" t="s">
        <v>54</v>
      </c>
      <c r="D24" s="2" t="s">
        <v>21</v>
      </c>
      <c r="E24" s="2" t="s">
        <v>48</v>
      </c>
      <c r="F24" s="7">
        <v>397.04</v>
      </c>
      <c r="G24" s="8">
        <v>11.57</v>
      </c>
      <c r="H24" s="8">
        <f t="shared" si="15"/>
        <v>14.734395000000001</v>
      </c>
      <c r="I24" s="9">
        <f t="shared" si="19"/>
        <v>5850.1441908000006</v>
      </c>
      <c r="J24" s="5"/>
      <c r="K24" s="19">
        <f>'MEMORIA BM 02'!E24</f>
        <v>0</v>
      </c>
      <c r="L24" s="5">
        <f t="shared" si="20"/>
        <v>0</v>
      </c>
      <c r="M24" s="6">
        <f t="shared" si="21"/>
        <v>0</v>
      </c>
      <c r="N24" s="84">
        <f t="shared" si="22"/>
        <v>0</v>
      </c>
      <c r="O24" s="6">
        <f t="shared" si="23"/>
        <v>0</v>
      </c>
      <c r="P24" s="29">
        <f t="shared" si="24"/>
        <v>5850.1441908000006</v>
      </c>
      <c r="Q24" s="81">
        <f t="shared" si="6"/>
        <v>0</v>
      </c>
    </row>
    <row r="25" spans="1:17" ht="38.25" x14ac:dyDescent="0.25">
      <c r="A25" s="28" t="s">
        <v>55</v>
      </c>
      <c r="B25" s="2" t="s">
        <v>56</v>
      </c>
      <c r="C25" s="87" t="s">
        <v>57</v>
      </c>
      <c r="D25" s="2" t="s">
        <v>21</v>
      </c>
      <c r="E25" s="2" t="s">
        <v>48</v>
      </c>
      <c r="F25" s="7">
        <v>437.7</v>
      </c>
      <c r="G25" s="8">
        <v>16.47</v>
      </c>
      <c r="H25" s="8">
        <f t="shared" si="15"/>
        <v>20.974544999999999</v>
      </c>
      <c r="I25" s="9">
        <f t="shared" si="19"/>
        <v>9180.5583465</v>
      </c>
      <c r="J25" s="5"/>
      <c r="K25" s="19">
        <f>'MEMORIA BM 02'!E25</f>
        <v>395.46584000000001</v>
      </c>
      <c r="L25" s="5">
        <f t="shared" si="20"/>
        <v>395.46584000000001</v>
      </c>
      <c r="M25" s="6">
        <f t="shared" si="21"/>
        <v>0</v>
      </c>
      <c r="N25" s="84">
        <f t="shared" si="22"/>
        <v>8294.7160570428005</v>
      </c>
      <c r="O25" s="6">
        <f t="shared" si="23"/>
        <v>8294.7160570428005</v>
      </c>
      <c r="P25" s="29">
        <f t="shared" si="24"/>
        <v>885.84228945719951</v>
      </c>
      <c r="Q25" s="81">
        <f t="shared" si="6"/>
        <v>0.90350888736577573</v>
      </c>
    </row>
    <row r="26" spans="1:17" ht="51" x14ac:dyDescent="0.25">
      <c r="A26" s="28" t="s">
        <v>58</v>
      </c>
      <c r="B26" s="2" t="s">
        <v>59</v>
      </c>
      <c r="C26" s="87" t="s">
        <v>60</v>
      </c>
      <c r="D26" s="2" t="s">
        <v>21</v>
      </c>
      <c r="E26" s="2" t="s">
        <v>31</v>
      </c>
      <c r="F26" s="7">
        <v>65.67</v>
      </c>
      <c r="G26" s="8">
        <v>301.79000000000002</v>
      </c>
      <c r="H26" s="8">
        <f t="shared" si="15"/>
        <v>384.32956500000006</v>
      </c>
      <c r="I26" s="9">
        <f t="shared" si="19"/>
        <v>25238.922533550005</v>
      </c>
      <c r="J26" s="5">
        <v>30.41</v>
      </c>
      <c r="K26" s="19">
        <f>'MEMORIA BM 02'!E26</f>
        <v>19.456800000000001</v>
      </c>
      <c r="L26" s="19">
        <f t="shared" si="20"/>
        <v>49.866799999999998</v>
      </c>
      <c r="M26" s="6">
        <f>J26*H26</f>
        <v>11687.462071650001</v>
      </c>
      <c r="N26" s="84">
        <f t="shared" si="22"/>
        <v>7477.8234802920015</v>
      </c>
      <c r="O26" s="6">
        <f t="shared" si="23"/>
        <v>19165.285551942005</v>
      </c>
      <c r="P26" s="29">
        <f t="shared" si="24"/>
        <v>6073.6369816080005</v>
      </c>
      <c r="Q26" s="81">
        <f t="shared" si="6"/>
        <v>0.75935434749505104</v>
      </c>
    </row>
    <row r="27" spans="1:17" ht="38.25" x14ac:dyDescent="0.25">
      <c r="A27" s="28" t="s">
        <v>61</v>
      </c>
      <c r="B27" s="2" t="s">
        <v>62</v>
      </c>
      <c r="C27" s="87" t="s">
        <v>63</v>
      </c>
      <c r="D27" s="2" t="s">
        <v>21</v>
      </c>
      <c r="E27" s="2" t="s">
        <v>31</v>
      </c>
      <c r="F27" s="7">
        <v>65.67</v>
      </c>
      <c r="G27" s="8">
        <v>23.69</v>
      </c>
      <c r="H27" s="8">
        <f t="shared" si="15"/>
        <v>30.169215000000005</v>
      </c>
      <c r="I27" s="9">
        <f t="shared" si="19"/>
        <v>1981.2123490500003</v>
      </c>
      <c r="J27" s="5">
        <v>30.41</v>
      </c>
      <c r="K27" s="19">
        <f>'MEMORIA BM 02'!E27</f>
        <v>19.456800000000001</v>
      </c>
      <c r="L27" s="19">
        <f t="shared" si="20"/>
        <v>49.866799999999998</v>
      </c>
      <c r="M27" s="6">
        <f t="shared" si="21"/>
        <v>917.44582815000012</v>
      </c>
      <c r="N27" s="84">
        <f t="shared" si="22"/>
        <v>586.99638241200012</v>
      </c>
      <c r="O27" s="6">
        <f t="shared" si="23"/>
        <v>1504.4422105620001</v>
      </c>
      <c r="P27" s="29">
        <f t="shared" si="24"/>
        <v>476.77013848800016</v>
      </c>
      <c r="Q27" s="81">
        <f t="shared" si="6"/>
        <v>0.75935434749505093</v>
      </c>
    </row>
    <row r="28" spans="1:17" x14ac:dyDescent="0.25">
      <c r="A28" s="30"/>
      <c r="B28" s="3"/>
      <c r="C28" s="88"/>
      <c r="D28" s="3"/>
      <c r="E28" s="3"/>
      <c r="F28" s="10"/>
      <c r="G28" s="11"/>
      <c r="H28" s="11"/>
      <c r="I28" s="12">
        <f>SUM(I20:I27)</f>
        <v>127766.8175688</v>
      </c>
      <c r="J28" s="13"/>
      <c r="K28" s="13"/>
      <c r="L28" s="13"/>
      <c r="M28" s="12">
        <f>SUM(M20:M27)</f>
        <v>40217.568522083995</v>
      </c>
      <c r="N28" s="12">
        <f>SUM(N20:N27)</f>
        <v>60177.94552786681</v>
      </c>
      <c r="O28" s="12">
        <f>SUM(O20:O27)</f>
        <v>100395.51404995081</v>
      </c>
      <c r="P28" s="31">
        <f t="shared" si="24"/>
        <v>27371.303518849192</v>
      </c>
      <c r="Q28" s="81">
        <f t="shared" si="6"/>
        <v>0.78577142297443336</v>
      </c>
    </row>
    <row r="29" spans="1:17" ht="20.100000000000001" customHeight="1" x14ac:dyDescent="0.25">
      <c r="A29" s="27" t="s">
        <v>64</v>
      </c>
      <c r="B29" s="101" t="s">
        <v>65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2"/>
      <c r="Q29" s="81"/>
    </row>
    <row r="30" spans="1:17" ht="76.5" x14ac:dyDescent="0.25">
      <c r="A30" s="28" t="s">
        <v>66</v>
      </c>
      <c r="B30" s="2" t="s">
        <v>67</v>
      </c>
      <c r="C30" s="87" t="s">
        <v>68</v>
      </c>
      <c r="D30" s="2" t="s">
        <v>21</v>
      </c>
      <c r="E30" s="2" t="s">
        <v>69</v>
      </c>
      <c r="F30" s="7">
        <v>1094.53</v>
      </c>
      <c r="G30" s="8">
        <v>52.58</v>
      </c>
      <c r="H30" s="8">
        <f t="shared" ref="H30:H32" si="25">G30*$R$9</f>
        <v>66.960629999999995</v>
      </c>
      <c r="I30" s="9">
        <f t="shared" ref="I30" si="26">F30*H30</f>
        <v>73290.418353899993</v>
      </c>
      <c r="J30" s="5"/>
      <c r="K30" s="5"/>
      <c r="L30" s="5">
        <f>K30+J30</f>
        <v>0</v>
      </c>
      <c r="M30" s="6">
        <f t="shared" ref="M30:M31" si="27">J30*H30</f>
        <v>0</v>
      </c>
      <c r="N30" s="84">
        <f t="shared" ref="N30:N31" si="28">H30*K30</f>
        <v>0</v>
      </c>
      <c r="O30" s="6">
        <f>N30+M30</f>
        <v>0</v>
      </c>
      <c r="P30" s="29">
        <f>I30-O30</f>
        <v>73290.418353899993</v>
      </c>
      <c r="Q30" s="81">
        <f t="shared" si="6"/>
        <v>0</v>
      </c>
    </row>
    <row r="31" spans="1:17" ht="51" x14ac:dyDescent="0.25">
      <c r="A31" s="28" t="s">
        <v>70</v>
      </c>
      <c r="B31" s="2" t="s">
        <v>71</v>
      </c>
      <c r="C31" s="87" t="s">
        <v>72</v>
      </c>
      <c r="D31" s="2" t="s">
        <v>21</v>
      </c>
      <c r="E31" s="2" t="s">
        <v>69</v>
      </c>
      <c r="F31" s="7">
        <v>16</v>
      </c>
      <c r="G31" s="8">
        <v>133.55000000000001</v>
      </c>
      <c r="H31" s="8">
        <f t="shared" si="25"/>
        <v>170.07592500000001</v>
      </c>
      <c r="I31" s="9">
        <f t="shared" ref="I31:I32" si="29">F31*H31</f>
        <v>2721.2148000000002</v>
      </c>
      <c r="J31" s="5"/>
      <c r="K31" s="5"/>
      <c r="L31" s="5">
        <f t="shared" ref="L31:L32" si="30">K31+J31</f>
        <v>0</v>
      </c>
      <c r="M31" s="6">
        <f t="shared" si="27"/>
        <v>0</v>
      </c>
      <c r="N31" s="84">
        <f t="shared" si="28"/>
        <v>0</v>
      </c>
      <c r="O31" s="6">
        <f t="shared" ref="O31:O32" si="31">N31+M31</f>
        <v>0</v>
      </c>
      <c r="P31" s="29">
        <f t="shared" ref="P31:P33" si="32">I31-O31</f>
        <v>2721.2148000000002</v>
      </c>
      <c r="Q31" s="81">
        <f t="shared" si="6"/>
        <v>0</v>
      </c>
    </row>
    <row r="32" spans="1:17" ht="76.5" x14ac:dyDescent="0.25">
      <c r="A32" s="28" t="s">
        <v>73</v>
      </c>
      <c r="B32" s="2" t="s">
        <v>67</v>
      </c>
      <c r="C32" s="87" t="s">
        <v>68</v>
      </c>
      <c r="D32" s="2" t="s">
        <v>21</v>
      </c>
      <c r="E32" s="2" t="s">
        <v>69</v>
      </c>
      <c r="F32" s="7">
        <v>183</v>
      </c>
      <c r="G32" s="8">
        <v>52.58</v>
      </c>
      <c r="H32" s="8">
        <f t="shared" si="25"/>
        <v>66.960629999999995</v>
      </c>
      <c r="I32" s="9">
        <f t="shared" si="29"/>
        <v>12253.795289999998</v>
      </c>
      <c r="J32" s="5"/>
      <c r="K32" s="5"/>
      <c r="L32" s="5">
        <f t="shared" si="30"/>
        <v>0</v>
      </c>
      <c r="M32" s="6">
        <f t="shared" ref="M32" si="33">J32*H32</f>
        <v>0</v>
      </c>
      <c r="N32" s="84">
        <f t="shared" ref="N32" si="34">H32*K32</f>
        <v>0</v>
      </c>
      <c r="O32" s="6">
        <f t="shared" si="31"/>
        <v>0</v>
      </c>
      <c r="P32" s="29">
        <f t="shared" si="32"/>
        <v>12253.795289999998</v>
      </c>
      <c r="Q32" s="81">
        <f t="shared" si="6"/>
        <v>0</v>
      </c>
    </row>
    <row r="33" spans="1:17" x14ac:dyDescent="0.25">
      <c r="A33" s="30"/>
      <c r="B33" s="3"/>
      <c r="C33" s="88"/>
      <c r="D33" s="3"/>
      <c r="E33" s="3"/>
      <c r="F33" s="10"/>
      <c r="G33" s="11"/>
      <c r="H33" s="11"/>
      <c r="I33" s="12">
        <f>SUM(I30:I32)</f>
        <v>88265.428443899989</v>
      </c>
      <c r="J33" s="13"/>
      <c r="K33" s="13"/>
      <c r="L33" s="13"/>
      <c r="M33" s="12">
        <f>SUM(M30:M32)</f>
        <v>0</v>
      </c>
      <c r="N33" s="12">
        <f>SUM(N30:N32)</f>
        <v>0</v>
      </c>
      <c r="O33" s="12">
        <f>SUM(O30:O32)</f>
        <v>0</v>
      </c>
      <c r="P33" s="31">
        <f t="shared" si="32"/>
        <v>88265.428443899989</v>
      </c>
      <c r="Q33" s="81">
        <f t="shared" si="6"/>
        <v>0</v>
      </c>
    </row>
    <row r="34" spans="1:17" ht="20.100000000000001" customHeight="1" x14ac:dyDescent="0.25">
      <c r="A34" s="27" t="s">
        <v>74</v>
      </c>
      <c r="B34" s="101" t="s">
        <v>75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  <c r="Q34" s="81"/>
    </row>
    <row r="35" spans="1:17" ht="38.25" x14ac:dyDescent="0.25">
      <c r="A35" s="28" t="s">
        <v>76</v>
      </c>
      <c r="B35" s="2" t="s">
        <v>77</v>
      </c>
      <c r="C35" s="196" t="s">
        <v>78</v>
      </c>
      <c r="D35" s="197" t="s">
        <v>12</v>
      </c>
      <c r="E35" s="197" t="s">
        <v>13</v>
      </c>
      <c r="F35" s="198">
        <v>774.39</v>
      </c>
      <c r="G35" s="199">
        <v>49.07</v>
      </c>
      <c r="H35" s="8">
        <f t="shared" ref="H35:H46" si="35">G35*$R$9</f>
        <v>62.490645000000001</v>
      </c>
      <c r="I35" s="9">
        <f t="shared" ref="I35" si="36">F35*H35</f>
        <v>48392.130581550002</v>
      </c>
      <c r="J35" s="5"/>
      <c r="K35" s="19">
        <f>'MEMORIA BM 02'!E33</f>
        <v>90.442000000000036</v>
      </c>
      <c r="L35" s="5">
        <f>K35+J35</f>
        <v>90.442000000000036</v>
      </c>
      <c r="M35" s="6">
        <f t="shared" ref="M35" si="37">J35*H35</f>
        <v>0</v>
      </c>
      <c r="N35" s="84">
        <f t="shared" ref="N35" si="38">H35*K35</f>
        <v>5651.7789150900026</v>
      </c>
      <c r="O35" s="6">
        <f>N35+M35</f>
        <v>5651.7789150900026</v>
      </c>
      <c r="P35" s="29">
        <f>I35-O35</f>
        <v>42740.351666460003</v>
      </c>
      <c r="Q35" s="81">
        <f t="shared" si="6"/>
        <v>0.11679128087914363</v>
      </c>
    </row>
    <row r="36" spans="1:17" ht="51" x14ac:dyDescent="0.25">
      <c r="A36" s="28" t="s">
        <v>79</v>
      </c>
      <c r="B36" s="2" t="s">
        <v>80</v>
      </c>
      <c r="C36" s="196" t="s">
        <v>81</v>
      </c>
      <c r="D36" s="197" t="s">
        <v>21</v>
      </c>
      <c r="E36" s="197" t="s">
        <v>48</v>
      </c>
      <c r="F36" s="198">
        <v>13.48</v>
      </c>
      <c r="G36" s="199">
        <v>15.87</v>
      </c>
      <c r="H36" s="8">
        <f t="shared" si="35"/>
        <v>20.210445</v>
      </c>
      <c r="I36" s="9">
        <f t="shared" ref="I36:I44" si="39">F36*H36</f>
        <v>272.43679860000003</v>
      </c>
      <c r="J36" s="5"/>
      <c r="K36" s="19">
        <f>'MEMORIA BM 02'!E34</f>
        <v>0</v>
      </c>
      <c r="L36" s="5">
        <f t="shared" ref="L36:L44" si="40">K36+J36</f>
        <v>0</v>
      </c>
      <c r="M36" s="6">
        <f t="shared" ref="M36:M44" si="41">J36*H36</f>
        <v>0</v>
      </c>
      <c r="N36" s="84">
        <f t="shared" ref="N36:N44" si="42">H36*K36</f>
        <v>0</v>
      </c>
      <c r="O36" s="6">
        <f t="shared" ref="O36:O44" si="43">N36+M36</f>
        <v>0</v>
      </c>
      <c r="P36" s="29">
        <f t="shared" ref="P36:P44" si="44">I36-O36</f>
        <v>272.43679860000003</v>
      </c>
      <c r="Q36" s="81">
        <f t="shared" si="6"/>
        <v>0</v>
      </c>
    </row>
    <row r="37" spans="1:17" ht="51" x14ac:dyDescent="0.25">
      <c r="A37" s="28" t="s">
        <v>82</v>
      </c>
      <c r="B37" s="2" t="s">
        <v>83</v>
      </c>
      <c r="C37" s="196" t="s">
        <v>84</v>
      </c>
      <c r="D37" s="197" t="s">
        <v>21</v>
      </c>
      <c r="E37" s="197" t="s">
        <v>48</v>
      </c>
      <c r="F37" s="198">
        <v>2421.11</v>
      </c>
      <c r="G37" s="199">
        <v>13.56</v>
      </c>
      <c r="H37" s="8">
        <f t="shared" si="35"/>
        <v>17.268660000000001</v>
      </c>
      <c r="I37" s="9">
        <f t="shared" si="39"/>
        <v>41809.325412600003</v>
      </c>
      <c r="J37" s="5"/>
      <c r="K37" s="19">
        <f>F37*0.12</f>
        <v>290.53320000000002</v>
      </c>
      <c r="L37" s="5">
        <f t="shared" si="40"/>
        <v>290.53320000000002</v>
      </c>
      <c r="M37" s="6">
        <f t="shared" si="41"/>
        <v>0</v>
      </c>
      <c r="N37" s="84">
        <f t="shared" si="42"/>
        <v>5017.1190495120009</v>
      </c>
      <c r="O37" s="6">
        <f t="shared" si="43"/>
        <v>5017.1190495120009</v>
      </c>
      <c r="P37" s="29">
        <f t="shared" si="44"/>
        <v>36792.206363088</v>
      </c>
      <c r="Q37" s="81">
        <f t="shared" si="6"/>
        <v>0.12000000000000001</v>
      </c>
    </row>
    <row r="38" spans="1:17" ht="51" x14ac:dyDescent="0.25">
      <c r="A38" s="28" t="s">
        <v>85</v>
      </c>
      <c r="B38" s="2" t="s">
        <v>86</v>
      </c>
      <c r="C38" s="196" t="s">
        <v>87</v>
      </c>
      <c r="D38" s="197" t="s">
        <v>21</v>
      </c>
      <c r="E38" s="197" t="s">
        <v>48</v>
      </c>
      <c r="F38" s="198">
        <v>632.69000000000005</v>
      </c>
      <c r="G38" s="199">
        <v>11.47</v>
      </c>
      <c r="H38" s="8">
        <f t="shared" si="35"/>
        <v>14.607045000000001</v>
      </c>
      <c r="I38" s="9">
        <f t="shared" si="39"/>
        <v>9241.731301050002</v>
      </c>
      <c r="J38" s="5"/>
      <c r="K38" s="19">
        <f>F38*0.12</f>
        <v>75.922800000000009</v>
      </c>
      <c r="L38" s="5">
        <f t="shared" si="40"/>
        <v>75.922800000000009</v>
      </c>
      <c r="M38" s="6">
        <f t="shared" si="41"/>
        <v>0</v>
      </c>
      <c r="N38" s="84">
        <f t="shared" si="42"/>
        <v>1109.0077561260002</v>
      </c>
      <c r="O38" s="6">
        <f t="shared" si="43"/>
        <v>1109.0077561260002</v>
      </c>
      <c r="P38" s="29">
        <f t="shared" si="44"/>
        <v>8132.7235449240015</v>
      </c>
      <c r="Q38" s="81">
        <f t="shared" si="6"/>
        <v>0.12</v>
      </c>
    </row>
    <row r="39" spans="1:17" ht="51" x14ac:dyDescent="0.25">
      <c r="A39" s="28" t="s">
        <v>88</v>
      </c>
      <c r="B39" s="2" t="s">
        <v>89</v>
      </c>
      <c r="C39" s="196" t="s">
        <v>90</v>
      </c>
      <c r="D39" s="197" t="s">
        <v>21</v>
      </c>
      <c r="E39" s="197" t="s">
        <v>48</v>
      </c>
      <c r="F39" s="198">
        <v>729.34</v>
      </c>
      <c r="G39" s="199">
        <v>16.5</v>
      </c>
      <c r="H39" s="8">
        <f t="shared" si="35"/>
        <v>21.01275</v>
      </c>
      <c r="I39" s="9">
        <f t="shared" si="39"/>
        <v>15325.439085000002</v>
      </c>
      <c r="J39" s="5"/>
      <c r="K39" s="19">
        <f>F39*0.12</f>
        <v>87.520799999999994</v>
      </c>
      <c r="L39" s="5">
        <f t="shared" si="40"/>
        <v>87.520799999999994</v>
      </c>
      <c r="M39" s="6">
        <f t="shared" si="41"/>
        <v>0</v>
      </c>
      <c r="N39" s="84">
        <f t="shared" si="42"/>
        <v>1839.0526901999999</v>
      </c>
      <c r="O39" s="6">
        <f t="shared" si="43"/>
        <v>1839.0526901999999</v>
      </c>
      <c r="P39" s="29">
        <f t="shared" si="44"/>
        <v>13486.386394800002</v>
      </c>
      <c r="Q39" s="81">
        <f t="shared" si="6"/>
        <v>0.11999999999999998</v>
      </c>
    </row>
    <row r="40" spans="1:17" ht="51" x14ac:dyDescent="0.25">
      <c r="A40" s="28" t="s">
        <v>91</v>
      </c>
      <c r="B40" s="2" t="s">
        <v>92</v>
      </c>
      <c r="C40" s="87" t="s">
        <v>93</v>
      </c>
      <c r="D40" s="2" t="s">
        <v>21</v>
      </c>
      <c r="E40" s="2" t="s">
        <v>31</v>
      </c>
      <c r="F40" s="7">
        <v>39.65</v>
      </c>
      <c r="G40" s="8">
        <v>298.27999999999997</v>
      </c>
      <c r="H40" s="8">
        <f t="shared" si="35"/>
        <v>379.85957999999999</v>
      </c>
      <c r="I40" s="9">
        <f t="shared" si="39"/>
        <v>15061.432347</v>
      </c>
      <c r="J40" s="5"/>
      <c r="K40" s="19">
        <f>F40*0.12</f>
        <v>4.758</v>
      </c>
      <c r="L40" s="5">
        <f t="shared" si="40"/>
        <v>4.758</v>
      </c>
      <c r="M40" s="6">
        <f t="shared" si="41"/>
        <v>0</v>
      </c>
      <c r="N40" s="84">
        <f t="shared" si="42"/>
        <v>1807.3718816400001</v>
      </c>
      <c r="O40" s="6">
        <f t="shared" si="43"/>
        <v>1807.3718816400001</v>
      </c>
      <c r="P40" s="29">
        <f t="shared" si="44"/>
        <v>13254.06046536</v>
      </c>
      <c r="Q40" s="81">
        <f t="shared" si="6"/>
        <v>0.12000000000000001</v>
      </c>
    </row>
    <row r="41" spans="1:17" ht="38.25" x14ac:dyDescent="0.25">
      <c r="A41" s="28" t="s">
        <v>94</v>
      </c>
      <c r="B41" s="2" t="s">
        <v>62</v>
      </c>
      <c r="C41" s="87" t="s">
        <v>63</v>
      </c>
      <c r="D41" s="2" t="s">
        <v>21</v>
      </c>
      <c r="E41" s="2" t="s">
        <v>31</v>
      </c>
      <c r="F41" s="7">
        <v>39.65</v>
      </c>
      <c r="G41" s="8">
        <v>23.69</v>
      </c>
      <c r="H41" s="8">
        <f t="shared" si="35"/>
        <v>30.169215000000005</v>
      </c>
      <c r="I41" s="9">
        <f t="shared" si="39"/>
        <v>1196.2093747500001</v>
      </c>
      <c r="J41" s="5"/>
      <c r="K41" s="19">
        <f>K40</f>
        <v>4.758</v>
      </c>
      <c r="L41" s="5">
        <f t="shared" si="40"/>
        <v>4.758</v>
      </c>
      <c r="M41" s="6">
        <f t="shared" si="41"/>
        <v>0</v>
      </c>
      <c r="N41" s="84">
        <f t="shared" si="42"/>
        <v>143.54512497000002</v>
      </c>
      <c r="O41" s="6">
        <f t="shared" si="43"/>
        <v>143.54512497000002</v>
      </c>
      <c r="P41" s="29">
        <f t="shared" si="44"/>
        <v>1052.6642497800001</v>
      </c>
      <c r="Q41" s="81">
        <f t="shared" si="6"/>
        <v>0.12000000000000001</v>
      </c>
    </row>
    <row r="42" spans="1:17" ht="51" x14ac:dyDescent="0.25">
      <c r="A42" s="28" t="s">
        <v>95</v>
      </c>
      <c r="B42" s="2" t="s">
        <v>96</v>
      </c>
      <c r="C42" s="87" t="s">
        <v>97</v>
      </c>
      <c r="D42" s="2" t="s">
        <v>21</v>
      </c>
      <c r="E42" s="2" t="s">
        <v>69</v>
      </c>
      <c r="F42" s="7">
        <v>111.31</v>
      </c>
      <c r="G42" s="8">
        <v>129.72</v>
      </c>
      <c r="H42" s="8">
        <f t="shared" si="35"/>
        <v>165.19842</v>
      </c>
      <c r="I42" s="9">
        <f t="shared" si="39"/>
        <v>18388.236130199999</v>
      </c>
      <c r="J42" s="5"/>
      <c r="K42" s="19">
        <f>'MEMORIA BM 02'!E40</f>
        <v>0</v>
      </c>
      <c r="L42" s="5">
        <f t="shared" si="40"/>
        <v>0</v>
      </c>
      <c r="M42" s="6">
        <f t="shared" si="41"/>
        <v>0</v>
      </c>
      <c r="N42" s="84">
        <f t="shared" si="42"/>
        <v>0</v>
      </c>
      <c r="O42" s="6">
        <f t="shared" si="43"/>
        <v>0</v>
      </c>
      <c r="P42" s="29">
        <f t="shared" si="44"/>
        <v>18388.236130199999</v>
      </c>
      <c r="Q42" s="81">
        <f t="shared" si="6"/>
        <v>0</v>
      </c>
    </row>
    <row r="43" spans="1:17" ht="25.5" x14ac:dyDescent="0.25">
      <c r="A43" s="28" t="s">
        <v>98</v>
      </c>
      <c r="B43" s="2" t="s">
        <v>99</v>
      </c>
      <c r="C43" s="87" t="s">
        <v>100</v>
      </c>
      <c r="D43" s="2" t="s">
        <v>21</v>
      </c>
      <c r="E43" s="2" t="s">
        <v>22</v>
      </c>
      <c r="F43" s="7">
        <v>25</v>
      </c>
      <c r="G43" s="8">
        <v>25.84</v>
      </c>
      <c r="H43" s="8">
        <f t="shared" si="35"/>
        <v>32.907240000000002</v>
      </c>
      <c r="I43" s="9">
        <f t="shared" si="39"/>
        <v>822.68100000000004</v>
      </c>
      <c r="J43" s="5"/>
      <c r="K43" s="19">
        <f>'MEMORIA BM 02'!E41</f>
        <v>0</v>
      </c>
      <c r="L43" s="5">
        <f t="shared" si="40"/>
        <v>0</v>
      </c>
      <c r="M43" s="6">
        <f t="shared" si="41"/>
        <v>0</v>
      </c>
      <c r="N43" s="84">
        <f t="shared" si="42"/>
        <v>0</v>
      </c>
      <c r="O43" s="6">
        <f t="shared" si="43"/>
        <v>0</v>
      </c>
      <c r="P43" s="29">
        <f t="shared" si="44"/>
        <v>822.68100000000004</v>
      </c>
      <c r="Q43" s="81">
        <f t="shared" si="6"/>
        <v>0</v>
      </c>
    </row>
    <row r="44" spans="1:17" ht="25.5" x14ac:dyDescent="0.25">
      <c r="A44" s="28" t="s">
        <v>101</v>
      </c>
      <c r="B44" s="2" t="s">
        <v>102</v>
      </c>
      <c r="C44" s="87" t="s">
        <v>103</v>
      </c>
      <c r="D44" s="2" t="s">
        <v>21</v>
      </c>
      <c r="E44" s="2" t="s">
        <v>22</v>
      </c>
      <c r="F44" s="7">
        <v>101.6</v>
      </c>
      <c r="G44" s="8">
        <v>35.19</v>
      </c>
      <c r="H44" s="8">
        <f t="shared" si="35"/>
        <v>44.814464999999998</v>
      </c>
      <c r="I44" s="9">
        <f t="shared" si="39"/>
        <v>4553.1496439999992</v>
      </c>
      <c r="J44" s="5"/>
      <c r="K44" s="19">
        <f>'MEMORIA BM 02'!E42</f>
        <v>0</v>
      </c>
      <c r="L44" s="5">
        <f t="shared" si="40"/>
        <v>0</v>
      </c>
      <c r="M44" s="6">
        <f t="shared" si="41"/>
        <v>0</v>
      </c>
      <c r="N44" s="84">
        <f t="shared" si="42"/>
        <v>0</v>
      </c>
      <c r="O44" s="6">
        <f t="shared" si="43"/>
        <v>0</v>
      </c>
      <c r="P44" s="29">
        <f t="shared" si="44"/>
        <v>4553.1496439999992</v>
      </c>
      <c r="Q44" s="81">
        <f t="shared" si="6"/>
        <v>0</v>
      </c>
    </row>
    <row r="45" spans="1:17" ht="20.100000000000001" customHeight="1" x14ac:dyDescent="0.25">
      <c r="A45" s="27" t="s">
        <v>104</v>
      </c>
      <c r="B45" s="101" t="s">
        <v>105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2"/>
      <c r="Q45" s="81"/>
    </row>
    <row r="46" spans="1:17" ht="51" x14ac:dyDescent="0.25">
      <c r="A46" s="28" t="s">
        <v>106</v>
      </c>
      <c r="B46" s="2" t="s">
        <v>107</v>
      </c>
      <c r="C46" s="87" t="s">
        <v>108</v>
      </c>
      <c r="D46" s="2" t="s">
        <v>12</v>
      </c>
      <c r="E46" s="2" t="s">
        <v>13</v>
      </c>
      <c r="F46" s="7">
        <v>382.72</v>
      </c>
      <c r="G46" s="8">
        <v>159.99</v>
      </c>
      <c r="H46" s="8">
        <f t="shared" si="35"/>
        <v>203.74726500000003</v>
      </c>
      <c r="I46" s="9">
        <f t="shared" ref="I46" si="45">F46*H46</f>
        <v>77978.153260800013</v>
      </c>
      <c r="J46" s="5">
        <v>375.25</v>
      </c>
      <c r="K46" s="5"/>
      <c r="L46" s="5">
        <f t="shared" ref="L46" si="46">K46+J46</f>
        <v>375.25</v>
      </c>
      <c r="M46" s="6">
        <f t="shared" ref="M46" si="47">J46*H46</f>
        <v>76456.161191250008</v>
      </c>
      <c r="N46" s="84">
        <f t="shared" ref="N46" si="48">H46*K46</f>
        <v>0</v>
      </c>
      <c r="O46" s="6">
        <f t="shared" ref="O46" si="49">N46+M46</f>
        <v>76456.161191250008</v>
      </c>
      <c r="P46" s="29">
        <f t="shared" ref="P46:P47" si="50">I46-O46</f>
        <v>1521.9920695500041</v>
      </c>
      <c r="Q46" s="81">
        <f t="shared" si="6"/>
        <v>0.9804818143812708</v>
      </c>
    </row>
    <row r="47" spans="1:17" x14ac:dyDescent="0.25">
      <c r="A47" s="30"/>
      <c r="B47" s="3"/>
      <c r="C47" s="88"/>
      <c r="D47" s="3"/>
      <c r="E47" s="3"/>
      <c r="F47" s="10"/>
      <c r="G47" s="11"/>
      <c r="H47" s="11"/>
      <c r="I47" s="12">
        <f>SUM(I35:I46)</f>
        <v>233040.92493555002</v>
      </c>
      <c r="J47" s="13"/>
      <c r="K47" s="13"/>
      <c r="L47" s="13"/>
      <c r="M47" s="12">
        <f>SUM(M35:M46)</f>
        <v>76456.161191250008</v>
      </c>
      <c r="N47" s="12">
        <f>SUM(N35:N46)</f>
        <v>15567.875417538004</v>
      </c>
      <c r="O47" s="12">
        <f>SUM(O35:O46)</f>
        <v>92024.03660878801</v>
      </c>
      <c r="P47" s="31">
        <f t="shared" si="50"/>
        <v>141016.88832676201</v>
      </c>
      <c r="Q47" s="81">
        <f t="shared" si="6"/>
        <v>0.39488358808324436</v>
      </c>
    </row>
    <row r="48" spans="1:17" ht="20.100000000000001" customHeight="1" x14ac:dyDescent="0.25">
      <c r="A48" s="27" t="s">
        <v>109</v>
      </c>
      <c r="B48" s="101" t="s">
        <v>110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2"/>
      <c r="Q48" s="81"/>
    </row>
    <row r="49" spans="1:17" ht="38.25" x14ac:dyDescent="0.25">
      <c r="A49" s="28" t="s">
        <v>111</v>
      </c>
      <c r="B49" s="2" t="s">
        <v>112</v>
      </c>
      <c r="C49" s="87" t="s">
        <v>113</v>
      </c>
      <c r="D49" s="2" t="s">
        <v>21</v>
      </c>
      <c r="E49" s="2" t="s">
        <v>69</v>
      </c>
      <c r="F49" s="7">
        <v>876.48</v>
      </c>
      <c r="G49" s="8">
        <v>25.58</v>
      </c>
      <c r="H49" s="8">
        <f t="shared" ref="H49:H58" si="51">G49*$R$9</f>
        <v>32.576129999999999</v>
      </c>
      <c r="I49" s="9">
        <f t="shared" ref="I49" si="52">F49*H49</f>
        <v>28552.326422400001</v>
      </c>
      <c r="J49" s="5"/>
      <c r="K49" s="5"/>
      <c r="L49" s="5">
        <f t="shared" ref="L49" si="53">K49+J49</f>
        <v>0</v>
      </c>
      <c r="M49" s="6">
        <f t="shared" ref="M49" si="54">J49*H49</f>
        <v>0</v>
      </c>
      <c r="N49" s="84">
        <f t="shared" ref="N49" si="55">H49*K49</f>
        <v>0</v>
      </c>
      <c r="O49" s="6">
        <f t="shared" ref="O49" si="56">N49+M49</f>
        <v>0</v>
      </c>
      <c r="P49" s="29">
        <f t="shared" ref="P49" si="57">I49-O49</f>
        <v>28552.326422400001</v>
      </c>
      <c r="Q49" s="81">
        <f t="shared" si="6"/>
        <v>0</v>
      </c>
    </row>
    <row r="50" spans="1:17" ht="51" x14ac:dyDescent="0.25">
      <c r="A50" s="28" t="s">
        <v>114</v>
      </c>
      <c r="B50" s="2" t="s">
        <v>115</v>
      </c>
      <c r="C50" s="87" t="s">
        <v>116</v>
      </c>
      <c r="D50" s="2" t="s">
        <v>21</v>
      </c>
      <c r="E50" s="2" t="s">
        <v>117</v>
      </c>
      <c r="F50" s="7">
        <v>18</v>
      </c>
      <c r="G50" s="8">
        <v>1497.33</v>
      </c>
      <c r="H50" s="8">
        <f t="shared" si="51"/>
        <v>1906.849755</v>
      </c>
      <c r="I50" s="9">
        <f t="shared" ref="I50:I58" si="58">F50*H50</f>
        <v>34323.295590000002</v>
      </c>
      <c r="J50" s="5"/>
      <c r="K50" s="5"/>
      <c r="L50" s="5">
        <f t="shared" ref="L50:L58" si="59">K50+J50</f>
        <v>0</v>
      </c>
      <c r="M50" s="6">
        <f t="shared" ref="M50:M58" si="60">J50*H50</f>
        <v>0</v>
      </c>
      <c r="N50" s="84">
        <f t="shared" ref="N50:N58" si="61">H50*K50</f>
        <v>0</v>
      </c>
      <c r="O50" s="6">
        <f t="shared" ref="O50:O58" si="62">N50+M50</f>
        <v>0</v>
      </c>
      <c r="P50" s="29">
        <f t="shared" ref="P50:P59" si="63">I50-O50</f>
        <v>34323.295590000002</v>
      </c>
      <c r="Q50" s="81">
        <f t="shared" si="6"/>
        <v>0</v>
      </c>
    </row>
    <row r="51" spans="1:17" ht="51" x14ac:dyDescent="0.25">
      <c r="A51" s="28" t="s">
        <v>118</v>
      </c>
      <c r="B51" s="2" t="s">
        <v>119</v>
      </c>
      <c r="C51" s="87" t="s">
        <v>120</v>
      </c>
      <c r="D51" s="2" t="s">
        <v>21</v>
      </c>
      <c r="E51" s="2" t="s">
        <v>117</v>
      </c>
      <c r="F51" s="7">
        <v>4</v>
      </c>
      <c r="G51" s="8">
        <v>1692.77</v>
      </c>
      <c r="H51" s="8">
        <f t="shared" si="51"/>
        <v>2155.7425950000002</v>
      </c>
      <c r="I51" s="9">
        <f t="shared" si="58"/>
        <v>8622.9703800000007</v>
      </c>
      <c r="J51" s="5"/>
      <c r="K51" s="5"/>
      <c r="L51" s="5">
        <f t="shared" si="59"/>
        <v>0</v>
      </c>
      <c r="M51" s="6">
        <f t="shared" si="60"/>
        <v>0</v>
      </c>
      <c r="N51" s="84">
        <f t="shared" si="61"/>
        <v>0</v>
      </c>
      <c r="O51" s="6">
        <f t="shared" si="62"/>
        <v>0</v>
      </c>
      <c r="P51" s="29">
        <f t="shared" si="63"/>
        <v>8622.9703800000007</v>
      </c>
      <c r="Q51" s="81">
        <f t="shared" si="6"/>
        <v>0</v>
      </c>
    </row>
    <row r="52" spans="1:17" ht="51" x14ac:dyDescent="0.25">
      <c r="A52" s="28" t="s">
        <v>121</v>
      </c>
      <c r="B52" s="2" t="s">
        <v>122</v>
      </c>
      <c r="C52" s="87" t="s">
        <v>123</v>
      </c>
      <c r="D52" s="2" t="s">
        <v>21</v>
      </c>
      <c r="E52" s="2" t="s">
        <v>22</v>
      </c>
      <c r="F52" s="7">
        <v>98.35</v>
      </c>
      <c r="G52" s="8">
        <v>14.4</v>
      </c>
      <c r="H52" s="8">
        <f t="shared" si="51"/>
        <v>18.3384</v>
      </c>
      <c r="I52" s="9">
        <f t="shared" si="58"/>
        <v>1803.5816399999999</v>
      </c>
      <c r="J52" s="5"/>
      <c r="K52" s="5"/>
      <c r="L52" s="5">
        <f t="shared" si="59"/>
        <v>0</v>
      </c>
      <c r="M52" s="6">
        <f t="shared" si="60"/>
        <v>0</v>
      </c>
      <c r="N52" s="84">
        <f t="shared" si="61"/>
        <v>0</v>
      </c>
      <c r="O52" s="6">
        <f t="shared" si="62"/>
        <v>0</v>
      </c>
      <c r="P52" s="29">
        <f t="shared" si="63"/>
        <v>1803.5816399999999</v>
      </c>
      <c r="Q52" s="81">
        <f t="shared" si="6"/>
        <v>0</v>
      </c>
    </row>
    <row r="53" spans="1:17" ht="63.75" x14ac:dyDescent="0.25">
      <c r="A53" s="28" t="s">
        <v>124</v>
      </c>
      <c r="B53" s="2" t="s">
        <v>125</v>
      </c>
      <c r="C53" s="87" t="s">
        <v>126</v>
      </c>
      <c r="D53" s="2" t="s">
        <v>21</v>
      </c>
      <c r="E53" s="2" t="s">
        <v>69</v>
      </c>
      <c r="F53" s="7">
        <v>876.48</v>
      </c>
      <c r="G53" s="8">
        <v>50.08</v>
      </c>
      <c r="H53" s="8">
        <f t="shared" si="51"/>
        <v>63.776879999999998</v>
      </c>
      <c r="I53" s="9">
        <f t="shared" si="58"/>
        <v>55899.159782399998</v>
      </c>
      <c r="J53" s="5"/>
      <c r="K53" s="5"/>
      <c r="L53" s="5">
        <f t="shared" si="59"/>
        <v>0</v>
      </c>
      <c r="M53" s="6">
        <f t="shared" si="60"/>
        <v>0</v>
      </c>
      <c r="N53" s="84">
        <f t="shared" si="61"/>
        <v>0</v>
      </c>
      <c r="O53" s="6">
        <f t="shared" si="62"/>
        <v>0</v>
      </c>
      <c r="P53" s="29">
        <f t="shared" si="63"/>
        <v>55899.159782399998</v>
      </c>
      <c r="Q53" s="81">
        <f t="shared" si="6"/>
        <v>0</v>
      </c>
    </row>
    <row r="54" spans="1:17" ht="25.5" x14ac:dyDescent="0.25">
      <c r="A54" s="28" t="s">
        <v>127</v>
      </c>
      <c r="B54" s="2" t="s">
        <v>128</v>
      </c>
      <c r="C54" s="87" t="s">
        <v>129</v>
      </c>
      <c r="D54" s="2" t="s">
        <v>21</v>
      </c>
      <c r="E54" s="2" t="s">
        <v>69</v>
      </c>
      <c r="F54" s="7">
        <v>653.14</v>
      </c>
      <c r="G54" s="8">
        <v>27.72</v>
      </c>
      <c r="H54" s="8">
        <f t="shared" si="51"/>
        <v>35.30142</v>
      </c>
      <c r="I54" s="9">
        <f t="shared" si="58"/>
        <v>23056.769458800001</v>
      </c>
      <c r="J54" s="5"/>
      <c r="K54" s="5"/>
      <c r="L54" s="5">
        <f t="shared" si="59"/>
        <v>0</v>
      </c>
      <c r="M54" s="6">
        <f t="shared" si="60"/>
        <v>0</v>
      </c>
      <c r="N54" s="84">
        <f t="shared" si="61"/>
        <v>0</v>
      </c>
      <c r="O54" s="6">
        <f t="shared" si="62"/>
        <v>0</v>
      </c>
      <c r="P54" s="29">
        <f t="shared" si="63"/>
        <v>23056.769458800001</v>
      </c>
      <c r="Q54" s="81">
        <f t="shared" si="6"/>
        <v>0</v>
      </c>
    </row>
    <row r="55" spans="1:17" ht="25.5" x14ac:dyDescent="0.25">
      <c r="A55" s="28" t="s">
        <v>130</v>
      </c>
      <c r="B55" s="2" t="s">
        <v>131</v>
      </c>
      <c r="C55" s="87" t="s">
        <v>132</v>
      </c>
      <c r="D55" s="2" t="s">
        <v>12</v>
      </c>
      <c r="E55" s="2" t="s">
        <v>133</v>
      </c>
      <c r="F55" s="7">
        <v>91.65</v>
      </c>
      <c r="G55" s="8">
        <v>54.54</v>
      </c>
      <c r="H55" s="8">
        <f t="shared" si="51"/>
        <v>69.456690000000009</v>
      </c>
      <c r="I55" s="9">
        <f t="shared" si="58"/>
        <v>6365.7056385000014</v>
      </c>
      <c r="J55" s="5"/>
      <c r="K55" s="5"/>
      <c r="L55" s="5">
        <f t="shared" si="59"/>
        <v>0</v>
      </c>
      <c r="M55" s="6">
        <f t="shared" si="60"/>
        <v>0</v>
      </c>
      <c r="N55" s="84">
        <f t="shared" si="61"/>
        <v>0</v>
      </c>
      <c r="O55" s="6">
        <f t="shared" si="62"/>
        <v>0</v>
      </c>
      <c r="P55" s="29">
        <f t="shared" si="63"/>
        <v>6365.7056385000014</v>
      </c>
      <c r="Q55" s="81">
        <f t="shared" si="6"/>
        <v>0</v>
      </c>
    </row>
    <row r="56" spans="1:17" ht="38.25" x14ac:dyDescent="0.25">
      <c r="A56" s="28" t="s">
        <v>134</v>
      </c>
      <c r="B56" s="2" t="s">
        <v>135</v>
      </c>
      <c r="C56" s="87" t="s">
        <v>136</v>
      </c>
      <c r="D56" s="2" t="s">
        <v>21</v>
      </c>
      <c r="E56" s="2" t="s">
        <v>22</v>
      </c>
      <c r="F56" s="7">
        <v>178.01</v>
      </c>
      <c r="G56" s="8">
        <v>70.53</v>
      </c>
      <c r="H56" s="8">
        <f t="shared" si="51"/>
        <v>89.819955000000007</v>
      </c>
      <c r="I56" s="9">
        <f t="shared" si="58"/>
        <v>15988.850189550001</v>
      </c>
      <c r="J56" s="5"/>
      <c r="K56" s="5"/>
      <c r="L56" s="5">
        <f t="shared" si="59"/>
        <v>0</v>
      </c>
      <c r="M56" s="6">
        <f t="shared" si="60"/>
        <v>0</v>
      </c>
      <c r="N56" s="84">
        <f t="shared" si="61"/>
        <v>0</v>
      </c>
      <c r="O56" s="6">
        <f t="shared" si="62"/>
        <v>0</v>
      </c>
      <c r="P56" s="29">
        <f t="shared" si="63"/>
        <v>15988.850189550001</v>
      </c>
      <c r="Q56" s="81">
        <f t="shared" si="6"/>
        <v>0</v>
      </c>
    </row>
    <row r="57" spans="1:17" ht="38.25" x14ac:dyDescent="0.25">
      <c r="A57" s="28" t="s">
        <v>137</v>
      </c>
      <c r="B57" s="2" t="s">
        <v>138</v>
      </c>
      <c r="C57" s="87" t="s">
        <v>139</v>
      </c>
      <c r="D57" s="2" t="s">
        <v>21</v>
      </c>
      <c r="E57" s="2" t="s">
        <v>22</v>
      </c>
      <c r="F57" s="7">
        <v>72</v>
      </c>
      <c r="G57" s="8">
        <v>22.25</v>
      </c>
      <c r="H57" s="8">
        <f t="shared" si="51"/>
        <v>28.335375000000003</v>
      </c>
      <c r="I57" s="9">
        <f t="shared" si="58"/>
        <v>2040.1470000000002</v>
      </c>
      <c r="J57" s="5"/>
      <c r="K57" s="5"/>
      <c r="L57" s="5">
        <f t="shared" si="59"/>
        <v>0</v>
      </c>
      <c r="M57" s="6">
        <f t="shared" si="60"/>
        <v>0</v>
      </c>
      <c r="N57" s="84">
        <f t="shared" si="61"/>
        <v>0</v>
      </c>
      <c r="O57" s="6">
        <f t="shared" si="62"/>
        <v>0</v>
      </c>
      <c r="P57" s="29">
        <f t="shared" si="63"/>
        <v>2040.1470000000002</v>
      </c>
      <c r="Q57" s="81">
        <f t="shared" si="6"/>
        <v>0</v>
      </c>
    </row>
    <row r="58" spans="1:17" ht="38.25" x14ac:dyDescent="0.25">
      <c r="A58" s="28" t="s">
        <v>140</v>
      </c>
      <c r="B58" s="2" t="s">
        <v>141</v>
      </c>
      <c r="C58" s="87" t="s">
        <v>142</v>
      </c>
      <c r="D58" s="2" t="s">
        <v>21</v>
      </c>
      <c r="E58" s="2" t="s">
        <v>22</v>
      </c>
      <c r="F58" s="7">
        <v>24</v>
      </c>
      <c r="G58" s="8">
        <v>52.83</v>
      </c>
      <c r="H58" s="8">
        <f t="shared" si="51"/>
        <v>67.279004999999998</v>
      </c>
      <c r="I58" s="9">
        <f t="shared" si="58"/>
        <v>1614.6961200000001</v>
      </c>
      <c r="J58" s="5"/>
      <c r="K58" s="5"/>
      <c r="L58" s="5">
        <f t="shared" si="59"/>
        <v>0</v>
      </c>
      <c r="M58" s="6">
        <f t="shared" si="60"/>
        <v>0</v>
      </c>
      <c r="N58" s="84">
        <f t="shared" si="61"/>
        <v>0</v>
      </c>
      <c r="O58" s="6">
        <f t="shared" si="62"/>
        <v>0</v>
      </c>
      <c r="P58" s="29">
        <f t="shared" si="63"/>
        <v>1614.6961200000001</v>
      </c>
      <c r="Q58" s="81">
        <f t="shared" si="6"/>
        <v>0</v>
      </c>
    </row>
    <row r="59" spans="1:17" x14ac:dyDescent="0.25">
      <c r="A59" s="30"/>
      <c r="B59" s="3"/>
      <c r="C59" s="88"/>
      <c r="D59" s="3"/>
      <c r="E59" s="3"/>
      <c r="F59" s="10"/>
      <c r="G59" s="11"/>
      <c r="H59" s="11"/>
      <c r="I59" s="12">
        <f>SUM(I49:I58)</f>
        <v>178267.50222165001</v>
      </c>
      <c r="J59" s="13"/>
      <c r="K59" s="13"/>
      <c r="L59" s="13"/>
      <c r="M59" s="12">
        <f>SUM(M49:M58)</f>
        <v>0</v>
      </c>
      <c r="N59" s="12">
        <f>SUM(N49:N58)</f>
        <v>0</v>
      </c>
      <c r="O59" s="12">
        <f>SUM(O49:O58)</f>
        <v>0</v>
      </c>
      <c r="P59" s="31">
        <f t="shared" si="63"/>
        <v>178267.50222165001</v>
      </c>
      <c r="Q59" s="81">
        <f t="shared" si="6"/>
        <v>0</v>
      </c>
    </row>
    <row r="60" spans="1:17" ht="20.100000000000001" customHeight="1" x14ac:dyDescent="0.25">
      <c r="A60" s="27" t="s">
        <v>143</v>
      </c>
      <c r="B60" s="101" t="s">
        <v>144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2"/>
      <c r="Q60" s="81"/>
    </row>
    <row r="61" spans="1:17" ht="38.25" x14ac:dyDescent="0.25">
      <c r="A61" s="28" t="s">
        <v>145</v>
      </c>
      <c r="B61" s="2" t="s">
        <v>146</v>
      </c>
      <c r="C61" s="87" t="s">
        <v>147</v>
      </c>
      <c r="D61" s="2" t="s">
        <v>21</v>
      </c>
      <c r="E61" s="2" t="s">
        <v>69</v>
      </c>
      <c r="F61" s="7">
        <v>944.79</v>
      </c>
      <c r="G61" s="8">
        <v>19.420000000000002</v>
      </c>
      <c r="H61" s="8">
        <f t="shared" ref="H61:H68" si="64">G61*$R$9</f>
        <v>24.731370000000005</v>
      </c>
      <c r="I61" s="9">
        <f t="shared" ref="I61" si="65">F61*H61</f>
        <v>23365.951062300006</v>
      </c>
      <c r="J61" s="5"/>
      <c r="K61" s="5"/>
      <c r="L61" s="5">
        <f t="shared" ref="L61" si="66">K61+J61</f>
        <v>0</v>
      </c>
      <c r="M61" s="6">
        <f t="shared" ref="M61" si="67">J61*H61</f>
        <v>0</v>
      </c>
      <c r="N61" s="84">
        <f t="shared" ref="N61" si="68">H61*K61</f>
        <v>0</v>
      </c>
      <c r="O61" s="6">
        <f t="shared" ref="O61" si="69">N61+M61</f>
        <v>0</v>
      </c>
      <c r="P61" s="29">
        <f t="shared" ref="P61" si="70">I61-O61</f>
        <v>23365.951062300006</v>
      </c>
      <c r="Q61" s="81">
        <f t="shared" si="6"/>
        <v>0</v>
      </c>
    </row>
    <row r="62" spans="1:17" ht="51" customHeight="1" x14ac:dyDescent="0.25">
      <c r="A62" s="28" t="s">
        <v>148</v>
      </c>
      <c r="B62" s="2" t="s">
        <v>149</v>
      </c>
      <c r="C62" s="87" t="s">
        <v>150</v>
      </c>
      <c r="D62" s="2" t="s">
        <v>12</v>
      </c>
      <c r="E62" s="2" t="s">
        <v>13</v>
      </c>
      <c r="F62" s="7">
        <v>944.79</v>
      </c>
      <c r="G62" s="8">
        <v>29.29</v>
      </c>
      <c r="H62" s="8">
        <f t="shared" si="64"/>
        <v>37.300815</v>
      </c>
      <c r="I62" s="9">
        <f t="shared" ref="I62:I68" si="71">F62*H62</f>
        <v>35241.437003849998</v>
      </c>
      <c r="J62" s="5"/>
      <c r="K62" s="5"/>
      <c r="L62" s="5">
        <f t="shared" ref="L62:L68" si="72">K62+J62</f>
        <v>0</v>
      </c>
      <c r="M62" s="6">
        <f t="shared" ref="M62:M68" si="73">J62*H62</f>
        <v>0</v>
      </c>
      <c r="N62" s="84">
        <f t="shared" ref="N62:N68" si="74">H62*K62</f>
        <v>0</v>
      </c>
      <c r="O62" s="6">
        <f t="shared" ref="O62:O68" si="75">N62+M62</f>
        <v>0</v>
      </c>
      <c r="P62" s="29">
        <f t="shared" ref="P62:P69" si="76">I62-O62</f>
        <v>35241.437003849998</v>
      </c>
      <c r="Q62" s="81">
        <f t="shared" si="6"/>
        <v>0</v>
      </c>
    </row>
    <row r="63" spans="1:17" ht="51" x14ac:dyDescent="0.25">
      <c r="A63" s="28" t="s">
        <v>151</v>
      </c>
      <c r="B63" s="2" t="s">
        <v>152</v>
      </c>
      <c r="C63" s="87" t="s">
        <v>153</v>
      </c>
      <c r="D63" s="2" t="s">
        <v>21</v>
      </c>
      <c r="E63" s="2" t="s">
        <v>69</v>
      </c>
      <c r="F63" s="7">
        <v>944.79</v>
      </c>
      <c r="G63" s="8">
        <v>27.26</v>
      </c>
      <c r="H63" s="8">
        <f t="shared" si="64"/>
        <v>34.715610000000005</v>
      </c>
      <c r="I63" s="9">
        <f t="shared" si="71"/>
        <v>32798.961171900002</v>
      </c>
      <c r="J63" s="5"/>
      <c r="K63" s="5"/>
      <c r="L63" s="5">
        <f t="shared" si="72"/>
        <v>0</v>
      </c>
      <c r="M63" s="6">
        <f t="shared" si="73"/>
        <v>0</v>
      </c>
      <c r="N63" s="84">
        <f t="shared" si="74"/>
        <v>0</v>
      </c>
      <c r="O63" s="6">
        <f t="shared" si="75"/>
        <v>0</v>
      </c>
      <c r="P63" s="29">
        <f t="shared" si="76"/>
        <v>32798.961171900002</v>
      </c>
      <c r="Q63" s="81">
        <f t="shared" si="6"/>
        <v>0</v>
      </c>
    </row>
    <row r="64" spans="1:17" ht="38.25" x14ac:dyDescent="0.25">
      <c r="A64" s="28" t="s">
        <v>154</v>
      </c>
      <c r="B64" s="2" t="s">
        <v>155</v>
      </c>
      <c r="C64" s="87" t="s">
        <v>156</v>
      </c>
      <c r="D64" s="2" t="s">
        <v>21</v>
      </c>
      <c r="E64" s="2" t="s">
        <v>31</v>
      </c>
      <c r="F64" s="7">
        <v>72.84</v>
      </c>
      <c r="G64" s="8">
        <v>101.84</v>
      </c>
      <c r="H64" s="8">
        <f t="shared" si="64"/>
        <v>129.69324</v>
      </c>
      <c r="I64" s="9">
        <f t="shared" si="71"/>
        <v>9446.8556016000002</v>
      </c>
      <c r="J64" s="5"/>
      <c r="K64" s="5"/>
      <c r="L64" s="5">
        <f t="shared" si="72"/>
        <v>0</v>
      </c>
      <c r="M64" s="6">
        <f t="shared" si="73"/>
        <v>0</v>
      </c>
      <c r="N64" s="84">
        <f t="shared" si="74"/>
        <v>0</v>
      </c>
      <c r="O64" s="6">
        <f t="shared" si="75"/>
        <v>0</v>
      </c>
      <c r="P64" s="29">
        <f t="shared" si="76"/>
        <v>9446.8556016000002</v>
      </c>
      <c r="Q64" s="81">
        <f t="shared" si="6"/>
        <v>0</v>
      </c>
    </row>
    <row r="65" spans="1:17" ht="76.5" x14ac:dyDescent="0.25">
      <c r="A65" s="28" t="s">
        <v>157</v>
      </c>
      <c r="B65" s="2" t="s">
        <v>158</v>
      </c>
      <c r="C65" s="87" t="s">
        <v>159</v>
      </c>
      <c r="D65" s="2" t="s">
        <v>21</v>
      </c>
      <c r="E65" s="2" t="s">
        <v>22</v>
      </c>
      <c r="F65" s="7">
        <v>46.2</v>
      </c>
      <c r="G65" s="8">
        <v>40.869999999999997</v>
      </c>
      <c r="H65" s="8">
        <f t="shared" si="64"/>
        <v>52.047944999999999</v>
      </c>
      <c r="I65" s="9">
        <f t="shared" si="71"/>
        <v>2404.6150590000002</v>
      </c>
      <c r="J65" s="5"/>
      <c r="K65" s="5"/>
      <c r="L65" s="5">
        <f t="shared" si="72"/>
        <v>0</v>
      </c>
      <c r="M65" s="6">
        <f t="shared" si="73"/>
        <v>0</v>
      </c>
      <c r="N65" s="84">
        <f t="shared" si="74"/>
        <v>0</v>
      </c>
      <c r="O65" s="6">
        <f t="shared" si="75"/>
        <v>0</v>
      </c>
      <c r="P65" s="29">
        <f t="shared" si="76"/>
        <v>2404.6150590000002</v>
      </c>
      <c r="Q65" s="81">
        <f t="shared" si="6"/>
        <v>0</v>
      </c>
    </row>
    <row r="66" spans="1:17" x14ac:dyDescent="0.25">
      <c r="A66" s="28" t="s">
        <v>160</v>
      </c>
      <c r="B66" s="2" t="s">
        <v>161</v>
      </c>
      <c r="C66" s="87" t="s">
        <v>162</v>
      </c>
      <c r="D66" s="2" t="s">
        <v>21</v>
      </c>
      <c r="E66" s="2" t="s">
        <v>22</v>
      </c>
      <c r="F66" s="7">
        <v>436.36</v>
      </c>
      <c r="G66" s="8">
        <v>15.03</v>
      </c>
      <c r="H66" s="8">
        <f t="shared" si="64"/>
        <v>19.140705000000001</v>
      </c>
      <c r="I66" s="9">
        <f t="shared" si="71"/>
        <v>8352.2380338000003</v>
      </c>
      <c r="J66" s="5"/>
      <c r="K66" s="5"/>
      <c r="L66" s="5">
        <f t="shared" si="72"/>
        <v>0</v>
      </c>
      <c r="M66" s="6">
        <f t="shared" si="73"/>
        <v>0</v>
      </c>
      <c r="N66" s="84">
        <f t="shared" si="74"/>
        <v>0</v>
      </c>
      <c r="O66" s="6">
        <f t="shared" si="75"/>
        <v>0</v>
      </c>
      <c r="P66" s="29">
        <f t="shared" si="76"/>
        <v>8352.2380338000003</v>
      </c>
      <c r="Q66" s="81">
        <f t="shared" si="6"/>
        <v>0</v>
      </c>
    </row>
    <row r="67" spans="1:17" ht="51" x14ac:dyDescent="0.25">
      <c r="A67" s="28" t="s">
        <v>163</v>
      </c>
      <c r="B67" s="2" t="s">
        <v>164</v>
      </c>
      <c r="C67" s="87" t="s">
        <v>165</v>
      </c>
      <c r="D67" s="2" t="s">
        <v>21</v>
      </c>
      <c r="E67" s="2" t="s">
        <v>69</v>
      </c>
      <c r="F67" s="7">
        <v>393.34</v>
      </c>
      <c r="G67" s="8">
        <v>34.270000000000003</v>
      </c>
      <c r="H67" s="8">
        <f t="shared" si="64"/>
        <v>43.642845000000008</v>
      </c>
      <c r="I67" s="9">
        <f t="shared" si="71"/>
        <v>17166.476652300003</v>
      </c>
      <c r="J67" s="5"/>
      <c r="K67" s="5"/>
      <c r="L67" s="5">
        <f t="shared" si="72"/>
        <v>0</v>
      </c>
      <c r="M67" s="6">
        <f t="shared" si="73"/>
        <v>0</v>
      </c>
      <c r="N67" s="84">
        <f t="shared" si="74"/>
        <v>0</v>
      </c>
      <c r="O67" s="6">
        <f t="shared" si="75"/>
        <v>0</v>
      </c>
      <c r="P67" s="29">
        <f t="shared" si="76"/>
        <v>17166.476652300003</v>
      </c>
      <c r="Q67" s="81">
        <f t="shared" si="6"/>
        <v>0</v>
      </c>
    </row>
    <row r="68" spans="1:17" ht="38.25" x14ac:dyDescent="0.25">
      <c r="A68" s="28" t="s">
        <v>166</v>
      </c>
      <c r="B68" s="2" t="s">
        <v>167</v>
      </c>
      <c r="C68" s="87" t="s">
        <v>168</v>
      </c>
      <c r="D68" s="2" t="s">
        <v>21</v>
      </c>
      <c r="E68" s="2" t="s">
        <v>69</v>
      </c>
      <c r="F68" s="7">
        <v>944.79</v>
      </c>
      <c r="G68" s="8">
        <v>72.11</v>
      </c>
      <c r="H68" s="8">
        <f t="shared" si="64"/>
        <v>91.832085000000006</v>
      </c>
      <c r="I68" s="9">
        <f t="shared" si="71"/>
        <v>86762.035587150007</v>
      </c>
      <c r="J68" s="5"/>
      <c r="K68" s="5"/>
      <c r="L68" s="5">
        <f t="shared" si="72"/>
        <v>0</v>
      </c>
      <c r="M68" s="6">
        <f t="shared" si="73"/>
        <v>0</v>
      </c>
      <c r="N68" s="84">
        <f t="shared" si="74"/>
        <v>0</v>
      </c>
      <c r="O68" s="6">
        <f t="shared" si="75"/>
        <v>0</v>
      </c>
      <c r="P68" s="29">
        <f t="shared" si="76"/>
        <v>86762.035587150007</v>
      </c>
      <c r="Q68" s="81">
        <f t="shared" si="6"/>
        <v>0</v>
      </c>
    </row>
    <row r="69" spans="1:17" x14ac:dyDescent="0.25">
      <c r="A69" s="30"/>
      <c r="B69" s="3"/>
      <c r="C69" s="88"/>
      <c r="D69" s="3"/>
      <c r="E69" s="3"/>
      <c r="F69" s="10"/>
      <c r="G69" s="11"/>
      <c r="H69" s="11"/>
      <c r="I69" s="12">
        <f>SUM(I61:I68)</f>
        <v>215538.57017190001</v>
      </c>
      <c r="J69" s="13"/>
      <c r="K69" s="13"/>
      <c r="L69" s="13"/>
      <c r="M69" s="12">
        <f>SUM(M61:M68)</f>
        <v>0</v>
      </c>
      <c r="N69" s="12">
        <f>SUM(N61:N68)</f>
        <v>0</v>
      </c>
      <c r="O69" s="12">
        <f>SUM(O61:O68)</f>
        <v>0</v>
      </c>
      <c r="P69" s="31">
        <f t="shared" si="76"/>
        <v>215538.57017190001</v>
      </c>
      <c r="Q69" s="81">
        <f t="shared" si="6"/>
        <v>0</v>
      </c>
    </row>
    <row r="70" spans="1:17" ht="20.100000000000001" customHeight="1" x14ac:dyDescent="0.25">
      <c r="A70" s="27" t="s">
        <v>169</v>
      </c>
      <c r="B70" s="101" t="s">
        <v>170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2"/>
      <c r="Q70" s="81"/>
    </row>
    <row r="71" spans="1:17" ht="51" x14ac:dyDescent="0.25">
      <c r="A71" s="28" t="s">
        <v>171</v>
      </c>
      <c r="B71" s="2" t="s">
        <v>172</v>
      </c>
      <c r="C71" s="87" t="s">
        <v>173</v>
      </c>
      <c r="D71" s="2" t="s">
        <v>21</v>
      </c>
      <c r="E71" s="2" t="s">
        <v>69</v>
      </c>
      <c r="F71" s="7">
        <v>2367.2199999999998</v>
      </c>
      <c r="G71" s="8">
        <v>2.64</v>
      </c>
      <c r="H71" s="8">
        <f t="shared" ref="H71:H75" si="77">G71*$R$9</f>
        <v>3.3620400000000004</v>
      </c>
      <c r="I71" s="9">
        <f t="shared" ref="I71" si="78">F71*H71</f>
        <v>7958.6883287999999</v>
      </c>
      <c r="J71" s="5"/>
      <c r="K71" s="5"/>
      <c r="L71" s="5">
        <f t="shared" ref="L71" si="79">K71+J71</f>
        <v>0</v>
      </c>
      <c r="M71" s="6">
        <f t="shared" ref="M71" si="80">J71*H71</f>
        <v>0</v>
      </c>
      <c r="N71" s="84">
        <f t="shared" ref="N71" si="81">H71*K71</f>
        <v>0</v>
      </c>
      <c r="O71" s="6">
        <f t="shared" ref="O71" si="82">N71+M71</f>
        <v>0</v>
      </c>
      <c r="P71" s="29">
        <f t="shared" ref="P71" si="83">I71-O71</f>
        <v>7958.6883287999999</v>
      </c>
      <c r="Q71" s="81">
        <f t="shared" si="6"/>
        <v>0</v>
      </c>
    </row>
    <row r="72" spans="1:17" ht="63.75" x14ac:dyDescent="0.25">
      <c r="A72" s="28" t="s">
        <v>174</v>
      </c>
      <c r="B72" s="2" t="s">
        <v>175</v>
      </c>
      <c r="C72" s="87" t="s">
        <v>176</v>
      </c>
      <c r="D72" s="2" t="s">
        <v>21</v>
      </c>
      <c r="E72" s="2" t="s">
        <v>69</v>
      </c>
      <c r="F72" s="7">
        <v>2197.91</v>
      </c>
      <c r="G72" s="8">
        <v>14.42</v>
      </c>
      <c r="H72" s="8">
        <f t="shared" si="77"/>
        <v>18.363870000000002</v>
      </c>
      <c r="I72" s="9">
        <f t="shared" ref="I72:I75" si="84">F72*H72</f>
        <v>40362.133511700005</v>
      </c>
      <c r="J72" s="5"/>
      <c r="K72" s="5"/>
      <c r="L72" s="5">
        <f t="shared" ref="L72:L75" si="85">K72+J72</f>
        <v>0</v>
      </c>
      <c r="M72" s="6">
        <f t="shared" ref="M72:M75" si="86">J72*H72</f>
        <v>0</v>
      </c>
      <c r="N72" s="84">
        <f t="shared" ref="N72:N75" si="87">H72*K72</f>
        <v>0</v>
      </c>
      <c r="O72" s="6">
        <f t="shared" ref="O72:O75" si="88">N72+M72</f>
        <v>0</v>
      </c>
      <c r="P72" s="29">
        <f t="shared" ref="P72:P76" si="89">I72-O72</f>
        <v>40362.133511700005</v>
      </c>
      <c r="Q72" s="81">
        <f t="shared" si="6"/>
        <v>0</v>
      </c>
    </row>
    <row r="73" spans="1:17" ht="89.25" x14ac:dyDescent="0.25">
      <c r="A73" s="28" t="s">
        <v>177</v>
      </c>
      <c r="B73" s="2" t="s">
        <v>178</v>
      </c>
      <c r="C73" s="87" t="s">
        <v>179</v>
      </c>
      <c r="D73" s="2" t="s">
        <v>21</v>
      </c>
      <c r="E73" s="2" t="s">
        <v>69</v>
      </c>
      <c r="F73" s="7">
        <v>180.48</v>
      </c>
      <c r="G73" s="8">
        <v>11.03</v>
      </c>
      <c r="H73" s="8">
        <f t="shared" si="77"/>
        <v>14.046704999999999</v>
      </c>
      <c r="I73" s="9">
        <f t="shared" si="84"/>
        <v>2535.1493183999996</v>
      </c>
      <c r="J73" s="5"/>
      <c r="K73" s="5"/>
      <c r="L73" s="5">
        <f t="shared" si="85"/>
        <v>0</v>
      </c>
      <c r="M73" s="6">
        <f t="shared" si="86"/>
        <v>0</v>
      </c>
      <c r="N73" s="84">
        <f t="shared" si="87"/>
        <v>0</v>
      </c>
      <c r="O73" s="6">
        <f t="shared" si="88"/>
        <v>0</v>
      </c>
      <c r="P73" s="29">
        <f t="shared" si="89"/>
        <v>2535.1493183999996</v>
      </c>
      <c r="Q73" s="81">
        <f t="shared" si="6"/>
        <v>0</v>
      </c>
    </row>
    <row r="74" spans="1:17" ht="51" x14ac:dyDescent="0.25">
      <c r="A74" s="28" t="s">
        <v>180</v>
      </c>
      <c r="B74" s="2" t="s">
        <v>181</v>
      </c>
      <c r="C74" s="87" t="s">
        <v>182</v>
      </c>
      <c r="D74" s="2" t="s">
        <v>21</v>
      </c>
      <c r="E74" s="2" t="s">
        <v>69</v>
      </c>
      <c r="F74" s="7">
        <v>180.48</v>
      </c>
      <c r="G74" s="8">
        <v>41.91</v>
      </c>
      <c r="H74" s="8">
        <f t="shared" si="77"/>
        <v>53.372385000000001</v>
      </c>
      <c r="I74" s="9">
        <f t="shared" si="84"/>
        <v>9632.6480448000002</v>
      </c>
      <c r="J74" s="5"/>
      <c r="K74" s="5"/>
      <c r="L74" s="5">
        <f t="shared" si="85"/>
        <v>0</v>
      </c>
      <c r="M74" s="6">
        <f t="shared" si="86"/>
        <v>0</v>
      </c>
      <c r="N74" s="84">
        <f t="shared" si="87"/>
        <v>0</v>
      </c>
      <c r="O74" s="6">
        <f t="shared" si="88"/>
        <v>0</v>
      </c>
      <c r="P74" s="29">
        <f t="shared" si="89"/>
        <v>9632.6480448000002</v>
      </c>
      <c r="Q74" s="81">
        <f t="shared" ref="Q74:Q137" si="90">O74/I74</f>
        <v>0</v>
      </c>
    </row>
    <row r="75" spans="1:17" ht="76.5" x14ac:dyDescent="0.25">
      <c r="A75" s="28" t="s">
        <v>183</v>
      </c>
      <c r="B75" s="2" t="s">
        <v>184</v>
      </c>
      <c r="C75" s="87" t="s">
        <v>185</v>
      </c>
      <c r="D75" s="2" t="s">
        <v>21</v>
      </c>
      <c r="E75" s="2" t="s">
        <v>31</v>
      </c>
      <c r="F75" s="7">
        <v>0.42</v>
      </c>
      <c r="G75" s="8">
        <v>263.22000000000003</v>
      </c>
      <c r="H75" s="8">
        <f t="shared" si="77"/>
        <v>335.21067000000005</v>
      </c>
      <c r="I75" s="9">
        <f t="shared" si="84"/>
        <v>140.78848140000002</v>
      </c>
      <c r="J75" s="5"/>
      <c r="K75" s="5"/>
      <c r="L75" s="5">
        <f t="shared" si="85"/>
        <v>0</v>
      </c>
      <c r="M75" s="6">
        <f t="shared" si="86"/>
        <v>0</v>
      </c>
      <c r="N75" s="84">
        <f t="shared" si="87"/>
        <v>0</v>
      </c>
      <c r="O75" s="6">
        <f t="shared" si="88"/>
        <v>0</v>
      </c>
      <c r="P75" s="29">
        <f t="shared" si="89"/>
        <v>140.78848140000002</v>
      </c>
      <c r="Q75" s="81">
        <f t="shared" si="90"/>
        <v>0</v>
      </c>
    </row>
    <row r="76" spans="1:17" x14ac:dyDescent="0.25">
      <c r="A76" s="30"/>
      <c r="B76" s="3"/>
      <c r="C76" s="88"/>
      <c r="D76" s="3"/>
      <c r="E76" s="3"/>
      <c r="F76" s="10"/>
      <c r="G76" s="11"/>
      <c r="H76" s="11"/>
      <c r="I76" s="12">
        <f>SUM(I71:I75)</f>
        <v>60629.407685100006</v>
      </c>
      <c r="J76" s="13"/>
      <c r="K76" s="13"/>
      <c r="L76" s="13"/>
      <c r="M76" s="12">
        <f>SUM(M71:M75)</f>
        <v>0</v>
      </c>
      <c r="N76" s="12">
        <f>SUM(N71:N75)</f>
        <v>0</v>
      </c>
      <c r="O76" s="12">
        <f>SUM(O71:O75)</f>
        <v>0</v>
      </c>
      <c r="P76" s="31">
        <f t="shared" si="89"/>
        <v>60629.407685100006</v>
      </c>
      <c r="Q76" s="81">
        <f t="shared" si="90"/>
        <v>0</v>
      </c>
    </row>
    <row r="77" spans="1:17" ht="20.100000000000001" customHeight="1" x14ac:dyDescent="0.25">
      <c r="A77" s="27" t="s">
        <v>186</v>
      </c>
      <c r="B77" s="101" t="s">
        <v>187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2"/>
      <c r="Q77" s="81"/>
    </row>
    <row r="78" spans="1:17" ht="76.5" x14ac:dyDescent="0.25">
      <c r="A78" s="28" t="s">
        <v>188</v>
      </c>
      <c r="B78" s="2" t="s">
        <v>189</v>
      </c>
      <c r="C78" s="87" t="s">
        <v>190</v>
      </c>
      <c r="D78" s="2" t="s">
        <v>21</v>
      </c>
      <c r="E78" s="2" t="s">
        <v>117</v>
      </c>
      <c r="F78" s="7">
        <v>2</v>
      </c>
      <c r="G78" s="8">
        <v>531.51</v>
      </c>
      <c r="H78" s="8">
        <f t="shared" ref="H78:H91" si="91">G78*$R$9</f>
        <v>676.87798500000008</v>
      </c>
      <c r="I78" s="9">
        <f t="shared" ref="I78" si="92">F78*H78</f>
        <v>1353.7559700000002</v>
      </c>
      <c r="J78" s="5"/>
      <c r="K78" s="5"/>
      <c r="L78" s="5">
        <f t="shared" ref="L78" si="93">K78+J78</f>
        <v>0</v>
      </c>
      <c r="M78" s="6">
        <f t="shared" ref="M78" si="94">J78*H78</f>
        <v>0</v>
      </c>
      <c r="N78" s="84">
        <f t="shared" ref="N78" si="95">H78*K78</f>
        <v>0</v>
      </c>
      <c r="O78" s="6">
        <f t="shared" ref="O78" si="96">N78+M78</f>
        <v>0</v>
      </c>
      <c r="P78" s="29">
        <f t="shared" ref="P78" si="97">I78-O78</f>
        <v>1353.7559700000002</v>
      </c>
      <c r="Q78" s="81">
        <f t="shared" si="90"/>
        <v>0</v>
      </c>
    </row>
    <row r="79" spans="1:17" ht="76.5" x14ac:dyDescent="0.25">
      <c r="A79" s="28" t="s">
        <v>191</v>
      </c>
      <c r="B79" s="2" t="s">
        <v>192</v>
      </c>
      <c r="C79" s="87" t="s">
        <v>193</v>
      </c>
      <c r="D79" s="2" t="s">
        <v>21</v>
      </c>
      <c r="E79" s="2" t="s">
        <v>117</v>
      </c>
      <c r="F79" s="7">
        <v>4</v>
      </c>
      <c r="G79" s="8">
        <v>527.07000000000005</v>
      </c>
      <c r="H79" s="8">
        <f t="shared" si="91"/>
        <v>671.22364500000015</v>
      </c>
      <c r="I79" s="9">
        <f t="shared" ref="I79:I91" si="98">F79*H79</f>
        <v>2684.8945800000006</v>
      </c>
      <c r="J79" s="5"/>
      <c r="K79" s="5"/>
      <c r="L79" s="5">
        <f t="shared" ref="L79:L91" si="99">K79+J79</f>
        <v>0</v>
      </c>
      <c r="M79" s="6">
        <f t="shared" ref="M79:M91" si="100">J79*H79</f>
        <v>0</v>
      </c>
      <c r="N79" s="84">
        <f t="shared" ref="N79:N91" si="101">H79*K79</f>
        <v>0</v>
      </c>
      <c r="O79" s="6">
        <f t="shared" ref="O79:O91" si="102">N79+M79</f>
        <v>0</v>
      </c>
      <c r="P79" s="29">
        <f t="shared" ref="P79:P92" si="103">I79-O79</f>
        <v>2684.8945800000006</v>
      </c>
      <c r="Q79" s="81">
        <f t="shared" si="90"/>
        <v>0</v>
      </c>
    </row>
    <row r="80" spans="1:17" ht="76.5" x14ac:dyDescent="0.25">
      <c r="A80" s="28" t="s">
        <v>194</v>
      </c>
      <c r="B80" s="2" t="s">
        <v>195</v>
      </c>
      <c r="C80" s="87" t="s">
        <v>196</v>
      </c>
      <c r="D80" s="2" t="s">
        <v>21</v>
      </c>
      <c r="E80" s="2" t="s">
        <v>117</v>
      </c>
      <c r="F80" s="7">
        <v>10</v>
      </c>
      <c r="G80" s="8">
        <v>552.88</v>
      </c>
      <c r="H80" s="8">
        <f t="shared" si="91"/>
        <v>704.09268000000009</v>
      </c>
      <c r="I80" s="9">
        <f t="shared" si="98"/>
        <v>7040.9268000000011</v>
      </c>
      <c r="J80" s="5"/>
      <c r="K80" s="5"/>
      <c r="L80" s="5">
        <f t="shared" si="99"/>
        <v>0</v>
      </c>
      <c r="M80" s="6">
        <f t="shared" si="100"/>
        <v>0</v>
      </c>
      <c r="N80" s="84">
        <f t="shared" si="101"/>
        <v>0</v>
      </c>
      <c r="O80" s="6">
        <f t="shared" si="102"/>
        <v>0</v>
      </c>
      <c r="P80" s="29">
        <f t="shared" si="103"/>
        <v>7040.9268000000011</v>
      </c>
      <c r="Q80" s="81">
        <f t="shared" si="90"/>
        <v>0</v>
      </c>
    </row>
    <row r="81" spans="1:18" ht="76.5" x14ac:dyDescent="0.25">
      <c r="A81" s="28" t="s">
        <v>197</v>
      </c>
      <c r="B81" s="2" t="s">
        <v>198</v>
      </c>
      <c r="C81" s="87" t="s">
        <v>199</v>
      </c>
      <c r="D81" s="2" t="s">
        <v>21</v>
      </c>
      <c r="E81" s="2" t="s">
        <v>117</v>
      </c>
      <c r="F81" s="7">
        <v>6</v>
      </c>
      <c r="G81" s="8">
        <v>603</v>
      </c>
      <c r="H81" s="8">
        <f t="shared" si="91"/>
        <v>767.92050000000006</v>
      </c>
      <c r="I81" s="9">
        <f t="shared" si="98"/>
        <v>4607.5230000000001</v>
      </c>
      <c r="J81" s="5"/>
      <c r="K81" s="5"/>
      <c r="L81" s="5">
        <f t="shared" si="99"/>
        <v>0</v>
      </c>
      <c r="M81" s="6">
        <f t="shared" si="100"/>
        <v>0</v>
      </c>
      <c r="N81" s="84">
        <f t="shared" si="101"/>
        <v>0</v>
      </c>
      <c r="O81" s="6">
        <f t="shared" si="102"/>
        <v>0</v>
      </c>
      <c r="P81" s="29">
        <f t="shared" si="103"/>
        <v>4607.5230000000001</v>
      </c>
      <c r="Q81" s="81">
        <f t="shared" si="90"/>
        <v>0</v>
      </c>
    </row>
    <row r="82" spans="1:18" ht="38.25" x14ac:dyDescent="0.25">
      <c r="A82" s="28" t="s">
        <v>200</v>
      </c>
      <c r="B82" s="2" t="s">
        <v>201</v>
      </c>
      <c r="C82" s="87" t="s">
        <v>202</v>
      </c>
      <c r="D82" s="2" t="s">
        <v>21</v>
      </c>
      <c r="E82" s="2" t="s">
        <v>69</v>
      </c>
      <c r="F82" s="7">
        <v>8.82</v>
      </c>
      <c r="G82" s="8">
        <v>433.8</v>
      </c>
      <c r="H82" s="8">
        <f t="shared" si="91"/>
        <v>552.4443</v>
      </c>
      <c r="I82" s="9">
        <f t="shared" si="98"/>
        <v>4872.5587260000002</v>
      </c>
      <c r="J82" s="5"/>
      <c r="K82" s="5"/>
      <c r="L82" s="5">
        <f t="shared" si="99"/>
        <v>0</v>
      </c>
      <c r="M82" s="6">
        <f t="shared" si="100"/>
        <v>0</v>
      </c>
      <c r="N82" s="84">
        <f t="shared" si="101"/>
        <v>0</v>
      </c>
      <c r="O82" s="6">
        <f t="shared" si="102"/>
        <v>0</v>
      </c>
      <c r="P82" s="29">
        <f t="shared" si="103"/>
        <v>4872.5587260000002</v>
      </c>
      <c r="Q82" s="81">
        <f t="shared" si="90"/>
        <v>0</v>
      </c>
    </row>
    <row r="83" spans="1:18" ht="25.5" x14ac:dyDescent="0.25">
      <c r="A83" s="28" t="s">
        <v>203</v>
      </c>
      <c r="B83" s="2" t="s">
        <v>204</v>
      </c>
      <c r="C83" s="87" t="s">
        <v>205</v>
      </c>
      <c r="D83" s="2" t="s">
        <v>12</v>
      </c>
      <c r="E83" s="2" t="s">
        <v>13</v>
      </c>
      <c r="F83" s="7">
        <v>33</v>
      </c>
      <c r="G83" s="8">
        <v>445.08</v>
      </c>
      <c r="H83" s="8">
        <f t="shared" si="91"/>
        <v>566.80938000000003</v>
      </c>
      <c r="I83" s="9">
        <f t="shared" si="98"/>
        <v>18704.70954</v>
      </c>
      <c r="J83" s="5"/>
      <c r="K83" s="5"/>
      <c r="L83" s="5">
        <f t="shared" si="99"/>
        <v>0</v>
      </c>
      <c r="M83" s="6">
        <f t="shared" si="100"/>
        <v>0</v>
      </c>
      <c r="N83" s="84">
        <f t="shared" si="101"/>
        <v>0</v>
      </c>
      <c r="O83" s="6">
        <f t="shared" si="102"/>
        <v>0</v>
      </c>
      <c r="P83" s="29">
        <f t="shared" si="103"/>
        <v>18704.70954</v>
      </c>
      <c r="Q83" s="81">
        <f t="shared" si="90"/>
        <v>0</v>
      </c>
    </row>
    <row r="84" spans="1:18" x14ac:dyDescent="0.25">
      <c r="A84" s="28" t="s">
        <v>206</v>
      </c>
      <c r="B84" s="2" t="s">
        <v>207</v>
      </c>
      <c r="C84" s="87" t="s">
        <v>208</v>
      </c>
      <c r="D84" s="2" t="s">
        <v>12</v>
      </c>
      <c r="E84" s="2" t="s">
        <v>13</v>
      </c>
      <c r="F84" s="7">
        <v>33</v>
      </c>
      <c r="G84" s="8">
        <v>122.9</v>
      </c>
      <c r="H84" s="8">
        <f t="shared" si="91"/>
        <v>156.51315000000002</v>
      </c>
      <c r="I84" s="9">
        <f t="shared" si="98"/>
        <v>5164.9339500000006</v>
      </c>
      <c r="J84" s="5"/>
      <c r="K84" s="5"/>
      <c r="L84" s="5">
        <f t="shared" si="99"/>
        <v>0</v>
      </c>
      <c r="M84" s="6">
        <f t="shared" si="100"/>
        <v>0</v>
      </c>
      <c r="N84" s="84">
        <f t="shared" si="101"/>
        <v>0</v>
      </c>
      <c r="O84" s="6">
        <f t="shared" si="102"/>
        <v>0</v>
      </c>
      <c r="P84" s="29">
        <f t="shared" si="103"/>
        <v>5164.9339500000006</v>
      </c>
      <c r="Q84" s="81">
        <f t="shared" si="90"/>
        <v>0</v>
      </c>
    </row>
    <row r="85" spans="1:18" ht="63.75" x14ac:dyDescent="0.25">
      <c r="A85" s="28" t="s">
        <v>209</v>
      </c>
      <c r="B85" s="2" t="s">
        <v>210</v>
      </c>
      <c r="C85" s="87" t="s">
        <v>211</v>
      </c>
      <c r="D85" s="2" t="s">
        <v>21</v>
      </c>
      <c r="E85" s="2" t="s">
        <v>69</v>
      </c>
      <c r="F85" s="7">
        <v>2.25</v>
      </c>
      <c r="G85" s="8">
        <v>434.36</v>
      </c>
      <c r="H85" s="8">
        <f t="shared" si="91"/>
        <v>553.15746000000001</v>
      </c>
      <c r="I85" s="9">
        <f t="shared" si="98"/>
        <v>1244.6042850000001</v>
      </c>
      <c r="J85" s="5"/>
      <c r="K85" s="5"/>
      <c r="L85" s="5">
        <f t="shared" si="99"/>
        <v>0</v>
      </c>
      <c r="M85" s="6">
        <f t="shared" si="100"/>
        <v>0</v>
      </c>
      <c r="N85" s="84">
        <f t="shared" si="101"/>
        <v>0</v>
      </c>
      <c r="O85" s="6">
        <f t="shared" si="102"/>
        <v>0</v>
      </c>
      <c r="P85" s="29">
        <f t="shared" si="103"/>
        <v>1244.6042850000001</v>
      </c>
      <c r="Q85" s="81">
        <f t="shared" si="90"/>
        <v>0</v>
      </c>
    </row>
    <row r="86" spans="1:18" ht="51" x14ac:dyDescent="0.25">
      <c r="A86" s="28" t="s">
        <v>212</v>
      </c>
      <c r="B86" s="2" t="s">
        <v>213</v>
      </c>
      <c r="C86" s="87" t="s">
        <v>214</v>
      </c>
      <c r="D86" s="2" t="s">
        <v>21</v>
      </c>
      <c r="E86" s="2" t="s">
        <v>69</v>
      </c>
      <c r="F86" s="7">
        <v>3.2</v>
      </c>
      <c r="G86" s="8">
        <v>666.48</v>
      </c>
      <c r="H86" s="8">
        <f t="shared" si="91"/>
        <v>848.76228000000003</v>
      </c>
      <c r="I86" s="9">
        <f t="shared" si="98"/>
        <v>2716.0392960000004</v>
      </c>
      <c r="J86" s="5"/>
      <c r="K86" s="5"/>
      <c r="L86" s="5">
        <f t="shared" si="99"/>
        <v>0</v>
      </c>
      <c r="M86" s="6">
        <f t="shared" si="100"/>
        <v>0</v>
      </c>
      <c r="N86" s="84">
        <f t="shared" si="101"/>
        <v>0</v>
      </c>
      <c r="O86" s="6">
        <f t="shared" si="102"/>
        <v>0</v>
      </c>
      <c r="P86" s="29">
        <f t="shared" si="103"/>
        <v>2716.0392960000004</v>
      </c>
      <c r="Q86" s="81">
        <f t="shared" si="90"/>
        <v>0</v>
      </c>
    </row>
    <row r="87" spans="1:18" ht="38.25" x14ac:dyDescent="0.25">
      <c r="A87" s="28" t="s">
        <v>215</v>
      </c>
      <c r="B87" s="2" t="s">
        <v>216</v>
      </c>
      <c r="C87" s="87" t="s">
        <v>217</v>
      </c>
      <c r="D87" s="2" t="s">
        <v>12</v>
      </c>
      <c r="E87" s="2" t="s">
        <v>13</v>
      </c>
      <c r="F87" s="7">
        <v>50.71</v>
      </c>
      <c r="G87" s="8">
        <v>282.06</v>
      </c>
      <c r="H87" s="8">
        <f t="shared" si="91"/>
        <v>359.20341000000002</v>
      </c>
      <c r="I87" s="9">
        <f t="shared" si="98"/>
        <v>18215.204921100001</v>
      </c>
      <c r="J87" s="5"/>
      <c r="K87" s="5"/>
      <c r="L87" s="5">
        <f t="shared" si="99"/>
        <v>0</v>
      </c>
      <c r="M87" s="6">
        <f t="shared" si="100"/>
        <v>0</v>
      </c>
      <c r="N87" s="84">
        <f t="shared" si="101"/>
        <v>0</v>
      </c>
      <c r="O87" s="6">
        <f t="shared" si="102"/>
        <v>0</v>
      </c>
      <c r="P87" s="29">
        <f t="shared" si="103"/>
        <v>18215.204921100001</v>
      </c>
      <c r="Q87" s="81">
        <f t="shared" si="90"/>
        <v>0</v>
      </c>
    </row>
    <row r="88" spans="1:18" x14ac:dyDescent="0.25">
      <c r="A88" s="28" t="s">
        <v>218</v>
      </c>
      <c r="B88" s="2" t="s">
        <v>219</v>
      </c>
      <c r="C88" s="87" t="s">
        <v>220</v>
      </c>
      <c r="D88" s="2" t="s">
        <v>12</v>
      </c>
      <c r="E88" s="2" t="s">
        <v>13</v>
      </c>
      <c r="F88" s="7">
        <v>16.350000000000001</v>
      </c>
      <c r="G88" s="8">
        <v>174.8</v>
      </c>
      <c r="H88" s="8">
        <f t="shared" si="91"/>
        <v>222.60780000000003</v>
      </c>
      <c r="I88" s="9">
        <f t="shared" si="98"/>
        <v>3639.6375300000009</v>
      </c>
      <c r="J88" s="5"/>
      <c r="K88" s="5"/>
      <c r="L88" s="5">
        <f t="shared" si="99"/>
        <v>0</v>
      </c>
      <c r="M88" s="6">
        <f t="shared" si="100"/>
        <v>0</v>
      </c>
      <c r="N88" s="84">
        <f t="shared" si="101"/>
        <v>0</v>
      </c>
      <c r="O88" s="6">
        <f t="shared" si="102"/>
        <v>0</v>
      </c>
      <c r="P88" s="29">
        <f t="shared" si="103"/>
        <v>3639.6375300000009</v>
      </c>
      <c r="Q88" s="81">
        <f t="shared" si="90"/>
        <v>0</v>
      </c>
    </row>
    <row r="89" spans="1:18" ht="25.5" x14ac:dyDescent="0.25">
      <c r="A89" s="28" t="s">
        <v>221</v>
      </c>
      <c r="B89" s="2" t="s">
        <v>222</v>
      </c>
      <c r="C89" s="87" t="s">
        <v>223</v>
      </c>
      <c r="D89" s="2" t="s">
        <v>12</v>
      </c>
      <c r="E89" s="2" t="s">
        <v>13</v>
      </c>
      <c r="F89" s="7">
        <v>14.35</v>
      </c>
      <c r="G89" s="8">
        <v>430.88</v>
      </c>
      <c r="H89" s="8">
        <f t="shared" si="91"/>
        <v>548.72568000000001</v>
      </c>
      <c r="I89" s="9">
        <f t="shared" si="98"/>
        <v>7874.2135079999998</v>
      </c>
      <c r="J89" s="5"/>
      <c r="K89" s="5"/>
      <c r="L89" s="5">
        <f t="shared" si="99"/>
        <v>0</v>
      </c>
      <c r="M89" s="6">
        <f t="shared" si="100"/>
        <v>0</v>
      </c>
      <c r="N89" s="84">
        <f t="shared" si="101"/>
        <v>0</v>
      </c>
      <c r="O89" s="6">
        <f t="shared" si="102"/>
        <v>0</v>
      </c>
      <c r="P89" s="29">
        <f t="shared" si="103"/>
        <v>7874.2135079999998</v>
      </c>
      <c r="Q89" s="81">
        <f t="shared" si="90"/>
        <v>0</v>
      </c>
    </row>
    <row r="90" spans="1:18" x14ac:dyDescent="0.25">
      <c r="A90" s="28" t="s">
        <v>224</v>
      </c>
      <c r="B90" s="2" t="s">
        <v>225</v>
      </c>
      <c r="C90" s="87" t="s">
        <v>226</v>
      </c>
      <c r="D90" s="2" t="s">
        <v>12</v>
      </c>
      <c r="E90" s="2" t="s">
        <v>13</v>
      </c>
      <c r="F90" s="7">
        <v>35.159999999999997</v>
      </c>
      <c r="G90" s="8">
        <v>285.70999999999998</v>
      </c>
      <c r="H90" s="8">
        <f t="shared" si="91"/>
        <v>363.85168499999997</v>
      </c>
      <c r="I90" s="9">
        <f t="shared" si="98"/>
        <v>12793.025244599998</v>
      </c>
      <c r="J90" s="5"/>
      <c r="K90" s="5"/>
      <c r="L90" s="5">
        <f t="shared" si="99"/>
        <v>0</v>
      </c>
      <c r="M90" s="6">
        <f t="shared" si="100"/>
        <v>0</v>
      </c>
      <c r="N90" s="84">
        <f t="shared" si="101"/>
        <v>0</v>
      </c>
      <c r="O90" s="6">
        <f t="shared" si="102"/>
        <v>0</v>
      </c>
      <c r="P90" s="29">
        <f t="shared" si="103"/>
        <v>12793.025244599998</v>
      </c>
      <c r="Q90" s="81">
        <f t="shared" si="90"/>
        <v>0</v>
      </c>
    </row>
    <row r="91" spans="1:18" x14ac:dyDescent="0.25">
      <c r="A91" s="28" t="s">
        <v>227</v>
      </c>
      <c r="B91" s="2" t="s">
        <v>228</v>
      </c>
      <c r="C91" s="87" t="s">
        <v>229</v>
      </c>
      <c r="D91" s="2" t="s">
        <v>12</v>
      </c>
      <c r="E91" s="2" t="s">
        <v>13</v>
      </c>
      <c r="F91" s="7">
        <v>0.36</v>
      </c>
      <c r="G91" s="8">
        <v>389.08</v>
      </c>
      <c r="H91" s="8">
        <f t="shared" si="91"/>
        <v>495.49338</v>
      </c>
      <c r="I91" s="9">
        <f t="shared" si="98"/>
        <v>178.3776168</v>
      </c>
      <c r="J91" s="5"/>
      <c r="K91" s="5"/>
      <c r="L91" s="5">
        <f t="shared" si="99"/>
        <v>0</v>
      </c>
      <c r="M91" s="6">
        <f t="shared" si="100"/>
        <v>0</v>
      </c>
      <c r="N91" s="84">
        <f t="shared" si="101"/>
        <v>0</v>
      </c>
      <c r="O91" s="6">
        <f t="shared" si="102"/>
        <v>0</v>
      </c>
      <c r="P91" s="29">
        <f t="shared" si="103"/>
        <v>178.3776168</v>
      </c>
      <c r="Q91" s="81">
        <f t="shared" si="90"/>
        <v>0</v>
      </c>
    </row>
    <row r="92" spans="1:18" x14ac:dyDescent="0.25">
      <c r="A92" s="30"/>
      <c r="B92" s="3"/>
      <c r="C92" s="88"/>
      <c r="D92" s="3"/>
      <c r="E92" s="3"/>
      <c r="F92" s="10"/>
      <c r="G92" s="11"/>
      <c r="H92" s="11"/>
      <c r="I92" s="12">
        <f>SUM(I78:I91)</f>
        <v>91090.404967500013</v>
      </c>
      <c r="J92" s="13"/>
      <c r="K92" s="13"/>
      <c r="L92" s="13"/>
      <c r="M92" s="12">
        <f>SUM(M78:M91)</f>
        <v>0</v>
      </c>
      <c r="N92" s="12">
        <f>SUM(N78:N91)</f>
        <v>0</v>
      </c>
      <c r="O92" s="12">
        <f>SUM(O78:O91)</f>
        <v>0</v>
      </c>
      <c r="P92" s="31">
        <f t="shared" si="103"/>
        <v>91090.404967500013</v>
      </c>
      <c r="Q92" s="81">
        <f t="shared" si="90"/>
        <v>0</v>
      </c>
    </row>
    <row r="93" spans="1:18" ht="20.100000000000001" customHeight="1" x14ac:dyDescent="0.25">
      <c r="A93" s="27" t="s">
        <v>230</v>
      </c>
      <c r="B93" s="101" t="s">
        <v>231</v>
      </c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2"/>
      <c r="Q93" s="81"/>
    </row>
    <row r="94" spans="1:18" ht="25.5" x14ac:dyDescent="0.25">
      <c r="A94" s="28" t="s">
        <v>232</v>
      </c>
      <c r="B94" s="2" t="s">
        <v>233</v>
      </c>
      <c r="C94" s="196" t="s">
        <v>234</v>
      </c>
      <c r="D94" s="197" t="s">
        <v>12</v>
      </c>
      <c r="E94" s="197" t="s">
        <v>13</v>
      </c>
      <c r="F94" s="198">
        <v>345.83</v>
      </c>
      <c r="G94" s="8">
        <v>96.53</v>
      </c>
      <c r="H94" s="8">
        <f t="shared" ref="H94:H95" si="104">G94*$R$9</f>
        <v>122.93095500000001</v>
      </c>
      <c r="I94" s="9">
        <f t="shared" ref="I94:I95" si="105">F94*H94</f>
        <v>42513.212167650003</v>
      </c>
      <c r="J94" s="5"/>
      <c r="K94" s="19"/>
      <c r="L94" s="19">
        <f t="shared" ref="L94" si="106">K94+J94</f>
        <v>0</v>
      </c>
      <c r="M94" s="6">
        <f t="shared" ref="M94:M95" si="107">J94*H94</f>
        <v>0</v>
      </c>
      <c r="N94" s="84">
        <f t="shared" ref="N94:N95" si="108">H94*K94</f>
        <v>0</v>
      </c>
      <c r="O94" s="6">
        <f t="shared" ref="O94" si="109">N94+M94</f>
        <v>0</v>
      </c>
      <c r="P94" s="29">
        <f t="shared" ref="P94" si="110">I94-O94</f>
        <v>42513.212167650003</v>
      </c>
      <c r="Q94" s="81">
        <f t="shared" si="90"/>
        <v>0</v>
      </c>
      <c r="R94" s="89" t="s">
        <v>683</v>
      </c>
    </row>
    <row r="95" spans="1:18" ht="38.25" x14ac:dyDescent="0.25">
      <c r="A95" s="28" t="s">
        <v>235</v>
      </c>
      <c r="B95" s="2" t="s">
        <v>236</v>
      </c>
      <c r="C95" s="87" t="s">
        <v>237</v>
      </c>
      <c r="D95" s="2" t="s">
        <v>21</v>
      </c>
      <c r="E95" s="2" t="s">
        <v>69</v>
      </c>
      <c r="F95" s="7">
        <v>183.4</v>
      </c>
      <c r="G95" s="8">
        <v>64.89</v>
      </c>
      <c r="H95" s="8">
        <f t="shared" si="104"/>
        <v>82.637415000000004</v>
      </c>
      <c r="I95" s="9">
        <f t="shared" si="105"/>
        <v>15155.701911000002</v>
      </c>
      <c r="J95" s="5"/>
      <c r="K95" s="5"/>
      <c r="L95" s="5">
        <f t="shared" ref="L95" si="111">K95+J95</f>
        <v>0</v>
      </c>
      <c r="M95" s="6">
        <f t="shared" si="107"/>
        <v>0</v>
      </c>
      <c r="N95" s="84">
        <f t="shared" si="108"/>
        <v>0</v>
      </c>
      <c r="O95" s="6">
        <f t="shared" ref="O95" si="112">N95+M95</f>
        <v>0</v>
      </c>
      <c r="P95" s="29">
        <f t="shared" ref="P95:P96" si="113">I95-O95</f>
        <v>15155.701911000002</v>
      </c>
      <c r="Q95" s="81">
        <f t="shared" si="90"/>
        <v>0</v>
      </c>
    </row>
    <row r="96" spans="1:18" x14ac:dyDescent="0.25">
      <c r="A96" s="30"/>
      <c r="B96" s="3"/>
      <c r="C96" s="88"/>
      <c r="D96" s="3"/>
      <c r="E96" s="3"/>
      <c r="F96" s="10"/>
      <c r="G96" s="11"/>
      <c r="H96" s="11"/>
      <c r="I96" s="12">
        <f>SUM(I94:I95)</f>
        <v>57668.914078650007</v>
      </c>
      <c r="J96" s="13"/>
      <c r="K96" s="13"/>
      <c r="L96" s="13"/>
      <c r="M96" s="12">
        <f>SUM(M94:M95)</f>
        <v>0</v>
      </c>
      <c r="N96" s="12">
        <f>SUM(N94:N95)</f>
        <v>0</v>
      </c>
      <c r="O96" s="12">
        <f>SUM(O94:O95)</f>
        <v>0</v>
      </c>
      <c r="P96" s="31">
        <f t="shared" si="113"/>
        <v>57668.914078650007</v>
      </c>
      <c r="Q96" s="81">
        <f t="shared" si="90"/>
        <v>0</v>
      </c>
    </row>
    <row r="97" spans="1:17" ht="20.100000000000001" customHeight="1" x14ac:dyDescent="0.25">
      <c r="A97" s="27" t="s">
        <v>238</v>
      </c>
      <c r="B97" s="101" t="s">
        <v>239</v>
      </c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2"/>
      <c r="Q97" s="81"/>
    </row>
    <row r="98" spans="1:17" ht="38.25" x14ac:dyDescent="0.25">
      <c r="A98" s="28" t="s">
        <v>240</v>
      </c>
      <c r="B98" s="2" t="s">
        <v>241</v>
      </c>
      <c r="C98" s="87" t="s">
        <v>242</v>
      </c>
      <c r="D98" s="2" t="s">
        <v>21</v>
      </c>
      <c r="E98" s="2" t="s">
        <v>117</v>
      </c>
      <c r="F98" s="7">
        <v>2</v>
      </c>
      <c r="G98" s="8">
        <v>186.33</v>
      </c>
      <c r="H98" s="8">
        <f t="shared" ref="H98:H102" si="114">G98*$R$9</f>
        <v>237.29125500000004</v>
      </c>
      <c r="I98" s="9">
        <f t="shared" ref="I98" si="115">F98*H98</f>
        <v>474.58251000000007</v>
      </c>
      <c r="J98" s="5"/>
      <c r="K98" s="5"/>
      <c r="L98" s="5">
        <f t="shared" ref="L98" si="116">K98+J98</f>
        <v>0</v>
      </c>
      <c r="M98" s="6">
        <f t="shared" ref="M98" si="117">J98*H98</f>
        <v>0</v>
      </c>
      <c r="N98" s="84">
        <f t="shared" ref="N98" si="118">H98*K98</f>
        <v>0</v>
      </c>
      <c r="O98" s="6">
        <f t="shared" ref="O98" si="119">N98+M98</f>
        <v>0</v>
      </c>
      <c r="P98" s="29">
        <f t="shared" ref="P98" si="120">I98-O98</f>
        <v>474.58251000000007</v>
      </c>
      <c r="Q98" s="81">
        <f t="shared" si="90"/>
        <v>0</v>
      </c>
    </row>
    <row r="99" spans="1:17" ht="38.25" x14ac:dyDescent="0.25">
      <c r="A99" s="28" t="s">
        <v>243</v>
      </c>
      <c r="B99" s="2" t="s">
        <v>244</v>
      </c>
      <c r="C99" s="87" t="s">
        <v>245</v>
      </c>
      <c r="D99" s="2" t="s">
        <v>21</v>
      </c>
      <c r="E99" s="2" t="s">
        <v>117</v>
      </c>
      <c r="F99" s="7">
        <v>3</v>
      </c>
      <c r="G99" s="8">
        <v>180.65</v>
      </c>
      <c r="H99" s="8">
        <f t="shared" si="114"/>
        <v>230.05777500000002</v>
      </c>
      <c r="I99" s="9">
        <f t="shared" ref="I99:I102" si="121">F99*H99</f>
        <v>690.17332500000009</v>
      </c>
      <c r="J99" s="5"/>
      <c r="K99" s="5"/>
      <c r="L99" s="5">
        <f t="shared" ref="L99:L102" si="122">K99+J99</f>
        <v>0</v>
      </c>
      <c r="M99" s="6">
        <f t="shared" ref="M99:M102" si="123">J99*H99</f>
        <v>0</v>
      </c>
      <c r="N99" s="84">
        <f t="shared" ref="N99:N102" si="124">H99*K99</f>
        <v>0</v>
      </c>
      <c r="O99" s="6">
        <f t="shared" ref="O99:O102" si="125">N99+M99</f>
        <v>0</v>
      </c>
      <c r="P99" s="29">
        <f t="shared" ref="P99:P103" si="126">I99-O99</f>
        <v>690.17332500000009</v>
      </c>
      <c r="Q99" s="81">
        <f t="shared" si="90"/>
        <v>0</v>
      </c>
    </row>
    <row r="100" spans="1:17" ht="38.25" x14ac:dyDescent="0.25">
      <c r="A100" s="28" t="s">
        <v>246</v>
      </c>
      <c r="B100" s="2" t="s">
        <v>247</v>
      </c>
      <c r="C100" s="87" t="s">
        <v>248</v>
      </c>
      <c r="D100" s="2" t="s">
        <v>12</v>
      </c>
      <c r="E100" s="2" t="s">
        <v>17</v>
      </c>
      <c r="F100" s="7">
        <v>4</v>
      </c>
      <c r="G100" s="8">
        <v>204.75</v>
      </c>
      <c r="H100" s="8">
        <f t="shared" si="114"/>
        <v>260.74912499999999</v>
      </c>
      <c r="I100" s="9">
        <f t="shared" si="121"/>
        <v>1042.9965</v>
      </c>
      <c r="J100" s="5"/>
      <c r="K100" s="5"/>
      <c r="L100" s="5">
        <f t="shared" si="122"/>
        <v>0</v>
      </c>
      <c r="M100" s="6">
        <f t="shared" si="123"/>
        <v>0</v>
      </c>
      <c r="N100" s="84">
        <f t="shared" si="124"/>
        <v>0</v>
      </c>
      <c r="O100" s="6">
        <f t="shared" si="125"/>
        <v>0</v>
      </c>
      <c r="P100" s="29">
        <f t="shared" si="126"/>
        <v>1042.9965</v>
      </c>
      <c r="Q100" s="81">
        <f t="shared" si="90"/>
        <v>0</v>
      </c>
    </row>
    <row r="101" spans="1:17" ht="51" x14ac:dyDescent="0.25">
      <c r="A101" s="28" t="s">
        <v>249</v>
      </c>
      <c r="B101" s="2" t="s">
        <v>250</v>
      </c>
      <c r="C101" s="87" t="s">
        <v>251</v>
      </c>
      <c r="D101" s="2" t="s">
        <v>12</v>
      </c>
      <c r="E101" s="2" t="s">
        <v>252</v>
      </c>
      <c r="F101" s="7">
        <v>9</v>
      </c>
      <c r="G101" s="8">
        <v>26.04</v>
      </c>
      <c r="H101" s="8">
        <f t="shared" si="114"/>
        <v>33.161940000000001</v>
      </c>
      <c r="I101" s="9">
        <f t="shared" si="121"/>
        <v>298.45746000000003</v>
      </c>
      <c r="J101" s="5"/>
      <c r="K101" s="5"/>
      <c r="L101" s="5">
        <f t="shared" si="122"/>
        <v>0</v>
      </c>
      <c r="M101" s="6">
        <f t="shared" si="123"/>
        <v>0</v>
      </c>
      <c r="N101" s="84">
        <f t="shared" si="124"/>
        <v>0</v>
      </c>
      <c r="O101" s="6">
        <f t="shared" si="125"/>
        <v>0</v>
      </c>
      <c r="P101" s="29">
        <f t="shared" si="126"/>
        <v>298.45746000000003</v>
      </c>
      <c r="Q101" s="81">
        <f t="shared" si="90"/>
        <v>0</v>
      </c>
    </row>
    <row r="102" spans="1:17" ht="25.5" x14ac:dyDescent="0.25">
      <c r="A102" s="28" t="s">
        <v>253</v>
      </c>
      <c r="B102" s="2" t="s">
        <v>254</v>
      </c>
      <c r="C102" s="87" t="s">
        <v>255</v>
      </c>
      <c r="D102" s="2" t="s">
        <v>12</v>
      </c>
      <c r="E102" s="2" t="s">
        <v>17</v>
      </c>
      <c r="F102" s="7">
        <v>5</v>
      </c>
      <c r="G102" s="8">
        <v>12.94</v>
      </c>
      <c r="H102" s="8">
        <f t="shared" si="114"/>
        <v>16.479089999999999</v>
      </c>
      <c r="I102" s="9">
        <f t="shared" si="121"/>
        <v>82.395449999999997</v>
      </c>
      <c r="J102" s="5"/>
      <c r="K102" s="5"/>
      <c r="L102" s="5">
        <f t="shared" si="122"/>
        <v>0</v>
      </c>
      <c r="M102" s="6">
        <f t="shared" si="123"/>
        <v>0</v>
      </c>
      <c r="N102" s="84">
        <f t="shared" si="124"/>
        <v>0</v>
      </c>
      <c r="O102" s="6">
        <f t="shared" si="125"/>
        <v>0</v>
      </c>
      <c r="P102" s="29">
        <f t="shared" si="126"/>
        <v>82.395449999999997</v>
      </c>
      <c r="Q102" s="81">
        <f t="shared" si="90"/>
        <v>0</v>
      </c>
    </row>
    <row r="103" spans="1:17" x14ac:dyDescent="0.25">
      <c r="A103" s="30"/>
      <c r="B103" s="3"/>
      <c r="C103" s="88"/>
      <c r="D103" s="3"/>
      <c r="E103" s="3"/>
      <c r="F103" s="10"/>
      <c r="G103" s="11"/>
      <c r="H103" s="11"/>
      <c r="I103" s="12">
        <f>SUM(I98:I102)</f>
        <v>2588.6052450000002</v>
      </c>
      <c r="J103" s="13"/>
      <c r="K103" s="13"/>
      <c r="L103" s="13"/>
      <c r="M103" s="12">
        <f>SUM(M98:M102)</f>
        <v>0</v>
      </c>
      <c r="N103" s="12">
        <f>SUM(N98:N102)</f>
        <v>0</v>
      </c>
      <c r="O103" s="12">
        <f>SUM(O98:O102)</f>
        <v>0</v>
      </c>
      <c r="P103" s="31">
        <f t="shared" si="126"/>
        <v>2588.6052450000002</v>
      </c>
      <c r="Q103" s="81">
        <f t="shared" si="90"/>
        <v>0</v>
      </c>
    </row>
    <row r="104" spans="1:17" ht="20.100000000000001" customHeight="1" x14ac:dyDescent="0.25">
      <c r="A104" s="27" t="s">
        <v>256</v>
      </c>
      <c r="B104" s="101" t="s">
        <v>257</v>
      </c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2"/>
      <c r="Q104" s="81"/>
    </row>
    <row r="105" spans="1:17" x14ac:dyDescent="0.25">
      <c r="A105" s="28" t="s">
        <v>258</v>
      </c>
      <c r="B105" s="2" t="s">
        <v>259</v>
      </c>
      <c r="C105" s="87" t="s">
        <v>260</v>
      </c>
      <c r="D105" s="2" t="s">
        <v>261</v>
      </c>
      <c r="E105" s="2" t="s">
        <v>117</v>
      </c>
      <c r="F105" s="7">
        <v>119</v>
      </c>
      <c r="G105" s="8">
        <v>7.07</v>
      </c>
      <c r="H105" s="8">
        <f t="shared" ref="H105:H151" si="127">G105*$R$9</f>
        <v>9.0036450000000006</v>
      </c>
      <c r="I105" s="9">
        <f t="shared" ref="I105" si="128">F105*H105</f>
        <v>1071.433755</v>
      </c>
      <c r="J105" s="5"/>
      <c r="K105" s="5"/>
      <c r="L105" s="5">
        <f t="shared" ref="L105" si="129">K105+J105</f>
        <v>0</v>
      </c>
      <c r="M105" s="6">
        <f t="shared" ref="M105" si="130">J105*H105</f>
        <v>0</v>
      </c>
      <c r="N105" s="84">
        <f t="shared" ref="N105" si="131">H105*K105</f>
        <v>0</v>
      </c>
      <c r="O105" s="6">
        <f t="shared" ref="O105" si="132">N105+M105</f>
        <v>0</v>
      </c>
      <c r="P105" s="29">
        <f t="shared" ref="P105" si="133">I105-O105</f>
        <v>1071.433755</v>
      </c>
      <c r="Q105" s="81">
        <f t="shared" si="90"/>
        <v>0</v>
      </c>
    </row>
    <row r="106" spans="1:17" ht="25.5" x14ac:dyDescent="0.25">
      <c r="A106" s="28" t="s">
        <v>262</v>
      </c>
      <c r="B106" s="2" t="s">
        <v>263</v>
      </c>
      <c r="C106" s="87" t="s">
        <v>264</v>
      </c>
      <c r="D106" s="2" t="s">
        <v>21</v>
      </c>
      <c r="E106" s="2" t="s">
        <v>117</v>
      </c>
      <c r="F106" s="7">
        <v>8</v>
      </c>
      <c r="G106" s="8">
        <v>5.83</v>
      </c>
      <c r="H106" s="8">
        <f t="shared" si="127"/>
        <v>7.4245050000000008</v>
      </c>
      <c r="I106" s="9">
        <f t="shared" ref="I106:I151" si="134">F106*H106</f>
        <v>59.396040000000006</v>
      </c>
      <c r="J106" s="5"/>
      <c r="K106" s="5"/>
      <c r="L106" s="5">
        <f t="shared" ref="L106:L151" si="135">K106+J106</f>
        <v>0</v>
      </c>
      <c r="M106" s="6">
        <f t="shared" ref="M106:M151" si="136">J106*H106</f>
        <v>0</v>
      </c>
      <c r="N106" s="84">
        <f t="shared" ref="N106:N151" si="137">H106*K106</f>
        <v>0</v>
      </c>
      <c r="O106" s="6">
        <f t="shared" ref="O106:O151" si="138">N106+M106</f>
        <v>0</v>
      </c>
      <c r="P106" s="29">
        <f t="shared" ref="P106:P152" si="139">I106-O106</f>
        <v>59.396040000000006</v>
      </c>
      <c r="Q106" s="81">
        <f t="shared" si="90"/>
        <v>0</v>
      </c>
    </row>
    <row r="107" spans="1:17" ht="51" x14ac:dyDescent="0.25">
      <c r="A107" s="28" t="s">
        <v>265</v>
      </c>
      <c r="B107" s="2" t="s">
        <v>266</v>
      </c>
      <c r="C107" s="87" t="s">
        <v>267</v>
      </c>
      <c r="D107" s="2" t="s">
        <v>21</v>
      </c>
      <c r="E107" s="2" t="s">
        <v>117</v>
      </c>
      <c r="F107" s="7">
        <v>10</v>
      </c>
      <c r="G107" s="8">
        <v>10.97</v>
      </c>
      <c r="H107" s="8">
        <f t="shared" si="127"/>
        <v>13.970295000000002</v>
      </c>
      <c r="I107" s="9">
        <f t="shared" si="134"/>
        <v>139.70295000000002</v>
      </c>
      <c r="J107" s="5"/>
      <c r="K107" s="5"/>
      <c r="L107" s="5">
        <f t="shared" si="135"/>
        <v>0</v>
      </c>
      <c r="M107" s="6">
        <f t="shared" si="136"/>
        <v>0</v>
      </c>
      <c r="N107" s="84">
        <f t="shared" si="137"/>
        <v>0</v>
      </c>
      <c r="O107" s="6">
        <f t="shared" si="138"/>
        <v>0</v>
      </c>
      <c r="P107" s="29">
        <f t="shared" si="139"/>
        <v>139.70295000000002</v>
      </c>
      <c r="Q107" s="81">
        <f t="shared" si="90"/>
        <v>0</v>
      </c>
    </row>
    <row r="108" spans="1:17" ht="51" x14ac:dyDescent="0.25">
      <c r="A108" s="28" t="s">
        <v>268</v>
      </c>
      <c r="B108" s="2" t="s">
        <v>269</v>
      </c>
      <c r="C108" s="87" t="s">
        <v>270</v>
      </c>
      <c r="D108" s="2" t="s">
        <v>21</v>
      </c>
      <c r="E108" s="2" t="s">
        <v>117</v>
      </c>
      <c r="F108" s="7">
        <v>6</v>
      </c>
      <c r="G108" s="8">
        <v>12.5</v>
      </c>
      <c r="H108" s="8">
        <f t="shared" si="127"/>
        <v>15.918750000000001</v>
      </c>
      <c r="I108" s="9">
        <f t="shared" si="134"/>
        <v>95.512500000000003</v>
      </c>
      <c r="J108" s="5"/>
      <c r="K108" s="5"/>
      <c r="L108" s="5">
        <f t="shared" si="135"/>
        <v>0</v>
      </c>
      <c r="M108" s="6">
        <f t="shared" si="136"/>
        <v>0</v>
      </c>
      <c r="N108" s="84">
        <f t="shared" si="137"/>
        <v>0</v>
      </c>
      <c r="O108" s="6">
        <f t="shared" si="138"/>
        <v>0</v>
      </c>
      <c r="P108" s="29">
        <f t="shared" si="139"/>
        <v>95.512500000000003</v>
      </c>
      <c r="Q108" s="81">
        <f t="shared" si="90"/>
        <v>0</v>
      </c>
    </row>
    <row r="109" spans="1:17" ht="51" x14ac:dyDescent="0.25">
      <c r="A109" s="28" t="s">
        <v>271</v>
      </c>
      <c r="B109" s="2" t="s">
        <v>272</v>
      </c>
      <c r="C109" s="87" t="s">
        <v>273</v>
      </c>
      <c r="D109" s="2" t="s">
        <v>21</v>
      </c>
      <c r="E109" s="2" t="s">
        <v>22</v>
      </c>
      <c r="F109" s="7">
        <v>203.96</v>
      </c>
      <c r="G109" s="8">
        <v>8.6</v>
      </c>
      <c r="H109" s="8">
        <f t="shared" si="127"/>
        <v>10.9521</v>
      </c>
      <c r="I109" s="9">
        <f t="shared" si="134"/>
        <v>2233.7903160000001</v>
      </c>
      <c r="J109" s="5"/>
      <c r="K109" s="5"/>
      <c r="L109" s="5">
        <f t="shared" si="135"/>
        <v>0</v>
      </c>
      <c r="M109" s="6">
        <f t="shared" si="136"/>
        <v>0</v>
      </c>
      <c r="N109" s="84">
        <f t="shared" si="137"/>
        <v>0</v>
      </c>
      <c r="O109" s="6">
        <f t="shared" si="138"/>
        <v>0</v>
      </c>
      <c r="P109" s="29">
        <f t="shared" si="139"/>
        <v>2233.7903160000001</v>
      </c>
      <c r="Q109" s="81">
        <f t="shared" si="90"/>
        <v>0</v>
      </c>
    </row>
    <row r="110" spans="1:17" ht="51" x14ac:dyDescent="0.25">
      <c r="A110" s="28" t="s">
        <v>274</v>
      </c>
      <c r="B110" s="2" t="s">
        <v>275</v>
      </c>
      <c r="C110" s="87" t="s">
        <v>276</v>
      </c>
      <c r="D110" s="2" t="s">
        <v>21</v>
      </c>
      <c r="E110" s="2" t="s">
        <v>22</v>
      </c>
      <c r="F110" s="7">
        <v>18.809999999999999</v>
      </c>
      <c r="G110" s="8">
        <v>9.2899999999999991</v>
      </c>
      <c r="H110" s="8">
        <f t="shared" si="127"/>
        <v>11.830814999999999</v>
      </c>
      <c r="I110" s="9">
        <f t="shared" si="134"/>
        <v>222.53763014999998</v>
      </c>
      <c r="J110" s="5"/>
      <c r="K110" s="5"/>
      <c r="L110" s="5">
        <f t="shared" si="135"/>
        <v>0</v>
      </c>
      <c r="M110" s="6">
        <f t="shared" si="136"/>
        <v>0</v>
      </c>
      <c r="N110" s="84">
        <f t="shared" si="137"/>
        <v>0</v>
      </c>
      <c r="O110" s="6">
        <f t="shared" si="138"/>
        <v>0</v>
      </c>
      <c r="P110" s="29">
        <f t="shared" si="139"/>
        <v>222.53763014999998</v>
      </c>
      <c r="Q110" s="81">
        <f t="shared" si="90"/>
        <v>0</v>
      </c>
    </row>
    <row r="111" spans="1:17" ht="51" x14ac:dyDescent="0.25">
      <c r="A111" s="28" t="s">
        <v>277</v>
      </c>
      <c r="B111" s="2" t="s">
        <v>278</v>
      </c>
      <c r="C111" s="87" t="s">
        <v>279</v>
      </c>
      <c r="D111" s="2" t="s">
        <v>21</v>
      </c>
      <c r="E111" s="2" t="s">
        <v>22</v>
      </c>
      <c r="F111" s="7">
        <v>0</v>
      </c>
      <c r="G111" s="8">
        <v>5.36</v>
      </c>
      <c r="H111" s="8">
        <f t="shared" si="127"/>
        <v>6.8259600000000011</v>
      </c>
      <c r="I111" s="9">
        <f t="shared" si="134"/>
        <v>0</v>
      </c>
      <c r="J111" s="5"/>
      <c r="K111" s="5"/>
      <c r="L111" s="5">
        <f t="shared" si="135"/>
        <v>0</v>
      </c>
      <c r="M111" s="6">
        <f t="shared" si="136"/>
        <v>0</v>
      </c>
      <c r="N111" s="84">
        <f t="shared" si="137"/>
        <v>0</v>
      </c>
      <c r="O111" s="6">
        <f t="shared" si="138"/>
        <v>0</v>
      </c>
      <c r="P111" s="29">
        <f t="shared" si="139"/>
        <v>0</v>
      </c>
      <c r="Q111" s="81"/>
    </row>
    <row r="112" spans="1:17" ht="25.5" x14ac:dyDescent="0.25">
      <c r="A112" s="28" t="s">
        <v>280</v>
      </c>
      <c r="B112" s="2" t="s">
        <v>281</v>
      </c>
      <c r="C112" s="87" t="s">
        <v>282</v>
      </c>
      <c r="D112" s="2" t="s">
        <v>21</v>
      </c>
      <c r="E112" s="2" t="s">
        <v>22</v>
      </c>
      <c r="F112" s="7">
        <v>0</v>
      </c>
      <c r="G112" s="8">
        <v>9.08</v>
      </c>
      <c r="H112" s="8">
        <f t="shared" si="127"/>
        <v>11.56338</v>
      </c>
      <c r="I112" s="9">
        <f t="shared" si="134"/>
        <v>0</v>
      </c>
      <c r="J112" s="5"/>
      <c r="K112" s="5"/>
      <c r="L112" s="5">
        <f t="shared" si="135"/>
        <v>0</v>
      </c>
      <c r="M112" s="6">
        <f t="shared" si="136"/>
        <v>0</v>
      </c>
      <c r="N112" s="84">
        <f t="shared" si="137"/>
        <v>0</v>
      </c>
      <c r="O112" s="6">
        <f t="shared" si="138"/>
        <v>0</v>
      </c>
      <c r="P112" s="29">
        <f t="shared" si="139"/>
        <v>0</v>
      </c>
      <c r="Q112" s="81"/>
    </row>
    <row r="113" spans="1:17" ht="51" x14ac:dyDescent="0.25">
      <c r="A113" s="28" t="s">
        <v>283</v>
      </c>
      <c r="B113" s="2" t="s">
        <v>284</v>
      </c>
      <c r="C113" s="87" t="s">
        <v>285</v>
      </c>
      <c r="D113" s="2" t="s">
        <v>21</v>
      </c>
      <c r="E113" s="2" t="s">
        <v>22</v>
      </c>
      <c r="F113" s="7">
        <v>20.3</v>
      </c>
      <c r="G113" s="8">
        <v>11.61</v>
      </c>
      <c r="H113" s="8">
        <f t="shared" si="127"/>
        <v>14.785335</v>
      </c>
      <c r="I113" s="9">
        <f t="shared" si="134"/>
        <v>300.14230050000003</v>
      </c>
      <c r="J113" s="5"/>
      <c r="K113" s="5"/>
      <c r="L113" s="5">
        <f t="shared" si="135"/>
        <v>0</v>
      </c>
      <c r="M113" s="6">
        <f t="shared" si="136"/>
        <v>0</v>
      </c>
      <c r="N113" s="84">
        <f t="shared" si="137"/>
        <v>0</v>
      </c>
      <c r="O113" s="6">
        <f t="shared" si="138"/>
        <v>0</v>
      </c>
      <c r="P113" s="29">
        <f t="shared" si="139"/>
        <v>300.14230050000003</v>
      </c>
      <c r="Q113" s="81">
        <f t="shared" si="90"/>
        <v>0</v>
      </c>
    </row>
    <row r="114" spans="1:17" ht="51" x14ac:dyDescent="0.25">
      <c r="A114" s="28" t="s">
        <v>286</v>
      </c>
      <c r="B114" s="2" t="s">
        <v>287</v>
      </c>
      <c r="C114" s="87" t="s">
        <v>288</v>
      </c>
      <c r="D114" s="2" t="s">
        <v>21</v>
      </c>
      <c r="E114" s="2" t="s">
        <v>22</v>
      </c>
      <c r="F114" s="7">
        <v>205</v>
      </c>
      <c r="G114" s="8">
        <v>9.59</v>
      </c>
      <c r="H114" s="8">
        <f t="shared" si="127"/>
        <v>12.212865000000001</v>
      </c>
      <c r="I114" s="9">
        <f t="shared" si="134"/>
        <v>2503.6373250000001</v>
      </c>
      <c r="J114" s="5"/>
      <c r="K114" s="5"/>
      <c r="L114" s="5">
        <f t="shared" si="135"/>
        <v>0</v>
      </c>
      <c r="M114" s="6">
        <f t="shared" si="136"/>
        <v>0</v>
      </c>
      <c r="N114" s="84">
        <f t="shared" si="137"/>
        <v>0</v>
      </c>
      <c r="O114" s="6">
        <f t="shared" si="138"/>
        <v>0</v>
      </c>
      <c r="P114" s="29">
        <f t="shared" si="139"/>
        <v>2503.6373250000001</v>
      </c>
      <c r="Q114" s="81">
        <f t="shared" si="90"/>
        <v>0</v>
      </c>
    </row>
    <row r="115" spans="1:17" ht="51" x14ac:dyDescent="0.25">
      <c r="A115" s="28" t="s">
        <v>289</v>
      </c>
      <c r="B115" s="2" t="s">
        <v>290</v>
      </c>
      <c r="C115" s="87" t="s">
        <v>291</v>
      </c>
      <c r="D115" s="2" t="s">
        <v>21</v>
      </c>
      <c r="E115" s="2" t="s">
        <v>117</v>
      </c>
      <c r="F115" s="7">
        <v>6</v>
      </c>
      <c r="G115" s="8">
        <v>5.3</v>
      </c>
      <c r="H115" s="8">
        <f t="shared" si="127"/>
        <v>6.7495500000000002</v>
      </c>
      <c r="I115" s="9">
        <f t="shared" si="134"/>
        <v>40.497300000000003</v>
      </c>
      <c r="J115" s="5"/>
      <c r="K115" s="5"/>
      <c r="L115" s="5">
        <f t="shared" si="135"/>
        <v>0</v>
      </c>
      <c r="M115" s="6">
        <f t="shared" si="136"/>
        <v>0</v>
      </c>
      <c r="N115" s="84">
        <f t="shared" si="137"/>
        <v>0</v>
      </c>
      <c r="O115" s="6">
        <f t="shared" si="138"/>
        <v>0</v>
      </c>
      <c r="P115" s="29">
        <f t="shared" si="139"/>
        <v>40.497300000000003</v>
      </c>
      <c r="Q115" s="81">
        <f t="shared" si="90"/>
        <v>0</v>
      </c>
    </row>
    <row r="116" spans="1:17" ht="51" x14ac:dyDescent="0.25">
      <c r="A116" s="28" t="s">
        <v>292</v>
      </c>
      <c r="B116" s="2" t="s">
        <v>293</v>
      </c>
      <c r="C116" s="87" t="s">
        <v>294</v>
      </c>
      <c r="D116" s="2" t="s">
        <v>21</v>
      </c>
      <c r="E116" s="2" t="s">
        <v>117</v>
      </c>
      <c r="F116" s="7">
        <v>14</v>
      </c>
      <c r="G116" s="8">
        <v>7.01</v>
      </c>
      <c r="H116" s="8">
        <f t="shared" si="127"/>
        <v>8.9272349999999996</v>
      </c>
      <c r="I116" s="9">
        <f t="shared" si="134"/>
        <v>124.98129</v>
      </c>
      <c r="J116" s="5"/>
      <c r="K116" s="5"/>
      <c r="L116" s="5">
        <f t="shared" si="135"/>
        <v>0</v>
      </c>
      <c r="M116" s="6">
        <f t="shared" si="136"/>
        <v>0</v>
      </c>
      <c r="N116" s="84">
        <f t="shared" si="137"/>
        <v>0</v>
      </c>
      <c r="O116" s="6">
        <f t="shared" si="138"/>
        <v>0</v>
      </c>
      <c r="P116" s="29">
        <f t="shared" si="139"/>
        <v>124.98129</v>
      </c>
      <c r="Q116" s="81">
        <f t="shared" si="90"/>
        <v>0</v>
      </c>
    </row>
    <row r="117" spans="1:17" ht="38.25" x14ac:dyDescent="0.25">
      <c r="A117" s="28" t="s">
        <v>295</v>
      </c>
      <c r="B117" s="2" t="s">
        <v>296</v>
      </c>
      <c r="C117" s="87" t="s">
        <v>297</v>
      </c>
      <c r="D117" s="2" t="s">
        <v>21</v>
      </c>
      <c r="E117" s="2" t="s">
        <v>117</v>
      </c>
      <c r="F117" s="7">
        <v>0</v>
      </c>
      <c r="G117" s="8">
        <v>9.07</v>
      </c>
      <c r="H117" s="8">
        <f t="shared" si="127"/>
        <v>11.550645000000001</v>
      </c>
      <c r="I117" s="9">
        <f t="shared" si="134"/>
        <v>0</v>
      </c>
      <c r="J117" s="5"/>
      <c r="K117" s="5"/>
      <c r="L117" s="5">
        <f t="shared" si="135"/>
        <v>0</v>
      </c>
      <c r="M117" s="6">
        <f t="shared" si="136"/>
        <v>0</v>
      </c>
      <c r="N117" s="84">
        <f t="shared" si="137"/>
        <v>0</v>
      </c>
      <c r="O117" s="6">
        <f t="shared" si="138"/>
        <v>0</v>
      </c>
      <c r="P117" s="29">
        <f t="shared" si="139"/>
        <v>0</v>
      </c>
      <c r="Q117" s="81"/>
    </row>
    <row r="118" spans="1:17" ht="63.75" x14ac:dyDescent="0.25">
      <c r="A118" s="28" t="s">
        <v>298</v>
      </c>
      <c r="B118" s="2" t="s">
        <v>299</v>
      </c>
      <c r="C118" s="87" t="s">
        <v>300</v>
      </c>
      <c r="D118" s="2" t="s">
        <v>21</v>
      </c>
      <c r="E118" s="2" t="s">
        <v>117</v>
      </c>
      <c r="F118" s="7">
        <v>1</v>
      </c>
      <c r="G118" s="8">
        <v>490.95</v>
      </c>
      <c r="H118" s="8">
        <f t="shared" si="127"/>
        <v>625.22482500000001</v>
      </c>
      <c r="I118" s="9">
        <f t="shared" si="134"/>
        <v>625.22482500000001</v>
      </c>
      <c r="J118" s="5"/>
      <c r="K118" s="5"/>
      <c r="L118" s="5">
        <f t="shared" si="135"/>
        <v>0</v>
      </c>
      <c r="M118" s="6">
        <f t="shared" si="136"/>
        <v>0</v>
      </c>
      <c r="N118" s="84">
        <f t="shared" si="137"/>
        <v>0</v>
      </c>
      <c r="O118" s="6">
        <f t="shared" si="138"/>
        <v>0</v>
      </c>
      <c r="P118" s="29">
        <f t="shared" si="139"/>
        <v>625.22482500000001</v>
      </c>
      <c r="Q118" s="81">
        <f t="shared" si="90"/>
        <v>0</v>
      </c>
    </row>
    <row r="119" spans="1:17" ht="63.75" x14ac:dyDescent="0.25">
      <c r="A119" s="28" t="s">
        <v>301</v>
      </c>
      <c r="B119" s="2" t="s">
        <v>302</v>
      </c>
      <c r="C119" s="87" t="s">
        <v>303</v>
      </c>
      <c r="D119" s="2" t="s">
        <v>21</v>
      </c>
      <c r="E119" s="2" t="s">
        <v>117</v>
      </c>
      <c r="F119" s="7">
        <v>1</v>
      </c>
      <c r="G119" s="8">
        <v>460.24</v>
      </c>
      <c r="H119" s="8">
        <f t="shared" si="127"/>
        <v>586.1156400000001</v>
      </c>
      <c r="I119" s="9">
        <f t="shared" si="134"/>
        <v>586.1156400000001</v>
      </c>
      <c r="J119" s="5"/>
      <c r="K119" s="5"/>
      <c r="L119" s="5">
        <f t="shared" si="135"/>
        <v>0</v>
      </c>
      <c r="M119" s="6">
        <f t="shared" si="136"/>
        <v>0</v>
      </c>
      <c r="N119" s="84">
        <f t="shared" si="137"/>
        <v>0</v>
      </c>
      <c r="O119" s="6">
        <f t="shared" si="138"/>
        <v>0</v>
      </c>
      <c r="P119" s="29">
        <f t="shared" si="139"/>
        <v>586.1156400000001</v>
      </c>
      <c r="Q119" s="81">
        <f t="shared" si="90"/>
        <v>0</v>
      </c>
    </row>
    <row r="120" spans="1:17" x14ac:dyDescent="0.25">
      <c r="A120" s="28" t="s">
        <v>304</v>
      </c>
      <c r="B120" s="2" t="s">
        <v>305</v>
      </c>
      <c r="C120" s="87" t="s">
        <v>306</v>
      </c>
      <c r="D120" s="2"/>
      <c r="E120" s="2" t="s">
        <v>307</v>
      </c>
      <c r="F120" s="7">
        <v>41</v>
      </c>
      <c r="G120" s="8">
        <v>22.26</v>
      </c>
      <c r="H120" s="8">
        <f t="shared" si="127"/>
        <v>28.348110000000002</v>
      </c>
      <c r="I120" s="9">
        <f t="shared" si="134"/>
        <v>1162.27251</v>
      </c>
      <c r="J120" s="5"/>
      <c r="K120" s="5"/>
      <c r="L120" s="5">
        <f t="shared" si="135"/>
        <v>0</v>
      </c>
      <c r="M120" s="6">
        <f t="shared" si="136"/>
        <v>0</v>
      </c>
      <c r="N120" s="84">
        <f t="shared" si="137"/>
        <v>0</v>
      </c>
      <c r="O120" s="6">
        <f t="shared" si="138"/>
        <v>0</v>
      </c>
      <c r="P120" s="29">
        <f t="shared" si="139"/>
        <v>1162.27251</v>
      </c>
      <c r="Q120" s="81">
        <f t="shared" si="90"/>
        <v>0</v>
      </c>
    </row>
    <row r="121" spans="1:17" ht="25.5" x14ac:dyDescent="0.25">
      <c r="A121" s="28" t="s">
        <v>308</v>
      </c>
      <c r="B121" s="2" t="s">
        <v>309</v>
      </c>
      <c r="C121" s="87" t="s">
        <v>310</v>
      </c>
      <c r="D121" s="2" t="s">
        <v>12</v>
      </c>
      <c r="E121" s="2" t="s">
        <v>17</v>
      </c>
      <c r="F121" s="7">
        <v>6</v>
      </c>
      <c r="G121" s="8">
        <v>71.28</v>
      </c>
      <c r="H121" s="8">
        <f t="shared" si="127"/>
        <v>90.775080000000003</v>
      </c>
      <c r="I121" s="9">
        <f t="shared" si="134"/>
        <v>544.65048000000002</v>
      </c>
      <c r="J121" s="5"/>
      <c r="K121" s="5"/>
      <c r="L121" s="5">
        <f t="shared" si="135"/>
        <v>0</v>
      </c>
      <c r="M121" s="6">
        <f t="shared" si="136"/>
        <v>0</v>
      </c>
      <c r="N121" s="84">
        <f t="shared" si="137"/>
        <v>0</v>
      </c>
      <c r="O121" s="6">
        <f t="shared" si="138"/>
        <v>0</v>
      </c>
      <c r="P121" s="29">
        <f t="shared" si="139"/>
        <v>544.65048000000002</v>
      </c>
      <c r="Q121" s="81">
        <f t="shared" si="90"/>
        <v>0</v>
      </c>
    </row>
    <row r="122" spans="1:17" ht="38.25" x14ac:dyDescent="0.25">
      <c r="A122" s="28" t="s">
        <v>311</v>
      </c>
      <c r="B122" s="2" t="s">
        <v>312</v>
      </c>
      <c r="C122" s="87" t="s">
        <v>313</v>
      </c>
      <c r="D122" s="2" t="s">
        <v>21</v>
      </c>
      <c r="E122" s="2" t="s">
        <v>117</v>
      </c>
      <c r="F122" s="7">
        <v>11</v>
      </c>
      <c r="G122" s="8">
        <v>26.34</v>
      </c>
      <c r="H122" s="8">
        <f t="shared" si="127"/>
        <v>33.543990000000001</v>
      </c>
      <c r="I122" s="9">
        <f t="shared" si="134"/>
        <v>368.98389000000003</v>
      </c>
      <c r="J122" s="5"/>
      <c r="K122" s="5"/>
      <c r="L122" s="5">
        <f t="shared" si="135"/>
        <v>0</v>
      </c>
      <c r="M122" s="6">
        <f t="shared" si="136"/>
        <v>0</v>
      </c>
      <c r="N122" s="84">
        <f t="shared" si="137"/>
        <v>0</v>
      </c>
      <c r="O122" s="6">
        <f t="shared" si="138"/>
        <v>0</v>
      </c>
      <c r="P122" s="29">
        <f t="shared" si="139"/>
        <v>368.98389000000003</v>
      </c>
      <c r="Q122" s="81">
        <f t="shared" si="90"/>
        <v>0</v>
      </c>
    </row>
    <row r="123" spans="1:17" ht="38.25" x14ac:dyDescent="0.25">
      <c r="A123" s="28" t="s">
        <v>314</v>
      </c>
      <c r="B123" s="2" t="s">
        <v>315</v>
      </c>
      <c r="C123" s="87" t="s">
        <v>316</v>
      </c>
      <c r="D123" s="2" t="s">
        <v>21</v>
      </c>
      <c r="E123" s="2" t="s">
        <v>117</v>
      </c>
      <c r="F123" s="7">
        <v>8</v>
      </c>
      <c r="G123" s="8">
        <v>30.42</v>
      </c>
      <c r="H123" s="8">
        <f t="shared" si="127"/>
        <v>38.739870000000003</v>
      </c>
      <c r="I123" s="9">
        <f t="shared" si="134"/>
        <v>309.91896000000003</v>
      </c>
      <c r="J123" s="5"/>
      <c r="K123" s="5"/>
      <c r="L123" s="5">
        <f t="shared" si="135"/>
        <v>0</v>
      </c>
      <c r="M123" s="6">
        <f t="shared" si="136"/>
        <v>0</v>
      </c>
      <c r="N123" s="84">
        <f t="shared" si="137"/>
        <v>0</v>
      </c>
      <c r="O123" s="6">
        <f t="shared" si="138"/>
        <v>0</v>
      </c>
      <c r="P123" s="29">
        <f t="shared" si="139"/>
        <v>309.91896000000003</v>
      </c>
      <c r="Q123" s="81">
        <f t="shared" si="90"/>
        <v>0</v>
      </c>
    </row>
    <row r="124" spans="1:17" ht="51" x14ac:dyDescent="0.25">
      <c r="A124" s="28" t="s">
        <v>317</v>
      </c>
      <c r="B124" s="2" t="s">
        <v>318</v>
      </c>
      <c r="C124" s="87" t="s">
        <v>319</v>
      </c>
      <c r="D124" s="2" t="s">
        <v>21</v>
      </c>
      <c r="E124" s="2" t="s">
        <v>117</v>
      </c>
      <c r="F124" s="7">
        <v>1</v>
      </c>
      <c r="G124" s="8">
        <v>54.64</v>
      </c>
      <c r="H124" s="8">
        <f t="shared" si="127"/>
        <v>69.584040000000002</v>
      </c>
      <c r="I124" s="9">
        <f t="shared" si="134"/>
        <v>69.584040000000002</v>
      </c>
      <c r="J124" s="5"/>
      <c r="K124" s="5"/>
      <c r="L124" s="5">
        <f t="shared" si="135"/>
        <v>0</v>
      </c>
      <c r="M124" s="6">
        <f t="shared" si="136"/>
        <v>0</v>
      </c>
      <c r="N124" s="84">
        <f t="shared" si="137"/>
        <v>0</v>
      </c>
      <c r="O124" s="6">
        <f t="shared" si="138"/>
        <v>0</v>
      </c>
      <c r="P124" s="29">
        <f t="shared" si="139"/>
        <v>69.584040000000002</v>
      </c>
      <c r="Q124" s="81">
        <f t="shared" si="90"/>
        <v>0</v>
      </c>
    </row>
    <row r="125" spans="1:17" ht="51" x14ac:dyDescent="0.25">
      <c r="A125" s="28" t="s">
        <v>320</v>
      </c>
      <c r="B125" s="2" t="s">
        <v>321</v>
      </c>
      <c r="C125" s="87" t="s">
        <v>322</v>
      </c>
      <c r="D125" s="2" t="s">
        <v>21</v>
      </c>
      <c r="E125" s="2" t="s">
        <v>117</v>
      </c>
      <c r="F125" s="7">
        <v>6</v>
      </c>
      <c r="G125" s="8">
        <v>85.63</v>
      </c>
      <c r="H125" s="8">
        <f t="shared" si="127"/>
        <v>109.04980500000001</v>
      </c>
      <c r="I125" s="9">
        <f t="shared" si="134"/>
        <v>654.29883000000007</v>
      </c>
      <c r="J125" s="5"/>
      <c r="K125" s="5"/>
      <c r="L125" s="5">
        <f t="shared" si="135"/>
        <v>0</v>
      </c>
      <c r="M125" s="6">
        <f t="shared" si="136"/>
        <v>0</v>
      </c>
      <c r="N125" s="84">
        <f t="shared" si="137"/>
        <v>0</v>
      </c>
      <c r="O125" s="6">
        <f t="shared" si="138"/>
        <v>0</v>
      </c>
      <c r="P125" s="29">
        <f t="shared" si="139"/>
        <v>654.29883000000007</v>
      </c>
      <c r="Q125" s="81">
        <f t="shared" si="90"/>
        <v>0</v>
      </c>
    </row>
    <row r="126" spans="1:17" ht="51" x14ac:dyDescent="0.25">
      <c r="A126" s="28" t="s">
        <v>323</v>
      </c>
      <c r="B126" s="2" t="s">
        <v>324</v>
      </c>
      <c r="C126" s="87" t="s">
        <v>325</v>
      </c>
      <c r="D126" s="2" t="s">
        <v>21</v>
      </c>
      <c r="E126" s="2" t="s">
        <v>117</v>
      </c>
      <c r="F126" s="7">
        <v>81</v>
      </c>
      <c r="G126" s="8">
        <v>117.08</v>
      </c>
      <c r="H126" s="8">
        <f t="shared" si="127"/>
        <v>149.10138000000001</v>
      </c>
      <c r="I126" s="9">
        <f t="shared" si="134"/>
        <v>12077.21178</v>
      </c>
      <c r="J126" s="5"/>
      <c r="K126" s="5"/>
      <c r="L126" s="5">
        <f t="shared" si="135"/>
        <v>0</v>
      </c>
      <c r="M126" s="6">
        <f t="shared" si="136"/>
        <v>0</v>
      </c>
      <c r="N126" s="84">
        <f t="shared" si="137"/>
        <v>0</v>
      </c>
      <c r="O126" s="6">
        <f t="shared" si="138"/>
        <v>0</v>
      </c>
      <c r="P126" s="29">
        <f t="shared" si="139"/>
        <v>12077.21178</v>
      </c>
      <c r="Q126" s="81">
        <f t="shared" si="90"/>
        <v>0</v>
      </c>
    </row>
    <row r="127" spans="1:17" ht="51" x14ac:dyDescent="0.25">
      <c r="A127" s="28" t="s">
        <v>326</v>
      </c>
      <c r="B127" s="2" t="s">
        <v>327</v>
      </c>
      <c r="C127" s="87" t="s">
        <v>328</v>
      </c>
      <c r="D127" s="2" t="s">
        <v>21</v>
      </c>
      <c r="E127" s="2" t="s">
        <v>22</v>
      </c>
      <c r="F127" s="7">
        <v>64.95</v>
      </c>
      <c r="G127" s="8">
        <v>13.87</v>
      </c>
      <c r="H127" s="8">
        <f t="shared" si="127"/>
        <v>17.663444999999999</v>
      </c>
      <c r="I127" s="9">
        <f t="shared" si="134"/>
        <v>1147.24075275</v>
      </c>
      <c r="J127" s="5"/>
      <c r="K127" s="5"/>
      <c r="L127" s="5">
        <f t="shared" si="135"/>
        <v>0</v>
      </c>
      <c r="M127" s="6">
        <f t="shared" si="136"/>
        <v>0</v>
      </c>
      <c r="N127" s="84">
        <f t="shared" si="137"/>
        <v>0</v>
      </c>
      <c r="O127" s="6">
        <f t="shared" si="138"/>
        <v>0</v>
      </c>
      <c r="P127" s="29">
        <f t="shared" si="139"/>
        <v>1147.24075275</v>
      </c>
      <c r="Q127" s="81">
        <f t="shared" si="90"/>
        <v>0</v>
      </c>
    </row>
    <row r="128" spans="1:17" ht="51" x14ac:dyDescent="0.25">
      <c r="A128" s="28" t="s">
        <v>329</v>
      </c>
      <c r="B128" s="2" t="s">
        <v>327</v>
      </c>
      <c r="C128" s="87" t="s">
        <v>328</v>
      </c>
      <c r="D128" s="2" t="s">
        <v>21</v>
      </c>
      <c r="E128" s="2" t="s">
        <v>22</v>
      </c>
      <c r="F128" s="7">
        <v>21.65</v>
      </c>
      <c r="G128" s="8">
        <v>13.87</v>
      </c>
      <c r="H128" s="8">
        <f t="shared" si="127"/>
        <v>17.663444999999999</v>
      </c>
      <c r="I128" s="9">
        <f t="shared" si="134"/>
        <v>382.41358424999999</v>
      </c>
      <c r="J128" s="5"/>
      <c r="K128" s="5"/>
      <c r="L128" s="5">
        <f t="shared" si="135"/>
        <v>0</v>
      </c>
      <c r="M128" s="6">
        <f t="shared" si="136"/>
        <v>0</v>
      </c>
      <c r="N128" s="84">
        <f t="shared" si="137"/>
        <v>0</v>
      </c>
      <c r="O128" s="6">
        <f t="shared" si="138"/>
        <v>0</v>
      </c>
      <c r="P128" s="29">
        <f t="shared" si="139"/>
        <v>382.41358424999999</v>
      </c>
      <c r="Q128" s="81">
        <f t="shared" si="90"/>
        <v>0</v>
      </c>
    </row>
    <row r="129" spans="1:17" ht="51" x14ac:dyDescent="0.25">
      <c r="A129" s="28" t="s">
        <v>330</v>
      </c>
      <c r="B129" s="2" t="s">
        <v>327</v>
      </c>
      <c r="C129" s="87" t="s">
        <v>328</v>
      </c>
      <c r="D129" s="2" t="s">
        <v>21</v>
      </c>
      <c r="E129" s="2" t="s">
        <v>22</v>
      </c>
      <c r="F129" s="7">
        <v>30.65</v>
      </c>
      <c r="G129" s="8">
        <v>13.87</v>
      </c>
      <c r="H129" s="8">
        <f t="shared" si="127"/>
        <v>17.663444999999999</v>
      </c>
      <c r="I129" s="9">
        <f t="shared" si="134"/>
        <v>541.38458924999998</v>
      </c>
      <c r="J129" s="5"/>
      <c r="K129" s="5"/>
      <c r="L129" s="5">
        <f t="shared" si="135"/>
        <v>0</v>
      </c>
      <c r="M129" s="6">
        <f t="shared" si="136"/>
        <v>0</v>
      </c>
      <c r="N129" s="84">
        <f t="shared" si="137"/>
        <v>0</v>
      </c>
      <c r="O129" s="6">
        <f t="shared" si="138"/>
        <v>0</v>
      </c>
      <c r="P129" s="29">
        <f t="shared" si="139"/>
        <v>541.38458924999998</v>
      </c>
      <c r="Q129" s="81">
        <f t="shared" si="90"/>
        <v>0</v>
      </c>
    </row>
    <row r="130" spans="1:17" ht="38.25" x14ac:dyDescent="0.25">
      <c r="A130" s="28" t="s">
        <v>331</v>
      </c>
      <c r="B130" s="2" t="s">
        <v>332</v>
      </c>
      <c r="C130" s="87" t="s">
        <v>333</v>
      </c>
      <c r="D130" s="2" t="s">
        <v>12</v>
      </c>
      <c r="E130" s="2" t="s">
        <v>17</v>
      </c>
      <c r="F130" s="7">
        <v>4</v>
      </c>
      <c r="G130" s="8">
        <v>137.51</v>
      </c>
      <c r="H130" s="8">
        <f t="shared" si="127"/>
        <v>175.11898500000001</v>
      </c>
      <c r="I130" s="9">
        <f t="shared" si="134"/>
        <v>700.47594000000004</v>
      </c>
      <c r="J130" s="5"/>
      <c r="K130" s="5"/>
      <c r="L130" s="5">
        <f t="shared" si="135"/>
        <v>0</v>
      </c>
      <c r="M130" s="6">
        <f t="shared" si="136"/>
        <v>0</v>
      </c>
      <c r="N130" s="84">
        <f t="shared" si="137"/>
        <v>0</v>
      </c>
      <c r="O130" s="6">
        <f t="shared" si="138"/>
        <v>0</v>
      </c>
      <c r="P130" s="29">
        <f t="shared" si="139"/>
        <v>700.47594000000004</v>
      </c>
      <c r="Q130" s="81">
        <f t="shared" si="90"/>
        <v>0</v>
      </c>
    </row>
    <row r="131" spans="1:17" ht="38.25" x14ac:dyDescent="0.25">
      <c r="A131" s="28" t="s">
        <v>334</v>
      </c>
      <c r="B131" s="2" t="s">
        <v>335</v>
      </c>
      <c r="C131" s="87" t="s">
        <v>336</v>
      </c>
      <c r="D131" s="2" t="s">
        <v>21</v>
      </c>
      <c r="E131" s="2" t="s">
        <v>117</v>
      </c>
      <c r="F131" s="7">
        <v>15</v>
      </c>
      <c r="G131" s="8">
        <v>8.34</v>
      </c>
      <c r="H131" s="8">
        <f t="shared" si="127"/>
        <v>10.620990000000001</v>
      </c>
      <c r="I131" s="9">
        <f t="shared" si="134"/>
        <v>159.31485000000001</v>
      </c>
      <c r="J131" s="5"/>
      <c r="K131" s="5"/>
      <c r="L131" s="5">
        <f t="shared" si="135"/>
        <v>0</v>
      </c>
      <c r="M131" s="6">
        <f t="shared" si="136"/>
        <v>0</v>
      </c>
      <c r="N131" s="84">
        <f t="shared" si="137"/>
        <v>0</v>
      </c>
      <c r="O131" s="6">
        <f t="shared" si="138"/>
        <v>0</v>
      </c>
      <c r="P131" s="29">
        <f t="shared" si="139"/>
        <v>159.31485000000001</v>
      </c>
      <c r="Q131" s="81">
        <f t="shared" si="90"/>
        <v>0</v>
      </c>
    </row>
    <row r="132" spans="1:17" ht="38.25" x14ac:dyDescent="0.25">
      <c r="A132" s="28" t="s">
        <v>337</v>
      </c>
      <c r="B132" s="2" t="s">
        <v>338</v>
      </c>
      <c r="C132" s="87" t="s">
        <v>339</v>
      </c>
      <c r="D132" s="2" t="s">
        <v>21</v>
      </c>
      <c r="E132" s="2" t="s">
        <v>117</v>
      </c>
      <c r="F132" s="7">
        <v>3</v>
      </c>
      <c r="G132" s="8">
        <v>7.22</v>
      </c>
      <c r="H132" s="8">
        <f t="shared" si="127"/>
        <v>9.1946700000000003</v>
      </c>
      <c r="I132" s="9">
        <f t="shared" si="134"/>
        <v>27.584009999999999</v>
      </c>
      <c r="J132" s="5"/>
      <c r="K132" s="5"/>
      <c r="L132" s="5">
        <f t="shared" si="135"/>
        <v>0</v>
      </c>
      <c r="M132" s="6">
        <f t="shared" si="136"/>
        <v>0</v>
      </c>
      <c r="N132" s="84">
        <f t="shared" si="137"/>
        <v>0</v>
      </c>
      <c r="O132" s="6">
        <f t="shared" si="138"/>
        <v>0</v>
      </c>
      <c r="P132" s="29">
        <f t="shared" si="139"/>
        <v>27.584009999999999</v>
      </c>
      <c r="Q132" s="81">
        <f t="shared" si="90"/>
        <v>0</v>
      </c>
    </row>
    <row r="133" spans="1:17" ht="38.25" x14ac:dyDescent="0.25">
      <c r="A133" s="28" t="s">
        <v>340</v>
      </c>
      <c r="B133" s="2" t="s">
        <v>341</v>
      </c>
      <c r="C133" s="87" t="s">
        <v>342</v>
      </c>
      <c r="D133" s="2" t="s">
        <v>21</v>
      </c>
      <c r="E133" s="2" t="s">
        <v>117</v>
      </c>
      <c r="F133" s="7">
        <v>2</v>
      </c>
      <c r="G133" s="8">
        <v>57.46</v>
      </c>
      <c r="H133" s="8">
        <f t="shared" si="127"/>
        <v>73.17531000000001</v>
      </c>
      <c r="I133" s="9">
        <f t="shared" si="134"/>
        <v>146.35062000000002</v>
      </c>
      <c r="J133" s="5"/>
      <c r="K133" s="5"/>
      <c r="L133" s="5">
        <f t="shared" si="135"/>
        <v>0</v>
      </c>
      <c r="M133" s="6">
        <f t="shared" si="136"/>
        <v>0</v>
      </c>
      <c r="N133" s="84">
        <f t="shared" si="137"/>
        <v>0</v>
      </c>
      <c r="O133" s="6">
        <f t="shared" si="138"/>
        <v>0</v>
      </c>
      <c r="P133" s="29">
        <f t="shared" si="139"/>
        <v>146.35062000000002</v>
      </c>
      <c r="Q133" s="81">
        <f t="shared" si="90"/>
        <v>0</v>
      </c>
    </row>
    <row r="134" spans="1:17" ht="38.25" x14ac:dyDescent="0.25">
      <c r="A134" s="28" t="s">
        <v>343</v>
      </c>
      <c r="B134" s="2" t="s">
        <v>341</v>
      </c>
      <c r="C134" s="87" t="s">
        <v>342</v>
      </c>
      <c r="D134" s="2" t="s">
        <v>21</v>
      </c>
      <c r="E134" s="2" t="s">
        <v>117</v>
      </c>
      <c r="F134" s="7">
        <v>2</v>
      </c>
      <c r="G134" s="8">
        <v>57.46</v>
      </c>
      <c r="H134" s="8">
        <f t="shared" si="127"/>
        <v>73.17531000000001</v>
      </c>
      <c r="I134" s="9">
        <f t="shared" si="134"/>
        <v>146.35062000000002</v>
      </c>
      <c r="J134" s="5"/>
      <c r="K134" s="5"/>
      <c r="L134" s="5">
        <f t="shared" si="135"/>
        <v>0</v>
      </c>
      <c r="M134" s="6">
        <f t="shared" si="136"/>
        <v>0</v>
      </c>
      <c r="N134" s="84">
        <f t="shared" si="137"/>
        <v>0</v>
      </c>
      <c r="O134" s="6">
        <f t="shared" si="138"/>
        <v>0</v>
      </c>
      <c r="P134" s="29">
        <f t="shared" si="139"/>
        <v>146.35062000000002</v>
      </c>
      <c r="Q134" s="81">
        <f t="shared" si="90"/>
        <v>0</v>
      </c>
    </row>
    <row r="135" spans="1:17" ht="38.25" x14ac:dyDescent="0.25">
      <c r="A135" s="28" t="s">
        <v>344</v>
      </c>
      <c r="B135" s="2" t="s">
        <v>345</v>
      </c>
      <c r="C135" s="87" t="s">
        <v>346</v>
      </c>
      <c r="D135" s="2" t="s">
        <v>21</v>
      </c>
      <c r="E135" s="2" t="s">
        <v>22</v>
      </c>
      <c r="F135" s="7">
        <v>585.29999999999995</v>
      </c>
      <c r="G135" s="8">
        <v>5.22</v>
      </c>
      <c r="H135" s="8">
        <f t="shared" si="127"/>
        <v>6.6476699999999997</v>
      </c>
      <c r="I135" s="9">
        <f t="shared" si="134"/>
        <v>3890.8812509999993</v>
      </c>
      <c r="J135" s="5"/>
      <c r="K135" s="5"/>
      <c r="L135" s="5">
        <f t="shared" si="135"/>
        <v>0</v>
      </c>
      <c r="M135" s="6">
        <f t="shared" si="136"/>
        <v>0</v>
      </c>
      <c r="N135" s="84">
        <f t="shared" si="137"/>
        <v>0</v>
      </c>
      <c r="O135" s="6">
        <f t="shared" si="138"/>
        <v>0</v>
      </c>
      <c r="P135" s="29">
        <f t="shared" si="139"/>
        <v>3890.8812509999993</v>
      </c>
      <c r="Q135" s="81">
        <f t="shared" si="90"/>
        <v>0</v>
      </c>
    </row>
    <row r="136" spans="1:17" ht="38.25" x14ac:dyDescent="0.25">
      <c r="A136" s="28" t="s">
        <v>347</v>
      </c>
      <c r="B136" s="2" t="s">
        <v>348</v>
      </c>
      <c r="C136" s="87" t="s">
        <v>349</v>
      </c>
      <c r="D136" s="2" t="s">
        <v>21</v>
      </c>
      <c r="E136" s="2" t="s">
        <v>22</v>
      </c>
      <c r="F136" s="7">
        <v>451.74</v>
      </c>
      <c r="G136" s="8">
        <v>2.14</v>
      </c>
      <c r="H136" s="8">
        <f t="shared" si="127"/>
        <v>2.7252900000000002</v>
      </c>
      <c r="I136" s="9">
        <f t="shared" si="134"/>
        <v>1231.1225046000002</v>
      </c>
      <c r="J136" s="5"/>
      <c r="K136" s="5"/>
      <c r="L136" s="5">
        <f t="shared" si="135"/>
        <v>0</v>
      </c>
      <c r="M136" s="6">
        <f t="shared" si="136"/>
        <v>0</v>
      </c>
      <c r="N136" s="84">
        <f t="shared" si="137"/>
        <v>0</v>
      </c>
      <c r="O136" s="6">
        <f t="shared" si="138"/>
        <v>0</v>
      </c>
      <c r="P136" s="29">
        <f t="shared" si="139"/>
        <v>1231.1225046000002</v>
      </c>
      <c r="Q136" s="81">
        <f t="shared" si="90"/>
        <v>0</v>
      </c>
    </row>
    <row r="137" spans="1:17" ht="25.5" x14ac:dyDescent="0.25">
      <c r="A137" s="28" t="s">
        <v>350</v>
      </c>
      <c r="B137" s="2" t="s">
        <v>351</v>
      </c>
      <c r="C137" s="87" t="s">
        <v>352</v>
      </c>
      <c r="D137" s="2"/>
      <c r="E137" s="2" t="s">
        <v>353</v>
      </c>
      <c r="F137" s="7">
        <v>1</v>
      </c>
      <c r="G137" s="8">
        <v>180</v>
      </c>
      <c r="H137" s="8">
        <f t="shared" si="127"/>
        <v>229.23000000000002</v>
      </c>
      <c r="I137" s="9">
        <f t="shared" si="134"/>
        <v>229.23000000000002</v>
      </c>
      <c r="J137" s="5"/>
      <c r="K137" s="5"/>
      <c r="L137" s="5">
        <f t="shared" si="135"/>
        <v>0</v>
      </c>
      <c r="M137" s="6">
        <f t="shared" si="136"/>
        <v>0</v>
      </c>
      <c r="N137" s="84">
        <f t="shared" si="137"/>
        <v>0</v>
      </c>
      <c r="O137" s="6">
        <f t="shared" si="138"/>
        <v>0</v>
      </c>
      <c r="P137" s="29">
        <f t="shared" si="139"/>
        <v>229.23000000000002</v>
      </c>
      <c r="Q137" s="81">
        <f t="shared" si="90"/>
        <v>0</v>
      </c>
    </row>
    <row r="138" spans="1:17" ht="38.25" x14ac:dyDescent="0.25">
      <c r="A138" s="28" t="s">
        <v>354</v>
      </c>
      <c r="B138" s="2" t="s">
        <v>355</v>
      </c>
      <c r="C138" s="87" t="s">
        <v>356</v>
      </c>
      <c r="D138" s="2" t="s">
        <v>21</v>
      </c>
      <c r="E138" s="2" t="s">
        <v>117</v>
      </c>
      <c r="F138" s="7">
        <v>3</v>
      </c>
      <c r="G138" s="8">
        <v>31.04</v>
      </c>
      <c r="H138" s="8">
        <f t="shared" si="127"/>
        <v>39.529440000000001</v>
      </c>
      <c r="I138" s="9">
        <f t="shared" si="134"/>
        <v>118.58832000000001</v>
      </c>
      <c r="J138" s="5"/>
      <c r="K138" s="5"/>
      <c r="L138" s="5">
        <f t="shared" si="135"/>
        <v>0</v>
      </c>
      <c r="M138" s="6">
        <f t="shared" si="136"/>
        <v>0</v>
      </c>
      <c r="N138" s="84">
        <f t="shared" si="137"/>
        <v>0</v>
      </c>
      <c r="O138" s="6">
        <f t="shared" si="138"/>
        <v>0</v>
      </c>
      <c r="P138" s="29">
        <f t="shared" si="139"/>
        <v>118.58832000000001</v>
      </c>
      <c r="Q138" s="81">
        <f t="shared" ref="Q138:Q201" si="140">O138/I138</f>
        <v>0</v>
      </c>
    </row>
    <row r="139" spans="1:17" ht="25.5" x14ac:dyDescent="0.25">
      <c r="A139" s="28" t="s">
        <v>357</v>
      </c>
      <c r="B139" s="2" t="s">
        <v>351</v>
      </c>
      <c r="C139" s="87" t="s">
        <v>352</v>
      </c>
      <c r="D139" s="2"/>
      <c r="E139" s="2" t="s">
        <v>307</v>
      </c>
      <c r="F139" s="7">
        <v>3</v>
      </c>
      <c r="G139" s="8">
        <v>4.0199999999999996</v>
      </c>
      <c r="H139" s="8">
        <f t="shared" si="127"/>
        <v>5.1194699999999997</v>
      </c>
      <c r="I139" s="9">
        <f t="shared" si="134"/>
        <v>15.358409999999999</v>
      </c>
      <c r="J139" s="5"/>
      <c r="K139" s="5"/>
      <c r="L139" s="5">
        <f t="shared" si="135"/>
        <v>0</v>
      </c>
      <c r="M139" s="6">
        <f t="shared" si="136"/>
        <v>0</v>
      </c>
      <c r="N139" s="84">
        <f t="shared" si="137"/>
        <v>0</v>
      </c>
      <c r="O139" s="6">
        <f t="shared" si="138"/>
        <v>0</v>
      </c>
      <c r="P139" s="29">
        <f t="shared" si="139"/>
        <v>15.358409999999999</v>
      </c>
      <c r="Q139" s="81">
        <f t="shared" si="140"/>
        <v>0</v>
      </c>
    </row>
    <row r="140" spans="1:17" x14ac:dyDescent="0.25">
      <c r="A140" s="28" t="s">
        <v>358</v>
      </c>
      <c r="B140" s="2" t="s">
        <v>359</v>
      </c>
      <c r="C140" s="87" t="s">
        <v>360</v>
      </c>
      <c r="D140" s="2" t="s">
        <v>12</v>
      </c>
      <c r="E140" s="2" t="s">
        <v>361</v>
      </c>
      <c r="F140" s="7">
        <v>0.5</v>
      </c>
      <c r="G140" s="8">
        <v>20.49</v>
      </c>
      <c r="H140" s="8">
        <f t="shared" si="127"/>
        <v>26.094014999999999</v>
      </c>
      <c r="I140" s="9">
        <f t="shared" si="134"/>
        <v>13.047007499999999</v>
      </c>
      <c r="J140" s="5"/>
      <c r="K140" s="5"/>
      <c r="L140" s="5">
        <f t="shared" si="135"/>
        <v>0</v>
      </c>
      <c r="M140" s="6">
        <f t="shared" si="136"/>
        <v>0</v>
      </c>
      <c r="N140" s="84">
        <f t="shared" si="137"/>
        <v>0</v>
      </c>
      <c r="O140" s="6">
        <f t="shared" si="138"/>
        <v>0</v>
      </c>
      <c r="P140" s="29">
        <f t="shared" si="139"/>
        <v>13.047007499999999</v>
      </c>
      <c r="Q140" s="81">
        <f t="shared" si="140"/>
        <v>0</v>
      </c>
    </row>
    <row r="141" spans="1:17" ht="25.5" x14ac:dyDescent="0.25">
      <c r="A141" s="28" t="s">
        <v>362</v>
      </c>
      <c r="B141" s="2" t="s">
        <v>363</v>
      </c>
      <c r="C141" s="87" t="s">
        <v>364</v>
      </c>
      <c r="D141" s="2" t="s">
        <v>21</v>
      </c>
      <c r="E141" s="2" t="s">
        <v>117</v>
      </c>
      <c r="F141" s="7">
        <v>3</v>
      </c>
      <c r="G141" s="8">
        <v>47.34</v>
      </c>
      <c r="H141" s="8">
        <f t="shared" si="127"/>
        <v>60.287490000000005</v>
      </c>
      <c r="I141" s="9">
        <f t="shared" si="134"/>
        <v>180.86247000000003</v>
      </c>
      <c r="J141" s="5"/>
      <c r="K141" s="5"/>
      <c r="L141" s="5">
        <f t="shared" si="135"/>
        <v>0</v>
      </c>
      <c r="M141" s="6">
        <f t="shared" si="136"/>
        <v>0</v>
      </c>
      <c r="N141" s="84">
        <f t="shared" si="137"/>
        <v>0</v>
      </c>
      <c r="O141" s="6">
        <f t="shared" si="138"/>
        <v>0</v>
      </c>
      <c r="P141" s="29">
        <f t="shared" si="139"/>
        <v>180.86247000000003</v>
      </c>
      <c r="Q141" s="81">
        <f t="shared" si="140"/>
        <v>0</v>
      </c>
    </row>
    <row r="142" spans="1:17" x14ac:dyDescent="0.25">
      <c r="A142" s="28" t="s">
        <v>365</v>
      </c>
      <c r="B142" s="2" t="s">
        <v>366</v>
      </c>
      <c r="C142" s="87" t="s">
        <v>367</v>
      </c>
      <c r="D142" s="2" t="s">
        <v>12</v>
      </c>
      <c r="E142" s="2" t="s">
        <v>252</v>
      </c>
      <c r="F142" s="7">
        <v>10</v>
      </c>
      <c r="G142" s="8">
        <v>9.59</v>
      </c>
      <c r="H142" s="8">
        <f t="shared" si="127"/>
        <v>12.212865000000001</v>
      </c>
      <c r="I142" s="9">
        <f t="shared" si="134"/>
        <v>122.12865000000001</v>
      </c>
      <c r="J142" s="5"/>
      <c r="K142" s="5"/>
      <c r="L142" s="5">
        <f t="shared" si="135"/>
        <v>0</v>
      </c>
      <c r="M142" s="6">
        <f t="shared" si="136"/>
        <v>0</v>
      </c>
      <c r="N142" s="84">
        <f t="shared" si="137"/>
        <v>0</v>
      </c>
      <c r="O142" s="6">
        <f t="shared" si="138"/>
        <v>0</v>
      </c>
      <c r="P142" s="29">
        <f t="shared" si="139"/>
        <v>122.12865000000001</v>
      </c>
      <c r="Q142" s="81">
        <f t="shared" si="140"/>
        <v>0</v>
      </c>
    </row>
    <row r="143" spans="1:17" ht="38.25" x14ac:dyDescent="0.25">
      <c r="A143" s="28" t="s">
        <v>368</v>
      </c>
      <c r="B143" s="2" t="s">
        <v>369</v>
      </c>
      <c r="C143" s="87" t="s">
        <v>370</v>
      </c>
      <c r="D143" s="2" t="s">
        <v>21</v>
      </c>
      <c r="E143" s="2" t="s">
        <v>22</v>
      </c>
      <c r="F143" s="7">
        <v>585.29999999999995</v>
      </c>
      <c r="G143" s="8">
        <v>3.16</v>
      </c>
      <c r="H143" s="8">
        <f t="shared" si="127"/>
        <v>4.0242600000000008</v>
      </c>
      <c r="I143" s="9">
        <f t="shared" si="134"/>
        <v>2355.3993780000005</v>
      </c>
      <c r="J143" s="5"/>
      <c r="K143" s="5"/>
      <c r="L143" s="5">
        <f t="shared" si="135"/>
        <v>0</v>
      </c>
      <c r="M143" s="6">
        <f t="shared" si="136"/>
        <v>0</v>
      </c>
      <c r="N143" s="84">
        <f t="shared" si="137"/>
        <v>0</v>
      </c>
      <c r="O143" s="6">
        <f t="shared" si="138"/>
        <v>0</v>
      </c>
      <c r="P143" s="29">
        <f t="shared" si="139"/>
        <v>2355.3993780000005</v>
      </c>
      <c r="Q143" s="81">
        <f t="shared" si="140"/>
        <v>0</v>
      </c>
    </row>
    <row r="144" spans="1:17" ht="38.25" x14ac:dyDescent="0.25">
      <c r="A144" s="28" t="s">
        <v>371</v>
      </c>
      <c r="B144" s="2" t="s">
        <v>348</v>
      </c>
      <c r="C144" s="87" t="s">
        <v>349</v>
      </c>
      <c r="D144" s="2" t="s">
        <v>21</v>
      </c>
      <c r="E144" s="2" t="s">
        <v>22</v>
      </c>
      <c r="F144" s="7">
        <v>451.74</v>
      </c>
      <c r="G144" s="8">
        <v>2.14</v>
      </c>
      <c r="H144" s="8">
        <f t="shared" si="127"/>
        <v>2.7252900000000002</v>
      </c>
      <c r="I144" s="9">
        <f t="shared" si="134"/>
        <v>1231.1225046000002</v>
      </c>
      <c r="J144" s="5"/>
      <c r="K144" s="5"/>
      <c r="L144" s="5">
        <f t="shared" si="135"/>
        <v>0</v>
      </c>
      <c r="M144" s="6">
        <f t="shared" si="136"/>
        <v>0</v>
      </c>
      <c r="N144" s="84">
        <f t="shared" si="137"/>
        <v>0</v>
      </c>
      <c r="O144" s="6">
        <f t="shared" si="138"/>
        <v>0</v>
      </c>
      <c r="P144" s="29">
        <f t="shared" si="139"/>
        <v>1231.1225046000002</v>
      </c>
      <c r="Q144" s="81">
        <f t="shared" si="140"/>
        <v>0</v>
      </c>
    </row>
    <row r="145" spans="1:17" ht="38.25" x14ac:dyDescent="0.25">
      <c r="A145" s="28" t="s">
        <v>372</v>
      </c>
      <c r="B145" s="2" t="s">
        <v>369</v>
      </c>
      <c r="C145" s="87" t="s">
        <v>370</v>
      </c>
      <c r="D145" s="2" t="s">
        <v>21</v>
      </c>
      <c r="E145" s="2" t="s">
        <v>22</v>
      </c>
      <c r="F145" s="7">
        <v>275.5</v>
      </c>
      <c r="G145" s="8">
        <v>3.16</v>
      </c>
      <c r="H145" s="8">
        <f t="shared" si="127"/>
        <v>4.0242600000000008</v>
      </c>
      <c r="I145" s="9">
        <f t="shared" si="134"/>
        <v>1108.6836300000002</v>
      </c>
      <c r="J145" s="5"/>
      <c r="K145" s="5"/>
      <c r="L145" s="5">
        <f t="shared" si="135"/>
        <v>0</v>
      </c>
      <c r="M145" s="6">
        <f t="shared" si="136"/>
        <v>0</v>
      </c>
      <c r="N145" s="84">
        <f t="shared" si="137"/>
        <v>0</v>
      </c>
      <c r="O145" s="6">
        <f t="shared" si="138"/>
        <v>0</v>
      </c>
      <c r="P145" s="29">
        <f t="shared" si="139"/>
        <v>1108.6836300000002</v>
      </c>
      <c r="Q145" s="81">
        <f t="shared" si="140"/>
        <v>0</v>
      </c>
    </row>
    <row r="146" spans="1:17" ht="38.25" x14ac:dyDescent="0.25">
      <c r="A146" s="28" t="s">
        <v>373</v>
      </c>
      <c r="B146" s="2" t="s">
        <v>369</v>
      </c>
      <c r="C146" s="87" t="s">
        <v>370</v>
      </c>
      <c r="D146" s="2" t="s">
        <v>21</v>
      </c>
      <c r="E146" s="2" t="s">
        <v>22</v>
      </c>
      <c r="F146" s="7">
        <v>299.24</v>
      </c>
      <c r="G146" s="8">
        <v>3.16</v>
      </c>
      <c r="H146" s="8">
        <f t="shared" si="127"/>
        <v>4.0242600000000008</v>
      </c>
      <c r="I146" s="9">
        <f t="shared" si="134"/>
        <v>1204.2195624000003</v>
      </c>
      <c r="J146" s="5"/>
      <c r="K146" s="5"/>
      <c r="L146" s="5">
        <f t="shared" si="135"/>
        <v>0</v>
      </c>
      <c r="M146" s="6">
        <f t="shared" si="136"/>
        <v>0</v>
      </c>
      <c r="N146" s="84">
        <f t="shared" si="137"/>
        <v>0</v>
      </c>
      <c r="O146" s="6">
        <f t="shared" si="138"/>
        <v>0</v>
      </c>
      <c r="P146" s="29">
        <f t="shared" si="139"/>
        <v>1204.2195624000003</v>
      </c>
      <c r="Q146" s="81">
        <f t="shared" si="140"/>
        <v>0</v>
      </c>
    </row>
    <row r="147" spans="1:17" ht="76.5" x14ac:dyDescent="0.25">
      <c r="A147" s="28" t="s">
        <v>374</v>
      </c>
      <c r="B147" s="2" t="s">
        <v>375</v>
      </c>
      <c r="C147" s="87" t="s">
        <v>376</v>
      </c>
      <c r="D147" s="2" t="s">
        <v>21</v>
      </c>
      <c r="E147" s="2" t="s">
        <v>22</v>
      </c>
      <c r="F147" s="7">
        <v>63.81</v>
      </c>
      <c r="G147" s="8">
        <v>12.72</v>
      </c>
      <c r="H147" s="8">
        <f t="shared" si="127"/>
        <v>16.198920000000001</v>
      </c>
      <c r="I147" s="9">
        <f t="shared" si="134"/>
        <v>1033.6530852000001</v>
      </c>
      <c r="J147" s="5"/>
      <c r="K147" s="5"/>
      <c r="L147" s="5">
        <f t="shared" si="135"/>
        <v>0</v>
      </c>
      <c r="M147" s="6">
        <f t="shared" si="136"/>
        <v>0</v>
      </c>
      <c r="N147" s="84">
        <f t="shared" si="137"/>
        <v>0</v>
      </c>
      <c r="O147" s="6">
        <f t="shared" si="138"/>
        <v>0</v>
      </c>
      <c r="P147" s="29">
        <f t="shared" si="139"/>
        <v>1033.6530852000001</v>
      </c>
      <c r="Q147" s="81">
        <f t="shared" si="140"/>
        <v>0</v>
      </c>
    </row>
    <row r="148" spans="1:17" ht="38.25" x14ac:dyDescent="0.25">
      <c r="A148" s="28" t="s">
        <v>377</v>
      </c>
      <c r="B148" s="2" t="s">
        <v>375</v>
      </c>
      <c r="C148" s="87" t="s">
        <v>378</v>
      </c>
      <c r="D148" s="2" t="s">
        <v>21</v>
      </c>
      <c r="E148" s="2" t="s">
        <v>22</v>
      </c>
      <c r="F148" s="7">
        <v>21.27</v>
      </c>
      <c r="G148" s="8">
        <v>12.72</v>
      </c>
      <c r="H148" s="8">
        <f t="shared" si="127"/>
        <v>16.198920000000001</v>
      </c>
      <c r="I148" s="9">
        <f t="shared" si="134"/>
        <v>344.55102840000001</v>
      </c>
      <c r="J148" s="5"/>
      <c r="K148" s="5"/>
      <c r="L148" s="5">
        <f t="shared" si="135"/>
        <v>0</v>
      </c>
      <c r="M148" s="6">
        <f t="shared" si="136"/>
        <v>0</v>
      </c>
      <c r="N148" s="84">
        <f t="shared" si="137"/>
        <v>0</v>
      </c>
      <c r="O148" s="6">
        <f t="shared" si="138"/>
        <v>0</v>
      </c>
      <c r="P148" s="29">
        <f t="shared" si="139"/>
        <v>344.55102840000001</v>
      </c>
      <c r="Q148" s="81">
        <f t="shared" si="140"/>
        <v>0</v>
      </c>
    </row>
    <row r="149" spans="1:17" ht="38.25" x14ac:dyDescent="0.25">
      <c r="A149" s="28" t="s">
        <v>379</v>
      </c>
      <c r="B149" s="2" t="s">
        <v>375</v>
      </c>
      <c r="C149" s="87" t="s">
        <v>378</v>
      </c>
      <c r="D149" s="2" t="s">
        <v>21</v>
      </c>
      <c r="E149" s="2" t="s">
        <v>22</v>
      </c>
      <c r="F149" s="7">
        <v>21.27</v>
      </c>
      <c r="G149" s="8">
        <v>12.72</v>
      </c>
      <c r="H149" s="8">
        <f t="shared" si="127"/>
        <v>16.198920000000001</v>
      </c>
      <c r="I149" s="9">
        <f t="shared" si="134"/>
        <v>344.55102840000001</v>
      </c>
      <c r="J149" s="5"/>
      <c r="K149" s="5"/>
      <c r="L149" s="5">
        <f t="shared" si="135"/>
        <v>0</v>
      </c>
      <c r="M149" s="6">
        <f t="shared" si="136"/>
        <v>0</v>
      </c>
      <c r="N149" s="84">
        <f t="shared" si="137"/>
        <v>0</v>
      </c>
      <c r="O149" s="6">
        <f t="shared" si="138"/>
        <v>0</v>
      </c>
      <c r="P149" s="29">
        <f t="shared" si="139"/>
        <v>344.55102840000001</v>
      </c>
      <c r="Q149" s="81">
        <f t="shared" si="140"/>
        <v>0</v>
      </c>
    </row>
    <row r="150" spans="1:17" ht="38.25" x14ac:dyDescent="0.25">
      <c r="A150" s="28" t="s">
        <v>380</v>
      </c>
      <c r="B150" s="2" t="s">
        <v>315</v>
      </c>
      <c r="C150" s="87" t="s">
        <v>316</v>
      </c>
      <c r="D150" s="2" t="s">
        <v>21</v>
      </c>
      <c r="E150" s="2" t="s">
        <v>117</v>
      </c>
      <c r="F150" s="7">
        <v>15</v>
      </c>
      <c r="G150" s="8">
        <v>30.42</v>
      </c>
      <c r="H150" s="8">
        <f t="shared" si="127"/>
        <v>38.739870000000003</v>
      </c>
      <c r="I150" s="9">
        <f t="shared" si="134"/>
        <v>581.09805000000006</v>
      </c>
      <c r="J150" s="5"/>
      <c r="K150" s="5"/>
      <c r="L150" s="5">
        <f t="shared" si="135"/>
        <v>0</v>
      </c>
      <c r="M150" s="6">
        <f t="shared" si="136"/>
        <v>0</v>
      </c>
      <c r="N150" s="84">
        <f t="shared" si="137"/>
        <v>0</v>
      </c>
      <c r="O150" s="6">
        <f t="shared" si="138"/>
        <v>0</v>
      </c>
      <c r="P150" s="29">
        <f t="shared" si="139"/>
        <v>581.09805000000006</v>
      </c>
      <c r="Q150" s="81">
        <f t="shared" si="140"/>
        <v>0</v>
      </c>
    </row>
    <row r="151" spans="1:17" ht="38.25" x14ac:dyDescent="0.25">
      <c r="A151" s="28" t="s">
        <v>381</v>
      </c>
      <c r="B151" s="2" t="s">
        <v>382</v>
      </c>
      <c r="C151" s="87" t="s">
        <v>383</v>
      </c>
      <c r="D151" s="2" t="s">
        <v>21</v>
      </c>
      <c r="E151" s="2" t="s">
        <v>117</v>
      </c>
      <c r="F151" s="7">
        <v>24</v>
      </c>
      <c r="G151" s="8">
        <v>25.12</v>
      </c>
      <c r="H151" s="8">
        <f t="shared" si="127"/>
        <v>31.990320000000004</v>
      </c>
      <c r="I151" s="9">
        <f t="shared" si="134"/>
        <v>767.76768000000015</v>
      </c>
      <c r="J151" s="5"/>
      <c r="K151" s="5"/>
      <c r="L151" s="5">
        <f t="shared" si="135"/>
        <v>0</v>
      </c>
      <c r="M151" s="6">
        <f t="shared" si="136"/>
        <v>0</v>
      </c>
      <c r="N151" s="84">
        <f t="shared" si="137"/>
        <v>0</v>
      </c>
      <c r="O151" s="6">
        <f t="shared" si="138"/>
        <v>0</v>
      </c>
      <c r="P151" s="29">
        <f t="shared" si="139"/>
        <v>767.76768000000015</v>
      </c>
      <c r="Q151" s="81">
        <f t="shared" si="140"/>
        <v>0</v>
      </c>
    </row>
    <row r="152" spans="1:17" x14ac:dyDescent="0.25">
      <c r="A152" s="30"/>
      <c r="B152" s="3"/>
      <c r="C152" s="88"/>
      <c r="D152" s="3"/>
      <c r="E152" s="3"/>
      <c r="F152" s="10"/>
      <c r="G152" s="11"/>
      <c r="H152" s="11"/>
      <c r="I152" s="12">
        <f>SUM(I105:I151)</f>
        <v>41213.271887999996</v>
      </c>
      <c r="J152" s="13"/>
      <c r="K152" s="5"/>
      <c r="L152" s="13"/>
      <c r="M152" s="12">
        <f>SUM(M105:M151)</f>
        <v>0</v>
      </c>
      <c r="N152" s="85">
        <f>SUM(N105:N151)</f>
        <v>0</v>
      </c>
      <c r="O152" s="12">
        <f>SUM(O105:O151)</f>
        <v>0</v>
      </c>
      <c r="P152" s="31">
        <f t="shared" si="139"/>
        <v>41213.271887999996</v>
      </c>
      <c r="Q152" s="81">
        <f t="shared" si="140"/>
        <v>0</v>
      </c>
    </row>
    <row r="153" spans="1:17" ht="20.100000000000001" customHeight="1" x14ac:dyDescent="0.25">
      <c r="A153" s="27" t="s">
        <v>384</v>
      </c>
      <c r="B153" s="101" t="s">
        <v>385</v>
      </c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2"/>
      <c r="Q153" s="81"/>
    </row>
    <row r="154" spans="1:17" ht="51" x14ac:dyDescent="0.25">
      <c r="A154" s="28" t="s">
        <v>386</v>
      </c>
      <c r="B154" s="2" t="s">
        <v>387</v>
      </c>
      <c r="C154" s="87" t="s">
        <v>388</v>
      </c>
      <c r="D154" s="2" t="s">
        <v>21</v>
      </c>
      <c r="E154" s="2" t="s">
        <v>117</v>
      </c>
      <c r="F154" s="7">
        <v>6</v>
      </c>
      <c r="G154" s="8">
        <v>23.62</v>
      </c>
      <c r="H154" s="8">
        <f t="shared" ref="H154:H213" si="141">G154*$R$9</f>
        <v>30.080070000000003</v>
      </c>
      <c r="I154" s="9">
        <f t="shared" ref="I154" si="142">F154*H154</f>
        <v>180.48042000000001</v>
      </c>
      <c r="J154" s="5"/>
      <c r="K154" s="5"/>
      <c r="L154" s="5">
        <f t="shared" ref="L154" si="143">K154+J154</f>
        <v>0</v>
      </c>
      <c r="M154" s="6">
        <f t="shared" ref="M154" si="144">J154*H154</f>
        <v>0</v>
      </c>
      <c r="N154" s="84">
        <f t="shared" ref="N154" si="145">H154*K154</f>
        <v>0</v>
      </c>
      <c r="O154" s="6">
        <f t="shared" ref="O154" si="146">N154+M154</f>
        <v>0</v>
      </c>
      <c r="P154" s="29">
        <f t="shared" ref="P154" si="147">I154-O154</f>
        <v>180.48042000000001</v>
      </c>
      <c r="Q154" s="81">
        <f t="shared" si="140"/>
        <v>0</v>
      </c>
    </row>
    <row r="155" spans="1:17" ht="25.5" x14ac:dyDescent="0.25">
      <c r="A155" s="28" t="s">
        <v>389</v>
      </c>
      <c r="B155" s="2" t="s">
        <v>390</v>
      </c>
      <c r="C155" s="87" t="s">
        <v>391</v>
      </c>
      <c r="D155" s="2" t="s">
        <v>21</v>
      </c>
      <c r="E155" s="2" t="s">
        <v>117</v>
      </c>
      <c r="F155" s="7">
        <v>0</v>
      </c>
      <c r="G155" s="8">
        <v>24.17</v>
      </c>
      <c r="H155" s="8">
        <f t="shared" si="141"/>
        <v>30.780495000000005</v>
      </c>
      <c r="I155" s="9">
        <f t="shared" ref="I155:I213" si="148">F155*H155</f>
        <v>0</v>
      </c>
      <c r="J155" s="5"/>
      <c r="K155" s="5"/>
      <c r="L155" s="5">
        <f t="shared" ref="L155:L213" si="149">K155+J155</f>
        <v>0</v>
      </c>
      <c r="M155" s="6">
        <f t="shared" ref="M155:M213" si="150">J155*H155</f>
        <v>0</v>
      </c>
      <c r="N155" s="84">
        <f t="shared" ref="N155:N213" si="151">H155*K155</f>
        <v>0</v>
      </c>
      <c r="O155" s="6">
        <f t="shared" ref="O155:O213" si="152">N155+M155</f>
        <v>0</v>
      </c>
      <c r="P155" s="29">
        <f t="shared" ref="P155:P214" si="153">I155-O155</f>
        <v>0</v>
      </c>
      <c r="Q155" s="81"/>
    </row>
    <row r="156" spans="1:17" ht="51" x14ac:dyDescent="0.25">
      <c r="A156" s="28" t="s">
        <v>392</v>
      </c>
      <c r="B156" s="2" t="s">
        <v>393</v>
      </c>
      <c r="C156" s="87" t="s">
        <v>394</v>
      </c>
      <c r="D156" s="2" t="s">
        <v>21</v>
      </c>
      <c r="E156" s="2" t="s">
        <v>117</v>
      </c>
      <c r="F156" s="7">
        <v>6</v>
      </c>
      <c r="G156" s="8">
        <v>7.69</v>
      </c>
      <c r="H156" s="8">
        <f t="shared" si="141"/>
        <v>9.7932150000000018</v>
      </c>
      <c r="I156" s="9">
        <f t="shared" si="148"/>
        <v>58.759290000000007</v>
      </c>
      <c r="J156" s="5"/>
      <c r="K156" s="5"/>
      <c r="L156" s="5">
        <f t="shared" si="149"/>
        <v>0</v>
      </c>
      <c r="M156" s="6">
        <f t="shared" si="150"/>
        <v>0</v>
      </c>
      <c r="N156" s="84">
        <f t="shared" si="151"/>
        <v>0</v>
      </c>
      <c r="O156" s="6">
        <f t="shared" si="152"/>
        <v>0</v>
      </c>
      <c r="P156" s="29">
        <f t="shared" si="153"/>
        <v>58.759290000000007</v>
      </c>
      <c r="Q156" s="81">
        <f t="shared" si="140"/>
        <v>0</v>
      </c>
    </row>
    <row r="157" spans="1:17" ht="51" x14ac:dyDescent="0.25">
      <c r="A157" s="28" t="s">
        <v>395</v>
      </c>
      <c r="B157" s="2" t="s">
        <v>396</v>
      </c>
      <c r="C157" s="87" t="s">
        <v>397</v>
      </c>
      <c r="D157" s="2" t="s">
        <v>21</v>
      </c>
      <c r="E157" s="2" t="s">
        <v>117</v>
      </c>
      <c r="F157" s="7">
        <v>12</v>
      </c>
      <c r="G157" s="8">
        <v>422.31</v>
      </c>
      <c r="H157" s="8">
        <f t="shared" si="141"/>
        <v>537.81178499999999</v>
      </c>
      <c r="I157" s="9">
        <f t="shared" si="148"/>
        <v>6453.7414200000003</v>
      </c>
      <c r="J157" s="5"/>
      <c r="K157" s="5"/>
      <c r="L157" s="5">
        <f t="shared" si="149"/>
        <v>0</v>
      </c>
      <c r="M157" s="6">
        <f t="shared" si="150"/>
        <v>0</v>
      </c>
      <c r="N157" s="84">
        <f t="shared" si="151"/>
        <v>0</v>
      </c>
      <c r="O157" s="6">
        <f t="shared" si="152"/>
        <v>0</v>
      </c>
      <c r="P157" s="29">
        <f t="shared" si="153"/>
        <v>6453.7414200000003</v>
      </c>
      <c r="Q157" s="81">
        <f t="shared" si="140"/>
        <v>0</v>
      </c>
    </row>
    <row r="158" spans="1:17" ht="25.5" x14ac:dyDescent="0.25">
      <c r="A158" s="28" t="s">
        <v>398</v>
      </c>
      <c r="B158" s="2" t="s">
        <v>399</v>
      </c>
      <c r="C158" s="87" t="s">
        <v>400</v>
      </c>
      <c r="D158" s="2" t="s">
        <v>21</v>
      </c>
      <c r="E158" s="2" t="s">
        <v>117</v>
      </c>
      <c r="F158" s="7">
        <v>2</v>
      </c>
      <c r="G158" s="8">
        <v>5.42</v>
      </c>
      <c r="H158" s="8">
        <f t="shared" si="141"/>
        <v>6.9023700000000003</v>
      </c>
      <c r="I158" s="9">
        <f t="shared" si="148"/>
        <v>13.804740000000001</v>
      </c>
      <c r="J158" s="5"/>
      <c r="K158" s="5"/>
      <c r="L158" s="5">
        <f t="shared" si="149"/>
        <v>0</v>
      </c>
      <c r="M158" s="6">
        <f t="shared" si="150"/>
        <v>0</v>
      </c>
      <c r="N158" s="84">
        <f t="shared" si="151"/>
        <v>0</v>
      </c>
      <c r="O158" s="6">
        <f t="shared" si="152"/>
        <v>0</v>
      </c>
      <c r="P158" s="29">
        <f t="shared" si="153"/>
        <v>13.804740000000001</v>
      </c>
      <c r="Q158" s="81">
        <f t="shared" si="140"/>
        <v>0</v>
      </c>
    </row>
    <row r="159" spans="1:17" ht="25.5" x14ac:dyDescent="0.25">
      <c r="A159" s="28" t="s">
        <v>401</v>
      </c>
      <c r="B159" s="2" t="s">
        <v>402</v>
      </c>
      <c r="C159" s="87" t="s">
        <v>403</v>
      </c>
      <c r="D159" s="2" t="s">
        <v>21</v>
      </c>
      <c r="E159" s="2" t="s">
        <v>117</v>
      </c>
      <c r="F159" s="7">
        <v>1</v>
      </c>
      <c r="G159" s="8">
        <v>0.43</v>
      </c>
      <c r="H159" s="8">
        <f t="shared" si="141"/>
        <v>0.54760500000000001</v>
      </c>
      <c r="I159" s="9">
        <f t="shared" si="148"/>
        <v>0.54760500000000001</v>
      </c>
      <c r="J159" s="5"/>
      <c r="K159" s="5"/>
      <c r="L159" s="5">
        <f t="shared" si="149"/>
        <v>0</v>
      </c>
      <c r="M159" s="6">
        <f t="shared" si="150"/>
        <v>0</v>
      </c>
      <c r="N159" s="84">
        <f t="shared" si="151"/>
        <v>0</v>
      </c>
      <c r="O159" s="6">
        <f t="shared" si="152"/>
        <v>0</v>
      </c>
      <c r="P159" s="29">
        <f t="shared" si="153"/>
        <v>0.54760500000000001</v>
      </c>
      <c r="Q159" s="81">
        <f t="shared" si="140"/>
        <v>0</v>
      </c>
    </row>
    <row r="160" spans="1:17" ht="25.5" x14ac:dyDescent="0.25">
      <c r="A160" s="28" t="s">
        <v>404</v>
      </c>
      <c r="B160" s="2" t="s">
        <v>405</v>
      </c>
      <c r="C160" s="87" t="s">
        <v>406</v>
      </c>
      <c r="D160" s="2" t="s">
        <v>21</v>
      </c>
      <c r="E160" s="2" t="s">
        <v>117</v>
      </c>
      <c r="F160" s="7">
        <v>1</v>
      </c>
      <c r="G160" s="8">
        <v>4.17</v>
      </c>
      <c r="H160" s="8">
        <f t="shared" si="141"/>
        <v>5.3104950000000004</v>
      </c>
      <c r="I160" s="9">
        <f t="shared" si="148"/>
        <v>5.3104950000000004</v>
      </c>
      <c r="J160" s="5"/>
      <c r="K160" s="5"/>
      <c r="L160" s="5">
        <f t="shared" si="149"/>
        <v>0</v>
      </c>
      <c r="M160" s="6">
        <f t="shared" si="150"/>
        <v>0</v>
      </c>
      <c r="N160" s="84">
        <f t="shared" si="151"/>
        <v>0</v>
      </c>
      <c r="O160" s="6">
        <f t="shared" si="152"/>
        <v>0</v>
      </c>
      <c r="P160" s="29">
        <f t="shared" si="153"/>
        <v>5.3104950000000004</v>
      </c>
      <c r="Q160" s="81">
        <f t="shared" si="140"/>
        <v>0</v>
      </c>
    </row>
    <row r="161" spans="1:17" ht="25.5" x14ac:dyDescent="0.25">
      <c r="A161" s="28" t="s">
        <v>407</v>
      </c>
      <c r="B161" s="2" t="s">
        <v>408</v>
      </c>
      <c r="C161" s="87" t="s">
        <v>409</v>
      </c>
      <c r="D161" s="2" t="s">
        <v>21</v>
      </c>
      <c r="E161" s="2" t="s">
        <v>117</v>
      </c>
      <c r="F161" s="7">
        <v>11</v>
      </c>
      <c r="G161" s="8">
        <v>5.29</v>
      </c>
      <c r="H161" s="8">
        <f t="shared" si="141"/>
        <v>6.7368150000000009</v>
      </c>
      <c r="I161" s="9">
        <f t="shared" si="148"/>
        <v>74.104965000000007</v>
      </c>
      <c r="J161" s="5"/>
      <c r="K161" s="5"/>
      <c r="L161" s="5">
        <f t="shared" si="149"/>
        <v>0</v>
      </c>
      <c r="M161" s="6">
        <f t="shared" si="150"/>
        <v>0</v>
      </c>
      <c r="N161" s="84">
        <f t="shared" si="151"/>
        <v>0</v>
      </c>
      <c r="O161" s="6">
        <f t="shared" si="152"/>
        <v>0</v>
      </c>
      <c r="P161" s="29">
        <f t="shared" si="153"/>
        <v>74.104965000000007</v>
      </c>
      <c r="Q161" s="81">
        <f t="shared" si="140"/>
        <v>0</v>
      </c>
    </row>
    <row r="162" spans="1:17" ht="38.25" x14ac:dyDescent="0.25">
      <c r="A162" s="28" t="s">
        <v>410</v>
      </c>
      <c r="B162" s="2" t="s">
        <v>411</v>
      </c>
      <c r="C162" s="87" t="s">
        <v>412</v>
      </c>
      <c r="D162" s="2" t="s">
        <v>21</v>
      </c>
      <c r="E162" s="2" t="s">
        <v>117</v>
      </c>
      <c r="F162" s="7">
        <v>64</v>
      </c>
      <c r="G162" s="8">
        <v>5.89</v>
      </c>
      <c r="H162" s="8">
        <f t="shared" si="141"/>
        <v>7.500915</v>
      </c>
      <c r="I162" s="9">
        <f t="shared" si="148"/>
        <v>480.05856</v>
      </c>
      <c r="J162" s="5"/>
      <c r="K162" s="5"/>
      <c r="L162" s="5">
        <f t="shared" si="149"/>
        <v>0</v>
      </c>
      <c r="M162" s="6">
        <f t="shared" si="150"/>
        <v>0</v>
      </c>
      <c r="N162" s="84">
        <f t="shared" si="151"/>
        <v>0</v>
      </c>
      <c r="O162" s="6">
        <f t="shared" si="152"/>
        <v>0</v>
      </c>
      <c r="P162" s="29">
        <f t="shared" si="153"/>
        <v>480.05856</v>
      </c>
      <c r="Q162" s="81">
        <f t="shared" si="140"/>
        <v>0</v>
      </c>
    </row>
    <row r="163" spans="1:17" ht="38.25" x14ac:dyDescent="0.25">
      <c r="A163" s="28" t="s">
        <v>413</v>
      </c>
      <c r="B163" s="2" t="s">
        <v>414</v>
      </c>
      <c r="C163" s="87" t="s">
        <v>415</v>
      </c>
      <c r="D163" s="2" t="s">
        <v>21</v>
      </c>
      <c r="E163" s="2" t="s">
        <v>117</v>
      </c>
      <c r="F163" s="7">
        <v>5</v>
      </c>
      <c r="G163" s="8">
        <v>10.46</v>
      </c>
      <c r="H163" s="8">
        <f t="shared" si="141"/>
        <v>13.320810000000002</v>
      </c>
      <c r="I163" s="9">
        <f t="shared" si="148"/>
        <v>66.604050000000001</v>
      </c>
      <c r="J163" s="5"/>
      <c r="K163" s="5"/>
      <c r="L163" s="5">
        <f t="shared" si="149"/>
        <v>0</v>
      </c>
      <c r="M163" s="6">
        <f t="shared" si="150"/>
        <v>0</v>
      </c>
      <c r="N163" s="84">
        <f t="shared" si="151"/>
        <v>0</v>
      </c>
      <c r="O163" s="6">
        <f t="shared" si="152"/>
        <v>0</v>
      </c>
      <c r="P163" s="29">
        <f t="shared" si="153"/>
        <v>66.604050000000001</v>
      </c>
      <c r="Q163" s="81">
        <f t="shared" si="140"/>
        <v>0</v>
      </c>
    </row>
    <row r="164" spans="1:17" ht="38.25" x14ac:dyDescent="0.25">
      <c r="A164" s="28" t="s">
        <v>416</v>
      </c>
      <c r="B164" s="2" t="s">
        <v>417</v>
      </c>
      <c r="C164" s="87" t="s">
        <v>418</v>
      </c>
      <c r="D164" s="2" t="s">
        <v>21</v>
      </c>
      <c r="E164" s="2" t="s">
        <v>117</v>
      </c>
      <c r="F164" s="7">
        <v>20</v>
      </c>
      <c r="G164" s="8">
        <v>12.41</v>
      </c>
      <c r="H164" s="8">
        <f t="shared" si="141"/>
        <v>15.804135</v>
      </c>
      <c r="I164" s="9">
        <f t="shared" si="148"/>
        <v>316.08269999999999</v>
      </c>
      <c r="J164" s="5"/>
      <c r="K164" s="5"/>
      <c r="L164" s="5">
        <f t="shared" si="149"/>
        <v>0</v>
      </c>
      <c r="M164" s="6">
        <f t="shared" si="150"/>
        <v>0</v>
      </c>
      <c r="N164" s="84">
        <f t="shared" si="151"/>
        <v>0</v>
      </c>
      <c r="O164" s="6">
        <f t="shared" si="152"/>
        <v>0</v>
      </c>
      <c r="P164" s="29">
        <f t="shared" si="153"/>
        <v>316.08269999999999</v>
      </c>
      <c r="Q164" s="81">
        <f t="shared" si="140"/>
        <v>0</v>
      </c>
    </row>
    <row r="165" spans="1:17" ht="38.25" x14ac:dyDescent="0.25">
      <c r="A165" s="28" t="s">
        <v>419</v>
      </c>
      <c r="B165" s="2" t="s">
        <v>420</v>
      </c>
      <c r="C165" s="87" t="s">
        <v>421</v>
      </c>
      <c r="D165" s="2" t="s">
        <v>21</v>
      </c>
      <c r="E165" s="2" t="s">
        <v>117</v>
      </c>
      <c r="F165" s="7">
        <v>1</v>
      </c>
      <c r="G165" s="8">
        <v>8.6199999999999992</v>
      </c>
      <c r="H165" s="8">
        <f t="shared" si="141"/>
        <v>10.97757</v>
      </c>
      <c r="I165" s="9">
        <f t="shared" si="148"/>
        <v>10.97757</v>
      </c>
      <c r="J165" s="5"/>
      <c r="K165" s="5"/>
      <c r="L165" s="5">
        <f t="shared" si="149"/>
        <v>0</v>
      </c>
      <c r="M165" s="6">
        <f t="shared" si="150"/>
        <v>0</v>
      </c>
      <c r="N165" s="84">
        <f t="shared" si="151"/>
        <v>0</v>
      </c>
      <c r="O165" s="6">
        <f t="shared" si="152"/>
        <v>0</v>
      </c>
      <c r="P165" s="29">
        <f t="shared" si="153"/>
        <v>10.97757</v>
      </c>
      <c r="Q165" s="81">
        <f t="shared" si="140"/>
        <v>0</v>
      </c>
    </row>
    <row r="166" spans="1:17" ht="38.25" x14ac:dyDescent="0.25">
      <c r="A166" s="28" t="s">
        <v>422</v>
      </c>
      <c r="B166" s="2" t="s">
        <v>423</v>
      </c>
      <c r="C166" s="87" t="s">
        <v>424</v>
      </c>
      <c r="D166" s="2" t="s">
        <v>21</v>
      </c>
      <c r="E166" s="2" t="s">
        <v>117</v>
      </c>
      <c r="F166" s="7">
        <v>2</v>
      </c>
      <c r="G166" s="8">
        <v>15.64</v>
      </c>
      <c r="H166" s="8">
        <f t="shared" si="141"/>
        <v>19.917540000000002</v>
      </c>
      <c r="I166" s="9">
        <f t="shared" si="148"/>
        <v>39.835080000000005</v>
      </c>
      <c r="J166" s="5"/>
      <c r="K166" s="5"/>
      <c r="L166" s="5">
        <f t="shared" si="149"/>
        <v>0</v>
      </c>
      <c r="M166" s="6">
        <f t="shared" si="150"/>
        <v>0</v>
      </c>
      <c r="N166" s="84">
        <f t="shared" si="151"/>
        <v>0</v>
      </c>
      <c r="O166" s="6">
        <f t="shared" si="152"/>
        <v>0</v>
      </c>
      <c r="P166" s="29">
        <f t="shared" si="153"/>
        <v>39.835080000000005</v>
      </c>
      <c r="Q166" s="81">
        <f t="shared" si="140"/>
        <v>0</v>
      </c>
    </row>
    <row r="167" spans="1:17" ht="38.25" x14ac:dyDescent="0.25">
      <c r="A167" s="28" t="s">
        <v>425</v>
      </c>
      <c r="B167" s="2" t="s">
        <v>426</v>
      </c>
      <c r="C167" s="87" t="s">
        <v>427</v>
      </c>
      <c r="D167" s="2" t="s">
        <v>21</v>
      </c>
      <c r="E167" s="2" t="s">
        <v>117</v>
      </c>
      <c r="F167" s="7">
        <v>2</v>
      </c>
      <c r="G167" s="8">
        <v>6.91</v>
      </c>
      <c r="H167" s="8">
        <f t="shared" si="141"/>
        <v>8.7998850000000015</v>
      </c>
      <c r="I167" s="9">
        <f t="shared" si="148"/>
        <v>17.599770000000003</v>
      </c>
      <c r="J167" s="5"/>
      <c r="K167" s="5"/>
      <c r="L167" s="5">
        <f t="shared" si="149"/>
        <v>0</v>
      </c>
      <c r="M167" s="6">
        <f t="shared" si="150"/>
        <v>0</v>
      </c>
      <c r="N167" s="84">
        <f t="shared" si="151"/>
        <v>0</v>
      </c>
      <c r="O167" s="6">
        <f t="shared" si="152"/>
        <v>0</v>
      </c>
      <c r="P167" s="29">
        <f t="shared" si="153"/>
        <v>17.599770000000003</v>
      </c>
      <c r="Q167" s="81">
        <f t="shared" si="140"/>
        <v>0</v>
      </c>
    </row>
    <row r="168" spans="1:17" ht="38.25" x14ac:dyDescent="0.25">
      <c r="A168" s="28" t="s">
        <v>428</v>
      </c>
      <c r="B168" s="2" t="s">
        <v>429</v>
      </c>
      <c r="C168" s="87" t="s">
        <v>430</v>
      </c>
      <c r="D168" s="2" t="s">
        <v>21</v>
      </c>
      <c r="E168" s="2" t="s">
        <v>117</v>
      </c>
      <c r="F168" s="7">
        <v>22</v>
      </c>
      <c r="G168" s="8">
        <v>8.26</v>
      </c>
      <c r="H168" s="8">
        <f t="shared" si="141"/>
        <v>10.51911</v>
      </c>
      <c r="I168" s="9">
        <f t="shared" si="148"/>
        <v>231.42041999999998</v>
      </c>
      <c r="J168" s="5"/>
      <c r="K168" s="5"/>
      <c r="L168" s="5">
        <f t="shared" si="149"/>
        <v>0</v>
      </c>
      <c r="M168" s="6">
        <f t="shared" si="150"/>
        <v>0</v>
      </c>
      <c r="N168" s="84">
        <f t="shared" si="151"/>
        <v>0</v>
      </c>
      <c r="O168" s="6">
        <f t="shared" si="152"/>
        <v>0</v>
      </c>
      <c r="P168" s="29">
        <f t="shared" si="153"/>
        <v>231.42041999999998</v>
      </c>
      <c r="Q168" s="81">
        <f t="shared" si="140"/>
        <v>0</v>
      </c>
    </row>
    <row r="169" spans="1:17" ht="38.25" x14ac:dyDescent="0.25">
      <c r="A169" s="28" t="s">
        <v>431</v>
      </c>
      <c r="B169" s="2" t="s">
        <v>432</v>
      </c>
      <c r="C169" s="87" t="s">
        <v>433</v>
      </c>
      <c r="D169" s="2" t="s">
        <v>21</v>
      </c>
      <c r="E169" s="2" t="s">
        <v>117</v>
      </c>
      <c r="F169" s="7">
        <v>1</v>
      </c>
      <c r="G169" s="8">
        <v>16.8</v>
      </c>
      <c r="H169" s="8">
        <f t="shared" si="141"/>
        <v>21.394800000000004</v>
      </c>
      <c r="I169" s="9">
        <f t="shared" si="148"/>
        <v>21.394800000000004</v>
      </c>
      <c r="J169" s="5"/>
      <c r="K169" s="5"/>
      <c r="L169" s="5">
        <f t="shared" si="149"/>
        <v>0</v>
      </c>
      <c r="M169" s="6">
        <f t="shared" si="150"/>
        <v>0</v>
      </c>
      <c r="N169" s="84">
        <f t="shared" si="151"/>
        <v>0</v>
      </c>
      <c r="O169" s="6">
        <f t="shared" si="152"/>
        <v>0</v>
      </c>
      <c r="P169" s="29">
        <f t="shared" si="153"/>
        <v>21.394800000000004</v>
      </c>
      <c r="Q169" s="81">
        <f t="shared" si="140"/>
        <v>0</v>
      </c>
    </row>
    <row r="170" spans="1:17" ht="51" x14ac:dyDescent="0.25">
      <c r="A170" s="28" t="s">
        <v>434</v>
      </c>
      <c r="B170" s="2" t="s">
        <v>435</v>
      </c>
      <c r="C170" s="87" t="s">
        <v>436</v>
      </c>
      <c r="D170" s="2" t="s">
        <v>21</v>
      </c>
      <c r="E170" s="2" t="s">
        <v>117</v>
      </c>
      <c r="F170" s="7">
        <v>17</v>
      </c>
      <c r="G170" s="8">
        <v>18.010000000000002</v>
      </c>
      <c r="H170" s="8">
        <f t="shared" si="141"/>
        <v>22.935735000000005</v>
      </c>
      <c r="I170" s="9">
        <f t="shared" si="148"/>
        <v>389.9074950000001</v>
      </c>
      <c r="J170" s="5"/>
      <c r="K170" s="5"/>
      <c r="L170" s="5">
        <f t="shared" si="149"/>
        <v>0</v>
      </c>
      <c r="M170" s="6">
        <f t="shared" si="150"/>
        <v>0</v>
      </c>
      <c r="N170" s="84">
        <f t="shared" si="151"/>
        <v>0</v>
      </c>
      <c r="O170" s="6">
        <f t="shared" si="152"/>
        <v>0</v>
      </c>
      <c r="P170" s="29">
        <f t="shared" si="153"/>
        <v>389.9074950000001</v>
      </c>
      <c r="Q170" s="81">
        <f t="shared" si="140"/>
        <v>0</v>
      </c>
    </row>
    <row r="171" spans="1:17" ht="38.25" x14ac:dyDescent="0.25">
      <c r="A171" s="28" t="s">
        <v>437</v>
      </c>
      <c r="B171" s="2" t="s">
        <v>438</v>
      </c>
      <c r="C171" s="87" t="s">
        <v>439</v>
      </c>
      <c r="D171" s="2" t="s">
        <v>21</v>
      </c>
      <c r="E171" s="2" t="s">
        <v>22</v>
      </c>
      <c r="F171" s="7">
        <v>63.76</v>
      </c>
      <c r="G171" s="8">
        <v>6.01</v>
      </c>
      <c r="H171" s="8">
        <f t="shared" si="141"/>
        <v>7.6537350000000002</v>
      </c>
      <c r="I171" s="9">
        <f t="shared" si="148"/>
        <v>488.00214360000001</v>
      </c>
      <c r="J171" s="5"/>
      <c r="K171" s="5"/>
      <c r="L171" s="5">
        <f t="shared" si="149"/>
        <v>0</v>
      </c>
      <c r="M171" s="6">
        <f t="shared" si="150"/>
        <v>0</v>
      </c>
      <c r="N171" s="84">
        <f t="shared" si="151"/>
        <v>0</v>
      </c>
      <c r="O171" s="6">
        <f t="shared" si="152"/>
        <v>0</v>
      </c>
      <c r="P171" s="29">
        <f t="shared" si="153"/>
        <v>488.00214360000001</v>
      </c>
      <c r="Q171" s="81">
        <f t="shared" si="140"/>
        <v>0</v>
      </c>
    </row>
    <row r="172" spans="1:17" ht="38.25" x14ac:dyDescent="0.25">
      <c r="A172" s="28" t="s">
        <v>440</v>
      </c>
      <c r="B172" s="2" t="s">
        <v>441</v>
      </c>
      <c r="C172" s="87" t="s">
        <v>442</v>
      </c>
      <c r="D172" s="2" t="s">
        <v>21</v>
      </c>
      <c r="E172" s="2" t="s">
        <v>22</v>
      </c>
      <c r="F172" s="7">
        <v>148.68</v>
      </c>
      <c r="G172" s="8">
        <v>4.4000000000000004</v>
      </c>
      <c r="H172" s="8">
        <f t="shared" si="141"/>
        <v>5.6034000000000006</v>
      </c>
      <c r="I172" s="9">
        <f t="shared" si="148"/>
        <v>833.11351200000013</v>
      </c>
      <c r="J172" s="5"/>
      <c r="K172" s="5"/>
      <c r="L172" s="5">
        <f t="shared" si="149"/>
        <v>0</v>
      </c>
      <c r="M172" s="6">
        <f t="shared" si="150"/>
        <v>0</v>
      </c>
      <c r="N172" s="84">
        <f t="shared" si="151"/>
        <v>0</v>
      </c>
      <c r="O172" s="6">
        <f t="shared" si="152"/>
        <v>0</v>
      </c>
      <c r="P172" s="29">
        <f t="shared" si="153"/>
        <v>833.11351200000013</v>
      </c>
      <c r="Q172" s="81">
        <f t="shared" si="140"/>
        <v>0</v>
      </c>
    </row>
    <row r="173" spans="1:17" ht="38.25" x14ac:dyDescent="0.25">
      <c r="A173" s="28" t="s">
        <v>443</v>
      </c>
      <c r="B173" s="2" t="s">
        <v>444</v>
      </c>
      <c r="C173" s="87" t="s">
        <v>445</v>
      </c>
      <c r="D173" s="2" t="s">
        <v>21</v>
      </c>
      <c r="E173" s="2" t="s">
        <v>22</v>
      </c>
      <c r="F173" s="7">
        <v>28.03</v>
      </c>
      <c r="G173" s="8">
        <v>15.6</v>
      </c>
      <c r="H173" s="8">
        <f t="shared" si="141"/>
        <v>19.866600000000002</v>
      </c>
      <c r="I173" s="9">
        <f t="shared" si="148"/>
        <v>556.86079800000005</v>
      </c>
      <c r="J173" s="5"/>
      <c r="K173" s="5"/>
      <c r="L173" s="5">
        <f t="shared" si="149"/>
        <v>0</v>
      </c>
      <c r="M173" s="6">
        <f t="shared" si="150"/>
        <v>0</v>
      </c>
      <c r="N173" s="84">
        <f t="shared" si="151"/>
        <v>0</v>
      </c>
      <c r="O173" s="6">
        <f t="shared" si="152"/>
        <v>0</v>
      </c>
      <c r="P173" s="29">
        <f t="shared" si="153"/>
        <v>556.86079800000005</v>
      </c>
      <c r="Q173" s="81">
        <f t="shared" si="140"/>
        <v>0</v>
      </c>
    </row>
    <row r="174" spans="1:17" ht="51" x14ac:dyDescent="0.25">
      <c r="A174" s="28" t="s">
        <v>446</v>
      </c>
      <c r="B174" s="2" t="s">
        <v>447</v>
      </c>
      <c r="C174" s="87" t="s">
        <v>448</v>
      </c>
      <c r="D174" s="2" t="s">
        <v>21</v>
      </c>
      <c r="E174" s="2" t="s">
        <v>22</v>
      </c>
      <c r="F174" s="7">
        <v>65.42</v>
      </c>
      <c r="G174" s="8">
        <v>14.3</v>
      </c>
      <c r="H174" s="8">
        <f t="shared" si="141"/>
        <v>18.211050000000004</v>
      </c>
      <c r="I174" s="9">
        <f t="shared" si="148"/>
        <v>1191.3668910000004</v>
      </c>
      <c r="J174" s="5"/>
      <c r="K174" s="5"/>
      <c r="L174" s="5">
        <f t="shared" si="149"/>
        <v>0</v>
      </c>
      <c r="M174" s="6">
        <f t="shared" si="150"/>
        <v>0</v>
      </c>
      <c r="N174" s="84">
        <f t="shared" si="151"/>
        <v>0</v>
      </c>
      <c r="O174" s="6">
        <f t="shared" si="152"/>
        <v>0</v>
      </c>
      <c r="P174" s="29">
        <f t="shared" si="153"/>
        <v>1191.3668910000004</v>
      </c>
      <c r="Q174" s="81">
        <f t="shared" si="140"/>
        <v>0</v>
      </c>
    </row>
    <row r="175" spans="1:17" ht="38.25" x14ac:dyDescent="0.25">
      <c r="A175" s="28" t="s">
        <v>449</v>
      </c>
      <c r="B175" s="2" t="s">
        <v>450</v>
      </c>
      <c r="C175" s="87" t="s">
        <v>451</v>
      </c>
      <c r="D175" s="2" t="s">
        <v>21</v>
      </c>
      <c r="E175" s="2" t="s">
        <v>22</v>
      </c>
      <c r="F175" s="7">
        <v>38.299999999999997</v>
      </c>
      <c r="G175" s="8">
        <v>10.55</v>
      </c>
      <c r="H175" s="8">
        <f t="shared" si="141"/>
        <v>13.435425000000002</v>
      </c>
      <c r="I175" s="9">
        <f t="shared" si="148"/>
        <v>514.57677750000005</v>
      </c>
      <c r="J175" s="5"/>
      <c r="K175" s="5"/>
      <c r="L175" s="5">
        <f t="shared" si="149"/>
        <v>0</v>
      </c>
      <c r="M175" s="6">
        <f t="shared" si="150"/>
        <v>0</v>
      </c>
      <c r="N175" s="84">
        <f t="shared" si="151"/>
        <v>0</v>
      </c>
      <c r="O175" s="6">
        <f t="shared" si="152"/>
        <v>0</v>
      </c>
      <c r="P175" s="29">
        <f t="shared" si="153"/>
        <v>514.57677750000005</v>
      </c>
      <c r="Q175" s="81">
        <f t="shared" si="140"/>
        <v>0</v>
      </c>
    </row>
    <row r="176" spans="1:17" ht="38.25" x14ac:dyDescent="0.25">
      <c r="A176" s="28" t="s">
        <v>452</v>
      </c>
      <c r="B176" s="2" t="s">
        <v>453</v>
      </c>
      <c r="C176" s="87" t="s">
        <v>454</v>
      </c>
      <c r="D176" s="2" t="s">
        <v>21</v>
      </c>
      <c r="E176" s="2" t="s">
        <v>22</v>
      </c>
      <c r="F176" s="7">
        <v>30</v>
      </c>
      <c r="G176" s="8">
        <v>20.3</v>
      </c>
      <c r="H176" s="8">
        <f t="shared" si="141"/>
        <v>25.852050000000002</v>
      </c>
      <c r="I176" s="9">
        <f t="shared" si="148"/>
        <v>775.56150000000002</v>
      </c>
      <c r="J176" s="5"/>
      <c r="K176" s="5"/>
      <c r="L176" s="5">
        <f t="shared" si="149"/>
        <v>0</v>
      </c>
      <c r="M176" s="6">
        <f t="shared" si="150"/>
        <v>0</v>
      </c>
      <c r="N176" s="84">
        <f t="shared" si="151"/>
        <v>0</v>
      </c>
      <c r="O176" s="6">
        <f t="shared" si="152"/>
        <v>0</v>
      </c>
      <c r="P176" s="29">
        <f t="shared" si="153"/>
        <v>775.56150000000002</v>
      </c>
      <c r="Q176" s="81">
        <f t="shared" si="140"/>
        <v>0</v>
      </c>
    </row>
    <row r="177" spans="1:17" ht="51" x14ac:dyDescent="0.25">
      <c r="A177" s="28" t="s">
        <v>455</v>
      </c>
      <c r="B177" s="2" t="s">
        <v>456</v>
      </c>
      <c r="C177" s="87" t="s">
        <v>457</v>
      </c>
      <c r="D177" s="2" t="s">
        <v>21</v>
      </c>
      <c r="E177" s="2" t="s">
        <v>117</v>
      </c>
      <c r="F177" s="7">
        <v>10</v>
      </c>
      <c r="G177" s="8">
        <v>329.84</v>
      </c>
      <c r="H177" s="8">
        <f t="shared" si="141"/>
        <v>420.05124000000001</v>
      </c>
      <c r="I177" s="9">
        <f t="shared" si="148"/>
        <v>4200.5123999999996</v>
      </c>
      <c r="J177" s="5"/>
      <c r="K177" s="5"/>
      <c r="L177" s="5">
        <f t="shared" si="149"/>
        <v>0</v>
      </c>
      <c r="M177" s="6">
        <f t="shared" si="150"/>
        <v>0</v>
      </c>
      <c r="N177" s="84">
        <f t="shared" si="151"/>
        <v>0</v>
      </c>
      <c r="O177" s="6">
        <f t="shared" si="152"/>
        <v>0</v>
      </c>
      <c r="P177" s="29">
        <f t="shared" si="153"/>
        <v>4200.5123999999996</v>
      </c>
      <c r="Q177" s="81">
        <f t="shared" si="140"/>
        <v>0</v>
      </c>
    </row>
    <row r="178" spans="1:17" ht="25.5" x14ac:dyDescent="0.25">
      <c r="A178" s="28" t="s">
        <v>458</v>
      </c>
      <c r="B178" s="2" t="s">
        <v>459</v>
      </c>
      <c r="C178" s="87" t="s">
        <v>460</v>
      </c>
      <c r="D178" s="2" t="s">
        <v>21</v>
      </c>
      <c r="E178" s="2" t="s">
        <v>117</v>
      </c>
      <c r="F178" s="7">
        <v>10</v>
      </c>
      <c r="G178" s="8">
        <v>28.68</v>
      </c>
      <c r="H178" s="8">
        <f t="shared" si="141"/>
        <v>36.523980000000002</v>
      </c>
      <c r="I178" s="9">
        <f t="shared" si="148"/>
        <v>365.2398</v>
      </c>
      <c r="J178" s="5"/>
      <c r="K178" s="5"/>
      <c r="L178" s="5">
        <f t="shared" si="149"/>
        <v>0</v>
      </c>
      <c r="M178" s="6">
        <f t="shared" si="150"/>
        <v>0</v>
      </c>
      <c r="N178" s="84">
        <f t="shared" si="151"/>
        <v>0</v>
      </c>
      <c r="O178" s="6">
        <f t="shared" si="152"/>
        <v>0</v>
      </c>
      <c r="P178" s="29">
        <f t="shared" si="153"/>
        <v>365.2398</v>
      </c>
      <c r="Q178" s="81">
        <f t="shared" si="140"/>
        <v>0</v>
      </c>
    </row>
    <row r="179" spans="1:17" ht="25.5" x14ac:dyDescent="0.25">
      <c r="A179" s="28" t="s">
        <v>461</v>
      </c>
      <c r="B179" s="2" t="s">
        <v>462</v>
      </c>
      <c r="C179" s="87" t="s">
        <v>463</v>
      </c>
      <c r="D179" s="2" t="s">
        <v>21</v>
      </c>
      <c r="E179" s="2" t="s">
        <v>117</v>
      </c>
      <c r="F179" s="7">
        <v>10</v>
      </c>
      <c r="G179" s="8">
        <v>86.47</v>
      </c>
      <c r="H179" s="8">
        <f t="shared" si="141"/>
        <v>110.119545</v>
      </c>
      <c r="I179" s="9">
        <f t="shared" si="148"/>
        <v>1101.1954499999999</v>
      </c>
      <c r="J179" s="5"/>
      <c r="K179" s="5"/>
      <c r="L179" s="5">
        <f t="shared" si="149"/>
        <v>0</v>
      </c>
      <c r="M179" s="6">
        <f t="shared" si="150"/>
        <v>0</v>
      </c>
      <c r="N179" s="84">
        <f t="shared" si="151"/>
        <v>0</v>
      </c>
      <c r="O179" s="6">
        <f t="shared" si="152"/>
        <v>0</v>
      </c>
      <c r="P179" s="29">
        <f t="shared" si="153"/>
        <v>1101.1954499999999</v>
      </c>
      <c r="Q179" s="81">
        <f t="shared" si="140"/>
        <v>0</v>
      </c>
    </row>
    <row r="180" spans="1:17" ht="38.25" x14ac:dyDescent="0.25">
      <c r="A180" s="28" t="s">
        <v>464</v>
      </c>
      <c r="B180" s="2" t="s">
        <v>465</v>
      </c>
      <c r="C180" s="87" t="s">
        <v>466</v>
      </c>
      <c r="D180" s="2" t="s">
        <v>21</v>
      </c>
      <c r="E180" s="2" t="s">
        <v>117</v>
      </c>
      <c r="F180" s="7">
        <v>2</v>
      </c>
      <c r="G180" s="8">
        <v>6.61</v>
      </c>
      <c r="H180" s="8">
        <f t="shared" si="141"/>
        <v>8.4178350000000002</v>
      </c>
      <c r="I180" s="9">
        <f t="shared" si="148"/>
        <v>16.83567</v>
      </c>
      <c r="J180" s="5"/>
      <c r="K180" s="5"/>
      <c r="L180" s="5">
        <f t="shared" si="149"/>
        <v>0</v>
      </c>
      <c r="M180" s="6">
        <f t="shared" si="150"/>
        <v>0</v>
      </c>
      <c r="N180" s="84">
        <f t="shared" si="151"/>
        <v>0</v>
      </c>
      <c r="O180" s="6">
        <f t="shared" si="152"/>
        <v>0</v>
      </c>
      <c r="P180" s="29">
        <f t="shared" si="153"/>
        <v>16.83567</v>
      </c>
      <c r="Q180" s="81">
        <f t="shared" si="140"/>
        <v>0</v>
      </c>
    </row>
    <row r="181" spans="1:17" ht="25.5" x14ac:dyDescent="0.25">
      <c r="A181" s="28" t="s">
        <v>467</v>
      </c>
      <c r="B181" s="2" t="s">
        <v>468</v>
      </c>
      <c r="C181" s="87" t="s">
        <v>469</v>
      </c>
      <c r="D181" s="2" t="s">
        <v>21</v>
      </c>
      <c r="E181" s="2" t="s">
        <v>117</v>
      </c>
      <c r="F181" s="7">
        <v>3</v>
      </c>
      <c r="G181" s="8">
        <v>451.43</v>
      </c>
      <c r="H181" s="8">
        <f t="shared" si="141"/>
        <v>574.89610500000003</v>
      </c>
      <c r="I181" s="9">
        <f t="shared" si="148"/>
        <v>1724.6883150000001</v>
      </c>
      <c r="J181" s="5"/>
      <c r="K181" s="5"/>
      <c r="L181" s="5">
        <f t="shared" si="149"/>
        <v>0</v>
      </c>
      <c r="M181" s="6">
        <f t="shared" si="150"/>
        <v>0</v>
      </c>
      <c r="N181" s="84">
        <f t="shared" si="151"/>
        <v>0</v>
      </c>
      <c r="O181" s="6">
        <f t="shared" si="152"/>
        <v>0</v>
      </c>
      <c r="P181" s="29">
        <f t="shared" si="153"/>
        <v>1724.6883150000001</v>
      </c>
      <c r="Q181" s="81">
        <f t="shared" si="140"/>
        <v>0</v>
      </c>
    </row>
    <row r="182" spans="1:17" ht="25.5" x14ac:dyDescent="0.25">
      <c r="A182" s="28" t="s">
        <v>470</v>
      </c>
      <c r="B182" s="2" t="s">
        <v>471</v>
      </c>
      <c r="C182" s="87" t="s">
        <v>472</v>
      </c>
      <c r="D182" s="2" t="s">
        <v>21</v>
      </c>
      <c r="E182" s="2" t="s">
        <v>117</v>
      </c>
      <c r="F182" s="7">
        <v>4</v>
      </c>
      <c r="G182" s="8">
        <v>20.2</v>
      </c>
      <c r="H182" s="8">
        <f t="shared" si="141"/>
        <v>25.724700000000002</v>
      </c>
      <c r="I182" s="9">
        <f t="shared" si="148"/>
        <v>102.89880000000001</v>
      </c>
      <c r="J182" s="5"/>
      <c r="K182" s="5"/>
      <c r="L182" s="5">
        <f t="shared" si="149"/>
        <v>0</v>
      </c>
      <c r="M182" s="6">
        <f t="shared" si="150"/>
        <v>0</v>
      </c>
      <c r="N182" s="84">
        <f t="shared" si="151"/>
        <v>0</v>
      </c>
      <c r="O182" s="6">
        <f t="shared" si="152"/>
        <v>0</v>
      </c>
      <c r="P182" s="29">
        <f t="shared" si="153"/>
        <v>102.89880000000001</v>
      </c>
      <c r="Q182" s="81">
        <f t="shared" si="140"/>
        <v>0</v>
      </c>
    </row>
    <row r="183" spans="1:17" ht="51" x14ac:dyDescent="0.25">
      <c r="A183" s="28" t="s">
        <v>473</v>
      </c>
      <c r="B183" s="2" t="s">
        <v>474</v>
      </c>
      <c r="C183" s="87" t="s">
        <v>475</v>
      </c>
      <c r="D183" s="2" t="s">
        <v>21</v>
      </c>
      <c r="E183" s="2" t="s">
        <v>117</v>
      </c>
      <c r="F183" s="7">
        <v>1</v>
      </c>
      <c r="G183" s="8">
        <v>136.12</v>
      </c>
      <c r="H183" s="8">
        <f t="shared" si="141"/>
        <v>173.34882000000002</v>
      </c>
      <c r="I183" s="9">
        <f t="shared" si="148"/>
        <v>173.34882000000002</v>
      </c>
      <c r="J183" s="5"/>
      <c r="K183" s="5"/>
      <c r="L183" s="5">
        <f t="shared" si="149"/>
        <v>0</v>
      </c>
      <c r="M183" s="6">
        <f t="shared" si="150"/>
        <v>0</v>
      </c>
      <c r="N183" s="84">
        <f t="shared" si="151"/>
        <v>0</v>
      </c>
      <c r="O183" s="6">
        <f t="shared" si="152"/>
        <v>0</v>
      </c>
      <c r="P183" s="29">
        <f t="shared" si="153"/>
        <v>173.34882000000002</v>
      </c>
      <c r="Q183" s="81">
        <f t="shared" si="140"/>
        <v>0</v>
      </c>
    </row>
    <row r="184" spans="1:17" ht="51" x14ac:dyDescent="0.25">
      <c r="A184" s="28" t="s">
        <v>476</v>
      </c>
      <c r="B184" s="2" t="s">
        <v>477</v>
      </c>
      <c r="C184" s="87" t="s">
        <v>478</v>
      </c>
      <c r="D184" s="2" t="s">
        <v>21</v>
      </c>
      <c r="E184" s="2" t="s">
        <v>117</v>
      </c>
      <c r="F184" s="7">
        <v>4</v>
      </c>
      <c r="G184" s="8">
        <v>187.71</v>
      </c>
      <c r="H184" s="8">
        <f t="shared" si="141"/>
        <v>239.04868500000003</v>
      </c>
      <c r="I184" s="9">
        <f t="shared" si="148"/>
        <v>956.19474000000014</v>
      </c>
      <c r="J184" s="5"/>
      <c r="K184" s="5"/>
      <c r="L184" s="5">
        <f t="shared" si="149"/>
        <v>0</v>
      </c>
      <c r="M184" s="6">
        <f t="shared" si="150"/>
        <v>0</v>
      </c>
      <c r="N184" s="84">
        <f t="shared" si="151"/>
        <v>0</v>
      </c>
      <c r="O184" s="6">
        <f t="shared" si="152"/>
        <v>0</v>
      </c>
      <c r="P184" s="29">
        <f t="shared" si="153"/>
        <v>956.19474000000014</v>
      </c>
      <c r="Q184" s="81">
        <f t="shared" si="140"/>
        <v>0</v>
      </c>
    </row>
    <row r="185" spans="1:17" ht="38.25" x14ac:dyDescent="0.25">
      <c r="A185" s="28" t="s">
        <v>479</v>
      </c>
      <c r="B185" s="2" t="s">
        <v>480</v>
      </c>
      <c r="C185" s="87" t="s">
        <v>481</v>
      </c>
      <c r="D185" s="2" t="s">
        <v>21</v>
      </c>
      <c r="E185" s="2" t="s">
        <v>117</v>
      </c>
      <c r="F185" s="7">
        <v>4</v>
      </c>
      <c r="G185" s="8">
        <v>64.790000000000006</v>
      </c>
      <c r="H185" s="8">
        <f t="shared" si="141"/>
        <v>82.510065000000012</v>
      </c>
      <c r="I185" s="9">
        <f t="shared" si="148"/>
        <v>330.04026000000005</v>
      </c>
      <c r="J185" s="5"/>
      <c r="K185" s="5"/>
      <c r="L185" s="5">
        <f t="shared" si="149"/>
        <v>0</v>
      </c>
      <c r="M185" s="6">
        <f t="shared" si="150"/>
        <v>0</v>
      </c>
      <c r="N185" s="84">
        <f t="shared" si="151"/>
        <v>0</v>
      </c>
      <c r="O185" s="6">
        <f t="shared" si="152"/>
        <v>0</v>
      </c>
      <c r="P185" s="29">
        <f t="shared" si="153"/>
        <v>330.04026000000005</v>
      </c>
      <c r="Q185" s="81">
        <f t="shared" si="140"/>
        <v>0</v>
      </c>
    </row>
    <row r="186" spans="1:17" ht="51" x14ac:dyDescent="0.25">
      <c r="A186" s="28" t="s">
        <v>482</v>
      </c>
      <c r="B186" s="2" t="s">
        <v>483</v>
      </c>
      <c r="C186" s="87" t="s">
        <v>484</v>
      </c>
      <c r="D186" s="2" t="s">
        <v>21</v>
      </c>
      <c r="E186" s="2" t="s">
        <v>117</v>
      </c>
      <c r="F186" s="7">
        <v>8</v>
      </c>
      <c r="G186" s="8">
        <v>148.03</v>
      </c>
      <c r="H186" s="8">
        <f t="shared" si="141"/>
        <v>188.51620500000001</v>
      </c>
      <c r="I186" s="9">
        <f t="shared" si="148"/>
        <v>1508.1296400000001</v>
      </c>
      <c r="J186" s="5"/>
      <c r="K186" s="5"/>
      <c r="L186" s="5">
        <f t="shared" si="149"/>
        <v>0</v>
      </c>
      <c r="M186" s="6">
        <f t="shared" si="150"/>
        <v>0</v>
      </c>
      <c r="N186" s="84">
        <f t="shared" si="151"/>
        <v>0</v>
      </c>
      <c r="O186" s="6">
        <f t="shared" si="152"/>
        <v>0</v>
      </c>
      <c r="P186" s="29">
        <f t="shared" si="153"/>
        <v>1508.1296400000001</v>
      </c>
      <c r="Q186" s="81">
        <f t="shared" si="140"/>
        <v>0</v>
      </c>
    </row>
    <row r="187" spans="1:17" ht="38.25" x14ac:dyDescent="0.25">
      <c r="A187" s="28" t="s">
        <v>485</v>
      </c>
      <c r="B187" s="2" t="s">
        <v>486</v>
      </c>
      <c r="C187" s="87" t="s">
        <v>487</v>
      </c>
      <c r="D187" s="2" t="s">
        <v>21</v>
      </c>
      <c r="E187" s="2" t="s">
        <v>117</v>
      </c>
      <c r="F187" s="7">
        <v>8</v>
      </c>
      <c r="G187" s="8">
        <v>55.37</v>
      </c>
      <c r="H187" s="8">
        <f t="shared" si="141"/>
        <v>70.513694999999998</v>
      </c>
      <c r="I187" s="9">
        <f t="shared" si="148"/>
        <v>564.10955999999999</v>
      </c>
      <c r="J187" s="5"/>
      <c r="K187" s="5"/>
      <c r="L187" s="5">
        <f t="shared" si="149"/>
        <v>0</v>
      </c>
      <c r="M187" s="6">
        <f t="shared" si="150"/>
        <v>0</v>
      </c>
      <c r="N187" s="84">
        <f t="shared" si="151"/>
        <v>0</v>
      </c>
      <c r="O187" s="6">
        <f t="shared" si="152"/>
        <v>0</v>
      </c>
      <c r="P187" s="29">
        <f t="shared" si="153"/>
        <v>564.10955999999999</v>
      </c>
      <c r="Q187" s="81">
        <f t="shared" si="140"/>
        <v>0</v>
      </c>
    </row>
    <row r="188" spans="1:17" ht="38.25" x14ac:dyDescent="0.25">
      <c r="A188" s="28" t="s">
        <v>488</v>
      </c>
      <c r="B188" s="2" t="s">
        <v>489</v>
      </c>
      <c r="C188" s="87" t="s">
        <v>490</v>
      </c>
      <c r="D188" s="2" t="s">
        <v>21</v>
      </c>
      <c r="E188" s="2" t="s">
        <v>117</v>
      </c>
      <c r="F188" s="7">
        <v>1</v>
      </c>
      <c r="G188" s="8">
        <v>26.81</v>
      </c>
      <c r="H188" s="8">
        <f t="shared" si="141"/>
        <v>34.142535000000002</v>
      </c>
      <c r="I188" s="9">
        <f t="shared" si="148"/>
        <v>34.142535000000002</v>
      </c>
      <c r="J188" s="5"/>
      <c r="K188" s="5"/>
      <c r="L188" s="5">
        <f t="shared" si="149"/>
        <v>0</v>
      </c>
      <c r="M188" s="6">
        <f t="shared" si="150"/>
        <v>0</v>
      </c>
      <c r="N188" s="84">
        <f t="shared" si="151"/>
        <v>0</v>
      </c>
      <c r="O188" s="6">
        <f t="shared" si="152"/>
        <v>0</v>
      </c>
      <c r="P188" s="29">
        <f t="shared" si="153"/>
        <v>34.142535000000002</v>
      </c>
      <c r="Q188" s="81">
        <f t="shared" si="140"/>
        <v>0</v>
      </c>
    </row>
    <row r="189" spans="1:17" ht="38.25" x14ac:dyDescent="0.25">
      <c r="A189" s="28" t="s">
        <v>491</v>
      </c>
      <c r="B189" s="2" t="s">
        <v>492</v>
      </c>
      <c r="C189" s="87" t="s">
        <v>493</v>
      </c>
      <c r="D189" s="2" t="s">
        <v>21</v>
      </c>
      <c r="E189" s="2" t="s">
        <v>117</v>
      </c>
      <c r="F189" s="7">
        <v>2</v>
      </c>
      <c r="G189" s="8">
        <v>190.7</v>
      </c>
      <c r="H189" s="8">
        <f t="shared" si="141"/>
        <v>242.85645</v>
      </c>
      <c r="I189" s="9">
        <f t="shared" si="148"/>
        <v>485.71289999999999</v>
      </c>
      <c r="J189" s="5"/>
      <c r="K189" s="5"/>
      <c r="L189" s="5">
        <f t="shared" si="149"/>
        <v>0</v>
      </c>
      <c r="M189" s="6">
        <f t="shared" si="150"/>
        <v>0</v>
      </c>
      <c r="N189" s="84">
        <f t="shared" si="151"/>
        <v>0</v>
      </c>
      <c r="O189" s="6">
        <f t="shared" si="152"/>
        <v>0</v>
      </c>
      <c r="P189" s="29">
        <f t="shared" si="153"/>
        <v>485.71289999999999</v>
      </c>
      <c r="Q189" s="81">
        <f t="shared" si="140"/>
        <v>0</v>
      </c>
    </row>
    <row r="190" spans="1:17" ht="38.25" x14ac:dyDescent="0.25">
      <c r="A190" s="28" t="s">
        <v>494</v>
      </c>
      <c r="B190" s="2" t="s">
        <v>495</v>
      </c>
      <c r="C190" s="87" t="s">
        <v>496</v>
      </c>
      <c r="D190" s="2" t="s">
        <v>21</v>
      </c>
      <c r="E190" s="2" t="s">
        <v>117</v>
      </c>
      <c r="F190" s="7">
        <v>8</v>
      </c>
      <c r="G190" s="8">
        <v>177.5</v>
      </c>
      <c r="H190" s="8">
        <f t="shared" si="141"/>
        <v>226.04625000000001</v>
      </c>
      <c r="I190" s="9">
        <f t="shared" si="148"/>
        <v>1808.3700000000001</v>
      </c>
      <c r="J190" s="5"/>
      <c r="K190" s="5"/>
      <c r="L190" s="5">
        <f t="shared" si="149"/>
        <v>0</v>
      </c>
      <c r="M190" s="6">
        <f t="shared" si="150"/>
        <v>0</v>
      </c>
      <c r="N190" s="84">
        <f t="shared" si="151"/>
        <v>0</v>
      </c>
      <c r="O190" s="6">
        <f t="shared" si="152"/>
        <v>0</v>
      </c>
      <c r="P190" s="29">
        <f t="shared" si="153"/>
        <v>1808.3700000000001</v>
      </c>
      <c r="Q190" s="81">
        <f t="shared" si="140"/>
        <v>0</v>
      </c>
    </row>
    <row r="191" spans="1:17" ht="76.5" x14ac:dyDescent="0.25">
      <c r="A191" s="28" t="s">
        <v>497</v>
      </c>
      <c r="B191" s="2" t="s">
        <v>498</v>
      </c>
      <c r="C191" s="87" t="s">
        <v>499</v>
      </c>
      <c r="D191" s="2" t="s">
        <v>21</v>
      </c>
      <c r="E191" s="2" t="s">
        <v>117</v>
      </c>
      <c r="F191" s="7">
        <v>2</v>
      </c>
      <c r="G191" s="8">
        <v>165.39</v>
      </c>
      <c r="H191" s="8">
        <f t="shared" si="141"/>
        <v>210.624165</v>
      </c>
      <c r="I191" s="9">
        <f t="shared" si="148"/>
        <v>421.24833000000001</v>
      </c>
      <c r="J191" s="5"/>
      <c r="K191" s="5"/>
      <c r="L191" s="5">
        <f t="shared" si="149"/>
        <v>0</v>
      </c>
      <c r="M191" s="6">
        <f t="shared" si="150"/>
        <v>0</v>
      </c>
      <c r="N191" s="84">
        <f t="shared" si="151"/>
        <v>0</v>
      </c>
      <c r="O191" s="6">
        <f t="shared" si="152"/>
        <v>0</v>
      </c>
      <c r="P191" s="29">
        <f t="shared" si="153"/>
        <v>421.24833000000001</v>
      </c>
      <c r="Q191" s="81">
        <f t="shared" si="140"/>
        <v>0</v>
      </c>
    </row>
    <row r="192" spans="1:17" ht="25.5" x14ac:dyDescent="0.25">
      <c r="A192" s="28" t="s">
        <v>500</v>
      </c>
      <c r="B192" s="2" t="s">
        <v>501</v>
      </c>
      <c r="C192" s="87" t="s">
        <v>502</v>
      </c>
      <c r="D192" s="2" t="s">
        <v>21</v>
      </c>
      <c r="E192" s="2" t="s">
        <v>117</v>
      </c>
      <c r="F192" s="7">
        <v>10</v>
      </c>
      <c r="G192" s="8">
        <v>22.08</v>
      </c>
      <c r="H192" s="8">
        <f t="shared" si="141"/>
        <v>28.118880000000001</v>
      </c>
      <c r="I192" s="9">
        <f t="shared" si="148"/>
        <v>281.18880000000001</v>
      </c>
      <c r="J192" s="5"/>
      <c r="K192" s="5"/>
      <c r="L192" s="5">
        <f t="shared" si="149"/>
        <v>0</v>
      </c>
      <c r="M192" s="6">
        <f t="shared" si="150"/>
        <v>0</v>
      </c>
      <c r="N192" s="84">
        <f t="shared" si="151"/>
        <v>0</v>
      </c>
      <c r="O192" s="6">
        <f t="shared" si="152"/>
        <v>0</v>
      </c>
      <c r="P192" s="29">
        <f t="shared" si="153"/>
        <v>281.18880000000001</v>
      </c>
      <c r="Q192" s="81">
        <f t="shared" si="140"/>
        <v>0</v>
      </c>
    </row>
    <row r="193" spans="1:17" ht="25.5" x14ac:dyDescent="0.25">
      <c r="A193" s="28" t="s">
        <v>503</v>
      </c>
      <c r="B193" s="2" t="s">
        <v>504</v>
      </c>
      <c r="C193" s="87" t="s">
        <v>505</v>
      </c>
      <c r="D193" s="2" t="s">
        <v>21</v>
      </c>
      <c r="E193" s="2" t="s">
        <v>117</v>
      </c>
      <c r="F193" s="7">
        <v>2</v>
      </c>
      <c r="G193" s="8">
        <v>117.18</v>
      </c>
      <c r="H193" s="8">
        <f t="shared" si="141"/>
        <v>149.22873000000001</v>
      </c>
      <c r="I193" s="9">
        <f t="shared" si="148"/>
        <v>298.45746000000003</v>
      </c>
      <c r="J193" s="5"/>
      <c r="K193" s="5"/>
      <c r="L193" s="5">
        <f t="shared" si="149"/>
        <v>0</v>
      </c>
      <c r="M193" s="6">
        <f t="shared" si="150"/>
        <v>0</v>
      </c>
      <c r="N193" s="84">
        <f t="shared" si="151"/>
        <v>0</v>
      </c>
      <c r="O193" s="6">
        <f t="shared" si="152"/>
        <v>0</v>
      </c>
      <c r="P193" s="29">
        <f t="shared" si="153"/>
        <v>298.45746000000003</v>
      </c>
      <c r="Q193" s="81">
        <f t="shared" si="140"/>
        <v>0</v>
      </c>
    </row>
    <row r="194" spans="1:17" ht="25.5" x14ac:dyDescent="0.25">
      <c r="A194" s="28" t="s">
        <v>506</v>
      </c>
      <c r="B194" s="2" t="s">
        <v>507</v>
      </c>
      <c r="C194" s="87" t="s">
        <v>508</v>
      </c>
      <c r="D194" s="2" t="s">
        <v>21</v>
      </c>
      <c r="E194" s="2" t="s">
        <v>117</v>
      </c>
      <c r="F194" s="7">
        <v>1</v>
      </c>
      <c r="G194" s="8">
        <v>84.73</v>
      </c>
      <c r="H194" s="8">
        <f t="shared" si="141"/>
        <v>107.90365500000001</v>
      </c>
      <c r="I194" s="9">
        <f t="shared" si="148"/>
        <v>107.90365500000001</v>
      </c>
      <c r="J194" s="5"/>
      <c r="K194" s="5"/>
      <c r="L194" s="5">
        <f t="shared" si="149"/>
        <v>0</v>
      </c>
      <c r="M194" s="6">
        <f t="shared" si="150"/>
        <v>0</v>
      </c>
      <c r="N194" s="84">
        <f t="shared" si="151"/>
        <v>0</v>
      </c>
      <c r="O194" s="6">
        <f t="shared" si="152"/>
        <v>0</v>
      </c>
      <c r="P194" s="29">
        <f t="shared" si="153"/>
        <v>107.90365500000001</v>
      </c>
      <c r="Q194" s="81">
        <f t="shared" si="140"/>
        <v>0</v>
      </c>
    </row>
    <row r="195" spans="1:17" ht="25.5" x14ac:dyDescent="0.25">
      <c r="A195" s="28" t="s">
        <v>509</v>
      </c>
      <c r="B195" s="2" t="s">
        <v>510</v>
      </c>
      <c r="C195" s="87" t="s">
        <v>511</v>
      </c>
      <c r="D195" s="2" t="s">
        <v>21</v>
      </c>
      <c r="E195" s="2" t="s">
        <v>117</v>
      </c>
      <c r="F195" s="7">
        <v>1</v>
      </c>
      <c r="G195" s="8">
        <v>28.98</v>
      </c>
      <c r="H195" s="8">
        <f t="shared" si="141"/>
        <v>36.906030000000001</v>
      </c>
      <c r="I195" s="9">
        <f t="shared" si="148"/>
        <v>36.906030000000001</v>
      </c>
      <c r="J195" s="5"/>
      <c r="K195" s="5"/>
      <c r="L195" s="5">
        <f t="shared" si="149"/>
        <v>0</v>
      </c>
      <c r="M195" s="6">
        <f t="shared" si="150"/>
        <v>0</v>
      </c>
      <c r="N195" s="84">
        <f t="shared" si="151"/>
        <v>0</v>
      </c>
      <c r="O195" s="6">
        <f t="shared" si="152"/>
        <v>0</v>
      </c>
      <c r="P195" s="29">
        <f t="shared" si="153"/>
        <v>36.906030000000001</v>
      </c>
      <c r="Q195" s="81">
        <f t="shared" si="140"/>
        <v>0</v>
      </c>
    </row>
    <row r="196" spans="1:17" ht="25.5" x14ac:dyDescent="0.25">
      <c r="A196" s="28" t="s">
        <v>512</v>
      </c>
      <c r="B196" s="2" t="s">
        <v>513</v>
      </c>
      <c r="C196" s="87" t="s">
        <v>514</v>
      </c>
      <c r="D196" s="2" t="s">
        <v>21</v>
      </c>
      <c r="E196" s="2" t="s">
        <v>117</v>
      </c>
      <c r="F196" s="7">
        <v>13</v>
      </c>
      <c r="G196" s="8">
        <v>31.62</v>
      </c>
      <c r="H196" s="8">
        <f t="shared" si="141"/>
        <v>40.268070000000002</v>
      </c>
      <c r="I196" s="9">
        <f t="shared" si="148"/>
        <v>523.48491000000001</v>
      </c>
      <c r="J196" s="5"/>
      <c r="K196" s="5"/>
      <c r="L196" s="5">
        <f t="shared" si="149"/>
        <v>0</v>
      </c>
      <c r="M196" s="6">
        <f t="shared" si="150"/>
        <v>0</v>
      </c>
      <c r="N196" s="84">
        <f t="shared" si="151"/>
        <v>0</v>
      </c>
      <c r="O196" s="6">
        <f t="shared" si="152"/>
        <v>0</v>
      </c>
      <c r="P196" s="29">
        <f t="shared" si="153"/>
        <v>523.48491000000001</v>
      </c>
      <c r="Q196" s="81">
        <f t="shared" si="140"/>
        <v>0</v>
      </c>
    </row>
    <row r="197" spans="1:17" ht="51" x14ac:dyDescent="0.25">
      <c r="A197" s="28" t="s">
        <v>515</v>
      </c>
      <c r="B197" s="2" t="s">
        <v>516</v>
      </c>
      <c r="C197" s="87" t="s">
        <v>517</v>
      </c>
      <c r="D197" s="2" t="s">
        <v>21</v>
      </c>
      <c r="E197" s="2" t="s">
        <v>117</v>
      </c>
      <c r="F197" s="7">
        <v>2</v>
      </c>
      <c r="G197" s="8">
        <v>71.67</v>
      </c>
      <c r="H197" s="8">
        <f t="shared" si="141"/>
        <v>91.27174500000001</v>
      </c>
      <c r="I197" s="9">
        <f t="shared" si="148"/>
        <v>182.54349000000002</v>
      </c>
      <c r="J197" s="5"/>
      <c r="K197" s="5"/>
      <c r="L197" s="5">
        <f t="shared" si="149"/>
        <v>0</v>
      </c>
      <c r="M197" s="6">
        <f t="shared" si="150"/>
        <v>0</v>
      </c>
      <c r="N197" s="84">
        <f t="shared" si="151"/>
        <v>0</v>
      </c>
      <c r="O197" s="6">
        <f t="shared" si="152"/>
        <v>0</v>
      </c>
      <c r="P197" s="29">
        <f t="shared" si="153"/>
        <v>182.54349000000002</v>
      </c>
      <c r="Q197" s="81">
        <f t="shared" si="140"/>
        <v>0</v>
      </c>
    </row>
    <row r="198" spans="1:17" ht="38.25" x14ac:dyDescent="0.25">
      <c r="A198" s="28" t="s">
        <v>518</v>
      </c>
      <c r="B198" s="2" t="s">
        <v>519</v>
      </c>
      <c r="C198" s="87" t="s">
        <v>520</v>
      </c>
      <c r="D198" s="2" t="s">
        <v>21</v>
      </c>
      <c r="E198" s="2" t="s">
        <v>117</v>
      </c>
      <c r="F198" s="7">
        <v>20</v>
      </c>
      <c r="G198" s="8">
        <v>27.64</v>
      </c>
      <c r="H198" s="8">
        <f t="shared" si="141"/>
        <v>35.199540000000006</v>
      </c>
      <c r="I198" s="9">
        <f t="shared" si="148"/>
        <v>703.99080000000015</v>
      </c>
      <c r="J198" s="5"/>
      <c r="K198" s="5"/>
      <c r="L198" s="5">
        <f t="shared" si="149"/>
        <v>0</v>
      </c>
      <c r="M198" s="6">
        <f t="shared" si="150"/>
        <v>0</v>
      </c>
      <c r="N198" s="84">
        <f t="shared" si="151"/>
        <v>0</v>
      </c>
      <c r="O198" s="6">
        <f t="shared" si="152"/>
        <v>0</v>
      </c>
      <c r="P198" s="29">
        <f t="shared" si="153"/>
        <v>703.99080000000015</v>
      </c>
      <c r="Q198" s="81">
        <f t="shared" si="140"/>
        <v>0</v>
      </c>
    </row>
    <row r="199" spans="1:17" ht="51" x14ac:dyDescent="0.25">
      <c r="A199" s="28" t="s">
        <v>521</v>
      </c>
      <c r="B199" s="2" t="s">
        <v>522</v>
      </c>
      <c r="C199" s="87" t="s">
        <v>523</v>
      </c>
      <c r="D199" s="2" t="s">
        <v>21</v>
      </c>
      <c r="E199" s="2" t="s">
        <v>117</v>
      </c>
      <c r="F199" s="7">
        <v>12</v>
      </c>
      <c r="G199" s="8">
        <v>5.69</v>
      </c>
      <c r="H199" s="8">
        <f t="shared" si="141"/>
        <v>7.2462150000000012</v>
      </c>
      <c r="I199" s="9">
        <f t="shared" si="148"/>
        <v>86.954580000000021</v>
      </c>
      <c r="J199" s="5"/>
      <c r="K199" s="5"/>
      <c r="L199" s="5">
        <f t="shared" si="149"/>
        <v>0</v>
      </c>
      <c r="M199" s="6">
        <f t="shared" si="150"/>
        <v>0</v>
      </c>
      <c r="N199" s="84">
        <f t="shared" si="151"/>
        <v>0</v>
      </c>
      <c r="O199" s="6">
        <f t="shared" si="152"/>
        <v>0</v>
      </c>
      <c r="P199" s="29">
        <f t="shared" si="153"/>
        <v>86.954580000000021</v>
      </c>
      <c r="Q199" s="81">
        <f t="shared" si="140"/>
        <v>0</v>
      </c>
    </row>
    <row r="200" spans="1:17" ht="51" x14ac:dyDescent="0.25">
      <c r="A200" s="28" t="s">
        <v>524</v>
      </c>
      <c r="B200" s="2" t="s">
        <v>525</v>
      </c>
      <c r="C200" s="87" t="s">
        <v>526</v>
      </c>
      <c r="D200" s="2" t="s">
        <v>21</v>
      </c>
      <c r="E200" s="2" t="s">
        <v>117</v>
      </c>
      <c r="F200" s="7">
        <v>5</v>
      </c>
      <c r="G200" s="8">
        <v>14.24</v>
      </c>
      <c r="H200" s="8">
        <f t="shared" si="141"/>
        <v>18.134640000000001</v>
      </c>
      <c r="I200" s="9">
        <f t="shared" si="148"/>
        <v>90.673200000000008</v>
      </c>
      <c r="J200" s="5"/>
      <c r="K200" s="5"/>
      <c r="L200" s="5">
        <f t="shared" si="149"/>
        <v>0</v>
      </c>
      <c r="M200" s="6">
        <f t="shared" si="150"/>
        <v>0</v>
      </c>
      <c r="N200" s="84">
        <f t="shared" si="151"/>
        <v>0</v>
      </c>
      <c r="O200" s="6">
        <f t="shared" si="152"/>
        <v>0</v>
      </c>
      <c r="P200" s="29">
        <f t="shared" si="153"/>
        <v>90.673200000000008</v>
      </c>
      <c r="Q200" s="81">
        <f t="shared" si="140"/>
        <v>0</v>
      </c>
    </row>
    <row r="201" spans="1:17" ht="51" x14ac:dyDescent="0.25">
      <c r="A201" s="28" t="s">
        <v>527</v>
      </c>
      <c r="B201" s="2" t="s">
        <v>528</v>
      </c>
      <c r="C201" s="87" t="s">
        <v>529</v>
      </c>
      <c r="D201" s="2" t="s">
        <v>21</v>
      </c>
      <c r="E201" s="2" t="s">
        <v>117</v>
      </c>
      <c r="F201" s="7">
        <v>36</v>
      </c>
      <c r="G201" s="8">
        <v>7.4</v>
      </c>
      <c r="H201" s="8">
        <f t="shared" si="141"/>
        <v>9.4239000000000015</v>
      </c>
      <c r="I201" s="9">
        <f t="shared" si="148"/>
        <v>339.26040000000006</v>
      </c>
      <c r="J201" s="5"/>
      <c r="K201" s="5"/>
      <c r="L201" s="5">
        <f t="shared" si="149"/>
        <v>0</v>
      </c>
      <c r="M201" s="6">
        <f t="shared" si="150"/>
        <v>0</v>
      </c>
      <c r="N201" s="84">
        <f t="shared" si="151"/>
        <v>0</v>
      </c>
      <c r="O201" s="6">
        <f t="shared" si="152"/>
        <v>0</v>
      </c>
      <c r="P201" s="29">
        <f t="shared" si="153"/>
        <v>339.26040000000006</v>
      </c>
      <c r="Q201" s="81">
        <f t="shared" si="140"/>
        <v>0</v>
      </c>
    </row>
    <row r="202" spans="1:17" ht="51" x14ac:dyDescent="0.25">
      <c r="A202" s="28" t="s">
        <v>530</v>
      </c>
      <c r="B202" s="2" t="s">
        <v>531</v>
      </c>
      <c r="C202" s="87" t="s">
        <v>532</v>
      </c>
      <c r="D202" s="2" t="s">
        <v>21</v>
      </c>
      <c r="E202" s="2" t="s">
        <v>117</v>
      </c>
      <c r="F202" s="7">
        <v>14</v>
      </c>
      <c r="G202" s="8">
        <v>5.12</v>
      </c>
      <c r="H202" s="8">
        <f t="shared" si="141"/>
        <v>6.5203200000000008</v>
      </c>
      <c r="I202" s="9">
        <f t="shared" si="148"/>
        <v>91.284480000000016</v>
      </c>
      <c r="J202" s="5"/>
      <c r="K202" s="5"/>
      <c r="L202" s="5">
        <f t="shared" si="149"/>
        <v>0</v>
      </c>
      <c r="M202" s="6">
        <f t="shared" si="150"/>
        <v>0</v>
      </c>
      <c r="N202" s="84">
        <f t="shared" si="151"/>
        <v>0</v>
      </c>
      <c r="O202" s="6">
        <f t="shared" si="152"/>
        <v>0</v>
      </c>
      <c r="P202" s="29">
        <f t="shared" si="153"/>
        <v>91.284480000000016</v>
      </c>
      <c r="Q202" s="81">
        <f t="shared" ref="Q202:Q229" si="154">O202/I202</f>
        <v>0</v>
      </c>
    </row>
    <row r="203" spans="1:17" ht="51" x14ac:dyDescent="0.25">
      <c r="A203" s="28" t="s">
        <v>533</v>
      </c>
      <c r="B203" s="2" t="s">
        <v>534</v>
      </c>
      <c r="C203" s="87" t="s">
        <v>535</v>
      </c>
      <c r="D203" s="2" t="s">
        <v>21</v>
      </c>
      <c r="E203" s="2" t="s">
        <v>117</v>
      </c>
      <c r="F203" s="7">
        <v>10</v>
      </c>
      <c r="G203" s="8">
        <v>18.22</v>
      </c>
      <c r="H203" s="8">
        <f t="shared" si="141"/>
        <v>23.20317</v>
      </c>
      <c r="I203" s="9">
        <f t="shared" si="148"/>
        <v>232.0317</v>
      </c>
      <c r="J203" s="5"/>
      <c r="K203" s="5"/>
      <c r="L203" s="5">
        <f t="shared" si="149"/>
        <v>0</v>
      </c>
      <c r="M203" s="6">
        <f t="shared" si="150"/>
        <v>0</v>
      </c>
      <c r="N203" s="84">
        <f t="shared" si="151"/>
        <v>0</v>
      </c>
      <c r="O203" s="6">
        <f t="shared" si="152"/>
        <v>0</v>
      </c>
      <c r="P203" s="29">
        <f t="shared" si="153"/>
        <v>232.0317</v>
      </c>
      <c r="Q203" s="81">
        <f t="shared" si="154"/>
        <v>0</v>
      </c>
    </row>
    <row r="204" spans="1:17" ht="51" x14ac:dyDescent="0.25">
      <c r="A204" s="28" t="s">
        <v>536</v>
      </c>
      <c r="B204" s="2" t="s">
        <v>537</v>
      </c>
      <c r="C204" s="87" t="s">
        <v>538</v>
      </c>
      <c r="D204" s="2" t="s">
        <v>21</v>
      </c>
      <c r="E204" s="2" t="s">
        <v>117</v>
      </c>
      <c r="F204" s="7">
        <v>1</v>
      </c>
      <c r="G204" s="8">
        <v>13.18</v>
      </c>
      <c r="H204" s="8">
        <f t="shared" si="141"/>
        <v>16.78473</v>
      </c>
      <c r="I204" s="9">
        <f t="shared" si="148"/>
        <v>16.78473</v>
      </c>
      <c r="J204" s="5"/>
      <c r="K204" s="5"/>
      <c r="L204" s="5">
        <f t="shared" si="149"/>
        <v>0</v>
      </c>
      <c r="M204" s="6">
        <f t="shared" si="150"/>
        <v>0</v>
      </c>
      <c r="N204" s="84">
        <f t="shared" si="151"/>
        <v>0</v>
      </c>
      <c r="O204" s="6">
        <f t="shared" si="152"/>
        <v>0</v>
      </c>
      <c r="P204" s="29">
        <f t="shared" si="153"/>
        <v>16.78473</v>
      </c>
      <c r="Q204" s="81">
        <f t="shared" si="154"/>
        <v>0</v>
      </c>
    </row>
    <row r="205" spans="1:17" ht="25.5" x14ac:dyDescent="0.25">
      <c r="A205" s="28" t="s">
        <v>539</v>
      </c>
      <c r="B205" s="2" t="s">
        <v>540</v>
      </c>
      <c r="C205" s="87" t="s">
        <v>541</v>
      </c>
      <c r="D205" s="2" t="s">
        <v>21</v>
      </c>
      <c r="E205" s="2" t="s">
        <v>117</v>
      </c>
      <c r="F205" s="7">
        <v>8</v>
      </c>
      <c r="G205" s="8">
        <v>15.03</v>
      </c>
      <c r="H205" s="8">
        <f t="shared" si="141"/>
        <v>19.140705000000001</v>
      </c>
      <c r="I205" s="9">
        <f t="shared" si="148"/>
        <v>153.12564</v>
      </c>
      <c r="J205" s="5"/>
      <c r="K205" s="5"/>
      <c r="L205" s="5">
        <f t="shared" si="149"/>
        <v>0</v>
      </c>
      <c r="M205" s="6">
        <f t="shared" si="150"/>
        <v>0</v>
      </c>
      <c r="N205" s="84">
        <f t="shared" si="151"/>
        <v>0</v>
      </c>
      <c r="O205" s="6">
        <f t="shared" si="152"/>
        <v>0</v>
      </c>
      <c r="P205" s="29">
        <f t="shared" si="153"/>
        <v>153.12564</v>
      </c>
      <c r="Q205" s="81">
        <f t="shared" si="154"/>
        <v>0</v>
      </c>
    </row>
    <row r="206" spans="1:17" ht="25.5" x14ac:dyDescent="0.25">
      <c r="A206" s="28" t="s">
        <v>542</v>
      </c>
      <c r="B206" s="2" t="s">
        <v>543</v>
      </c>
      <c r="C206" s="87" t="s">
        <v>544</v>
      </c>
      <c r="D206" s="2" t="s">
        <v>21</v>
      </c>
      <c r="E206" s="2" t="s">
        <v>117</v>
      </c>
      <c r="F206" s="7">
        <v>1</v>
      </c>
      <c r="G206" s="8">
        <v>21.66</v>
      </c>
      <c r="H206" s="8">
        <f t="shared" si="141"/>
        <v>27.584010000000003</v>
      </c>
      <c r="I206" s="9">
        <f t="shared" si="148"/>
        <v>27.584010000000003</v>
      </c>
      <c r="J206" s="5"/>
      <c r="K206" s="5"/>
      <c r="L206" s="5">
        <f t="shared" si="149"/>
        <v>0</v>
      </c>
      <c r="M206" s="6">
        <f t="shared" si="150"/>
        <v>0</v>
      </c>
      <c r="N206" s="84">
        <f t="shared" si="151"/>
        <v>0</v>
      </c>
      <c r="O206" s="6">
        <f t="shared" si="152"/>
        <v>0</v>
      </c>
      <c r="P206" s="29">
        <f t="shared" si="153"/>
        <v>27.584010000000003</v>
      </c>
      <c r="Q206" s="81">
        <f t="shared" si="154"/>
        <v>0</v>
      </c>
    </row>
    <row r="207" spans="1:17" ht="63.75" x14ac:dyDescent="0.25">
      <c r="A207" s="28" t="s">
        <v>545</v>
      </c>
      <c r="B207" s="2" t="s">
        <v>546</v>
      </c>
      <c r="C207" s="87" t="s">
        <v>547</v>
      </c>
      <c r="D207" s="2" t="s">
        <v>21</v>
      </c>
      <c r="E207" s="2" t="s">
        <v>117</v>
      </c>
      <c r="F207" s="7">
        <v>5</v>
      </c>
      <c r="G207" s="8">
        <v>35.950000000000003</v>
      </c>
      <c r="H207" s="8">
        <f t="shared" si="141"/>
        <v>45.782325000000007</v>
      </c>
      <c r="I207" s="9">
        <f t="shared" si="148"/>
        <v>228.91162500000004</v>
      </c>
      <c r="J207" s="5"/>
      <c r="K207" s="5"/>
      <c r="L207" s="5">
        <f t="shared" si="149"/>
        <v>0</v>
      </c>
      <c r="M207" s="6">
        <f t="shared" si="150"/>
        <v>0</v>
      </c>
      <c r="N207" s="84">
        <f t="shared" si="151"/>
        <v>0</v>
      </c>
      <c r="O207" s="6">
        <f t="shared" si="152"/>
        <v>0</v>
      </c>
      <c r="P207" s="29">
        <f t="shared" si="153"/>
        <v>228.91162500000004</v>
      </c>
      <c r="Q207" s="81">
        <f t="shared" si="154"/>
        <v>0</v>
      </c>
    </row>
    <row r="208" spans="1:17" ht="51" x14ac:dyDescent="0.25">
      <c r="A208" s="28" t="s">
        <v>548</v>
      </c>
      <c r="B208" s="2" t="s">
        <v>549</v>
      </c>
      <c r="C208" s="87" t="s">
        <v>550</v>
      </c>
      <c r="D208" s="2" t="s">
        <v>21</v>
      </c>
      <c r="E208" s="2" t="s">
        <v>117</v>
      </c>
      <c r="F208" s="7">
        <v>20</v>
      </c>
      <c r="G208" s="8">
        <v>5.17</v>
      </c>
      <c r="H208" s="8">
        <f t="shared" si="141"/>
        <v>6.5839950000000007</v>
      </c>
      <c r="I208" s="9">
        <f t="shared" si="148"/>
        <v>131.6799</v>
      </c>
      <c r="J208" s="5"/>
      <c r="K208" s="5"/>
      <c r="L208" s="5">
        <f t="shared" si="149"/>
        <v>0</v>
      </c>
      <c r="M208" s="6">
        <f t="shared" si="150"/>
        <v>0</v>
      </c>
      <c r="N208" s="84">
        <f t="shared" si="151"/>
        <v>0</v>
      </c>
      <c r="O208" s="6">
        <f t="shared" si="152"/>
        <v>0</v>
      </c>
      <c r="P208" s="29">
        <f t="shared" si="153"/>
        <v>131.6799</v>
      </c>
      <c r="Q208" s="81">
        <f t="shared" si="154"/>
        <v>0</v>
      </c>
    </row>
    <row r="209" spans="1:17" ht="51" x14ac:dyDescent="0.25">
      <c r="A209" s="28" t="s">
        <v>551</v>
      </c>
      <c r="B209" s="2" t="s">
        <v>552</v>
      </c>
      <c r="C209" s="87" t="s">
        <v>553</v>
      </c>
      <c r="D209" s="2" t="s">
        <v>21</v>
      </c>
      <c r="E209" s="2" t="s">
        <v>117</v>
      </c>
      <c r="F209" s="7">
        <v>4</v>
      </c>
      <c r="G209" s="8">
        <v>9.14</v>
      </c>
      <c r="H209" s="8">
        <f t="shared" si="141"/>
        <v>11.639790000000001</v>
      </c>
      <c r="I209" s="9">
        <f t="shared" si="148"/>
        <v>46.559160000000006</v>
      </c>
      <c r="J209" s="5"/>
      <c r="K209" s="5"/>
      <c r="L209" s="5">
        <f t="shared" si="149"/>
        <v>0</v>
      </c>
      <c r="M209" s="6">
        <f t="shared" si="150"/>
        <v>0</v>
      </c>
      <c r="N209" s="84">
        <f t="shared" si="151"/>
        <v>0</v>
      </c>
      <c r="O209" s="6">
        <f t="shared" si="152"/>
        <v>0</v>
      </c>
      <c r="P209" s="29">
        <f t="shared" si="153"/>
        <v>46.559160000000006</v>
      </c>
      <c r="Q209" s="81">
        <f t="shared" si="154"/>
        <v>0</v>
      </c>
    </row>
    <row r="210" spans="1:17" ht="51" x14ac:dyDescent="0.25">
      <c r="A210" s="28" t="s">
        <v>554</v>
      </c>
      <c r="B210" s="2" t="s">
        <v>555</v>
      </c>
      <c r="C210" s="87" t="s">
        <v>556</v>
      </c>
      <c r="D210" s="2" t="s">
        <v>21</v>
      </c>
      <c r="E210" s="2" t="s">
        <v>117</v>
      </c>
      <c r="F210" s="7">
        <v>17</v>
      </c>
      <c r="G210" s="8">
        <v>13.97</v>
      </c>
      <c r="H210" s="8">
        <f t="shared" si="141"/>
        <v>17.790795000000003</v>
      </c>
      <c r="I210" s="9">
        <f t="shared" si="148"/>
        <v>302.44351500000005</v>
      </c>
      <c r="J210" s="5"/>
      <c r="K210" s="5"/>
      <c r="L210" s="5">
        <f t="shared" si="149"/>
        <v>0</v>
      </c>
      <c r="M210" s="6">
        <f t="shared" si="150"/>
        <v>0</v>
      </c>
      <c r="N210" s="84">
        <f t="shared" si="151"/>
        <v>0</v>
      </c>
      <c r="O210" s="6">
        <f t="shared" si="152"/>
        <v>0</v>
      </c>
      <c r="P210" s="29">
        <f t="shared" si="153"/>
        <v>302.44351500000005</v>
      </c>
      <c r="Q210" s="81">
        <f t="shared" si="154"/>
        <v>0</v>
      </c>
    </row>
    <row r="211" spans="1:17" ht="51" x14ac:dyDescent="0.25">
      <c r="A211" s="28" t="s">
        <v>557</v>
      </c>
      <c r="B211" s="2" t="s">
        <v>558</v>
      </c>
      <c r="C211" s="87" t="s">
        <v>559</v>
      </c>
      <c r="D211" s="2" t="s">
        <v>21</v>
      </c>
      <c r="E211" s="2" t="s">
        <v>117</v>
      </c>
      <c r="F211" s="7">
        <v>11</v>
      </c>
      <c r="G211" s="8">
        <v>11.55</v>
      </c>
      <c r="H211" s="8">
        <f t="shared" si="141"/>
        <v>14.708925000000002</v>
      </c>
      <c r="I211" s="9">
        <f t="shared" si="148"/>
        <v>161.79817500000001</v>
      </c>
      <c r="J211" s="5"/>
      <c r="K211" s="5"/>
      <c r="L211" s="5">
        <f t="shared" si="149"/>
        <v>0</v>
      </c>
      <c r="M211" s="6">
        <f t="shared" si="150"/>
        <v>0</v>
      </c>
      <c r="N211" s="84">
        <f t="shared" si="151"/>
        <v>0</v>
      </c>
      <c r="O211" s="6">
        <f t="shared" si="152"/>
        <v>0</v>
      </c>
      <c r="P211" s="29">
        <f t="shared" si="153"/>
        <v>161.79817500000001</v>
      </c>
      <c r="Q211" s="81">
        <f t="shared" si="154"/>
        <v>0</v>
      </c>
    </row>
    <row r="212" spans="1:17" ht="25.5" x14ac:dyDescent="0.25">
      <c r="A212" s="28" t="s">
        <v>560</v>
      </c>
      <c r="B212" s="2" t="s">
        <v>561</v>
      </c>
      <c r="C212" s="87" t="s">
        <v>562</v>
      </c>
      <c r="D212" s="2" t="s">
        <v>21</v>
      </c>
      <c r="E212" s="2" t="s">
        <v>117</v>
      </c>
      <c r="F212" s="7">
        <v>1</v>
      </c>
      <c r="G212" s="8">
        <v>12.86</v>
      </c>
      <c r="H212" s="8">
        <f t="shared" si="141"/>
        <v>16.377210000000002</v>
      </c>
      <c r="I212" s="9">
        <f t="shared" si="148"/>
        <v>16.377210000000002</v>
      </c>
      <c r="J212" s="5"/>
      <c r="K212" s="5"/>
      <c r="L212" s="5">
        <f t="shared" si="149"/>
        <v>0</v>
      </c>
      <c r="M212" s="6">
        <f t="shared" si="150"/>
        <v>0</v>
      </c>
      <c r="N212" s="84">
        <f t="shared" si="151"/>
        <v>0</v>
      </c>
      <c r="O212" s="6">
        <f t="shared" si="152"/>
        <v>0</v>
      </c>
      <c r="P212" s="29">
        <f t="shared" si="153"/>
        <v>16.377210000000002</v>
      </c>
      <c r="Q212" s="81">
        <f t="shared" si="154"/>
        <v>0</v>
      </c>
    </row>
    <row r="213" spans="1:17" ht="25.5" x14ac:dyDescent="0.25">
      <c r="A213" s="28" t="s">
        <v>563</v>
      </c>
      <c r="B213" s="2" t="s">
        <v>564</v>
      </c>
      <c r="C213" s="87" t="s">
        <v>565</v>
      </c>
      <c r="D213" s="2" t="s">
        <v>21</v>
      </c>
      <c r="E213" s="2" t="s">
        <v>117</v>
      </c>
      <c r="F213" s="7">
        <v>4</v>
      </c>
      <c r="G213" s="8">
        <v>14.75</v>
      </c>
      <c r="H213" s="8">
        <f t="shared" si="141"/>
        <v>18.784125</v>
      </c>
      <c r="I213" s="9">
        <f t="shared" si="148"/>
        <v>75.136499999999998</v>
      </c>
      <c r="J213" s="5"/>
      <c r="K213" s="5"/>
      <c r="L213" s="5">
        <f t="shared" si="149"/>
        <v>0</v>
      </c>
      <c r="M213" s="6">
        <f t="shared" si="150"/>
        <v>0</v>
      </c>
      <c r="N213" s="84">
        <f t="shared" si="151"/>
        <v>0</v>
      </c>
      <c r="O213" s="6">
        <f t="shared" si="152"/>
        <v>0</v>
      </c>
      <c r="P213" s="29">
        <f t="shared" si="153"/>
        <v>75.136499999999998</v>
      </c>
      <c r="Q213" s="81">
        <f t="shared" si="154"/>
        <v>0</v>
      </c>
    </row>
    <row r="214" spans="1:17" x14ac:dyDescent="0.25">
      <c r="A214" s="30"/>
      <c r="B214" s="3"/>
      <c r="C214" s="88"/>
      <c r="D214" s="3"/>
      <c r="E214" s="3"/>
      <c r="F214" s="10"/>
      <c r="G214" s="11"/>
      <c r="H214" s="11"/>
      <c r="I214" s="12">
        <f>SUM(I154:I213)</f>
        <v>30647.858192099982</v>
      </c>
      <c r="J214" s="13"/>
      <c r="K214" s="5"/>
      <c r="L214" s="13"/>
      <c r="M214" s="12">
        <f>SUM(M154:M213)</f>
        <v>0</v>
      </c>
      <c r="N214" s="85">
        <f>SUM(N154:N213)</f>
        <v>0</v>
      </c>
      <c r="O214" s="12">
        <f>SUM(O154:O213)</f>
        <v>0</v>
      </c>
      <c r="P214" s="31">
        <f t="shared" si="153"/>
        <v>30647.858192099982</v>
      </c>
      <c r="Q214" s="81">
        <f t="shared" si="154"/>
        <v>0</v>
      </c>
    </row>
    <row r="215" spans="1:17" ht="20.100000000000001" customHeight="1" x14ac:dyDescent="0.25">
      <c r="A215" s="27" t="s">
        <v>566</v>
      </c>
      <c r="B215" s="101" t="s">
        <v>567</v>
      </c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2"/>
      <c r="Q215" s="81"/>
    </row>
    <row r="216" spans="1:17" ht="25.5" x14ac:dyDescent="0.25">
      <c r="A216" s="28" t="s">
        <v>568</v>
      </c>
      <c r="B216" s="2" t="s">
        <v>569</v>
      </c>
      <c r="C216" s="87" t="s">
        <v>570</v>
      </c>
      <c r="D216" s="2" t="s">
        <v>21</v>
      </c>
      <c r="E216" s="2" t="s">
        <v>69</v>
      </c>
      <c r="F216" s="7">
        <v>2197.91</v>
      </c>
      <c r="G216" s="8">
        <v>2.1800000000000002</v>
      </c>
      <c r="H216" s="8">
        <f t="shared" ref="H216:H224" si="155">G216*$R$9</f>
        <v>2.7762300000000004</v>
      </c>
      <c r="I216" s="9">
        <f t="shared" ref="I216" si="156">F216*H216</f>
        <v>6101.9036793000005</v>
      </c>
      <c r="J216" s="5"/>
      <c r="K216" s="5"/>
      <c r="L216" s="5">
        <f t="shared" ref="L216" si="157">K216+J216</f>
        <v>0</v>
      </c>
      <c r="M216" s="6">
        <f t="shared" ref="M216" si="158">J216*H216</f>
        <v>0</v>
      </c>
      <c r="N216" s="84">
        <f t="shared" ref="N216" si="159">H216*K216</f>
        <v>0</v>
      </c>
      <c r="O216" s="6">
        <f t="shared" ref="O216" si="160">N216+M216</f>
        <v>0</v>
      </c>
      <c r="P216" s="29">
        <f t="shared" ref="P216" si="161">I216-O216</f>
        <v>6101.9036793000005</v>
      </c>
      <c r="Q216" s="81">
        <f t="shared" si="154"/>
        <v>0</v>
      </c>
    </row>
    <row r="217" spans="1:17" ht="25.5" x14ac:dyDescent="0.25">
      <c r="A217" s="28" t="s">
        <v>571</v>
      </c>
      <c r="B217" s="2" t="s">
        <v>572</v>
      </c>
      <c r="C217" s="87" t="s">
        <v>573</v>
      </c>
      <c r="D217" s="2" t="s">
        <v>21</v>
      </c>
      <c r="E217" s="2" t="s">
        <v>69</v>
      </c>
      <c r="F217" s="7">
        <v>653.14</v>
      </c>
      <c r="G217" s="8">
        <v>1.89</v>
      </c>
      <c r="H217" s="8">
        <f t="shared" si="155"/>
        <v>2.4069150000000001</v>
      </c>
      <c r="I217" s="9">
        <f t="shared" ref="I217:I224" si="162">F217*H217</f>
        <v>1572.0524631000001</v>
      </c>
      <c r="J217" s="5"/>
      <c r="K217" s="5"/>
      <c r="L217" s="5">
        <f t="shared" ref="L217:L224" si="163">K217+J217</f>
        <v>0</v>
      </c>
      <c r="M217" s="6">
        <f t="shared" ref="M217:M224" si="164">J217*H217</f>
        <v>0</v>
      </c>
      <c r="N217" s="84">
        <f t="shared" ref="N217:N224" si="165">H217*K217</f>
        <v>0</v>
      </c>
      <c r="O217" s="6">
        <f t="shared" ref="O217:O224" si="166">N217+M217</f>
        <v>0</v>
      </c>
      <c r="P217" s="29">
        <f t="shared" ref="P217:P225" si="167">I217-O217</f>
        <v>1572.0524631000001</v>
      </c>
      <c r="Q217" s="81">
        <f t="shared" si="154"/>
        <v>0</v>
      </c>
    </row>
    <row r="218" spans="1:17" ht="25.5" x14ac:dyDescent="0.25">
      <c r="A218" s="28" t="s">
        <v>574</v>
      </c>
      <c r="B218" s="2" t="s">
        <v>575</v>
      </c>
      <c r="C218" s="87" t="s">
        <v>576</v>
      </c>
      <c r="D218" s="2" t="s">
        <v>21</v>
      </c>
      <c r="E218" s="2" t="s">
        <v>69</v>
      </c>
      <c r="F218" s="7">
        <v>653.14</v>
      </c>
      <c r="G218" s="8">
        <v>13.66</v>
      </c>
      <c r="H218" s="8">
        <f t="shared" si="155"/>
        <v>17.39601</v>
      </c>
      <c r="I218" s="9">
        <f t="shared" si="162"/>
        <v>11362.029971399999</v>
      </c>
      <c r="J218" s="5"/>
      <c r="K218" s="5"/>
      <c r="L218" s="5">
        <f t="shared" si="163"/>
        <v>0</v>
      </c>
      <c r="M218" s="6">
        <f t="shared" si="164"/>
        <v>0</v>
      </c>
      <c r="N218" s="84">
        <f t="shared" si="165"/>
        <v>0</v>
      </c>
      <c r="O218" s="6">
        <f t="shared" si="166"/>
        <v>0</v>
      </c>
      <c r="P218" s="29">
        <f t="shared" si="167"/>
        <v>11362.029971399999</v>
      </c>
      <c r="Q218" s="81">
        <f t="shared" si="154"/>
        <v>0</v>
      </c>
    </row>
    <row r="219" spans="1:17" ht="25.5" x14ac:dyDescent="0.25">
      <c r="A219" s="28" t="s">
        <v>577</v>
      </c>
      <c r="B219" s="2" t="s">
        <v>578</v>
      </c>
      <c r="C219" s="87" t="s">
        <v>579</v>
      </c>
      <c r="D219" s="2" t="s">
        <v>12</v>
      </c>
      <c r="E219" s="2" t="s">
        <v>13</v>
      </c>
      <c r="F219" s="7">
        <v>1933.7</v>
      </c>
      <c r="G219" s="8">
        <v>13.49</v>
      </c>
      <c r="H219" s="8">
        <f t="shared" si="155"/>
        <v>17.179515000000002</v>
      </c>
      <c r="I219" s="9">
        <f t="shared" si="162"/>
        <v>33220.028155500004</v>
      </c>
      <c r="J219" s="5"/>
      <c r="K219" s="5"/>
      <c r="L219" s="5">
        <f t="shared" si="163"/>
        <v>0</v>
      </c>
      <c r="M219" s="6">
        <f t="shared" si="164"/>
        <v>0</v>
      </c>
      <c r="N219" s="84">
        <f t="shared" si="165"/>
        <v>0</v>
      </c>
      <c r="O219" s="6">
        <f t="shared" si="166"/>
        <v>0</v>
      </c>
      <c r="P219" s="29">
        <f t="shared" si="167"/>
        <v>33220.028155500004</v>
      </c>
      <c r="Q219" s="81">
        <f t="shared" si="154"/>
        <v>0</v>
      </c>
    </row>
    <row r="220" spans="1:17" ht="25.5" x14ac:dyDescent="0.25">
      <c r="A220" s="28" t="s">
        <v>580</v>
      </c>
      <c r="B220" s="2" t="s">
        <v>581</v>
      </c>
      <c r="C220" s="87" t="s">
        <v>582</v>
      </c>
      <c r="D220" s="2" t="s">
        <v>21</v>
      </c>
      <c r="E220" s="2" t="s">
        <v>69</v>
      </c>
      <c r="F220" s="7">
        <v>2197.91</v>
      </c>
      <c r="G220" s="8">
        <v>9.89</v>
      </c>
      <c r="H220" s="8">
        <f t="shared" si="155"/>
        <v>12.594915000000002</v>
      </c>
      <c r="I220" s="9">
        <f t="shared" si="162"/>
        <v>27682.489627650004</v>
      </c>
      <c r="J220" s="5"/>
      <c r="K220" s="5"/>
      <c r="L220" s="5">
        <f t="shared" si="163"/>
        <v>0</v>
      </c>
      <c r="M220" s="6">
        <f t="shared" si="164"/>
        <v>0</v>
      </c>
      <c r="N220" s="84">
        <f t="shared" si="165"/>
        <v>0</v>
      </c>
      <c r="O220" s="6">
        <f t="shared" si="166"/>
        <v>0</v>
      </c>
      <c r="P220" s="29">
        <f t="shared" si="167"/>
        <v>27682.489627650004</v>
      </c>
      <c r="Q220" s="81">
        <f t="shared" si="154"/>
        <v>0</v>
      </c>
    </row>
    <row r="221" spans="1:17" ht="25.5" x14ac:dyDescent="0.25">
      <c r="A221" s="28" t="s">
        <v>583</v>
      </c>
      <c r="B221" s="2" t="s">
        <v>584</v>
      </c>
      <c r="C221" s="87" t="s">
        <v>585</v>
      </c>
      <c r="D221" s="2" t="s">
        <v>21</v>
      </c>
      <c r="E221" s="2" t="s">
        <v>69</v>
      </c>
      <c r="F221" s="7">
        <v>653.14</v>
      </c>
      <c r="G221" s="8">
        <v>11.23</v>
      </c>
      <c r="H221" s="8">
        <f t="shared" si="155"/>
        <v>14.301405000000001</v>
      </c>
      <c r="I221" s="9">
        <f t="shared" si="162"/>
        <v>9340.8196617000012</v>
      </c>
      <c r="J221" s="5"/>
      <c r="K221" s="5"/>
      <c r="L221" s="5">
        <f t="shared" si="163"/>
        <v>0</v>
      </c>
      <c r="M221" s="6">
        <f t="shared" si="164"/>
        <v>0</v>
      </c>
      <c r="N221" s="84">
        <f t="shared" si="165"/>
        <v>0</v>
      </c>
      <c r="O221" s="6">
        <f t="shared" si="166"/>
        <v>0</v>
      </c>
      <c r="P221" s="29">
        <f t="shared" si="167"/>
        <v>9340.8196617000012</v>
      </c>
      <c r="Q221" s="81">
        <f t="shared" si="154"/>
        <v>0</v>
      </c>
    </row>
    <row r="222" spans="1:17" ht="38.25" x14ac:dyDescent="0.25">
      <c r="A222" s="28" t="s">
        <v>586</v>
      </c>
      <c r="B222" s="2" t="s">
        <v>587</v>
      </c>
      <c r="C222" s="87" t="s">
        <v>588</v>
      </c>
      <c r="D222" s="2" t="s">
        <v>21</v>
      </c>
      <c r="E222" s="2" t="s">
        <v>69</v>
      </c>
      <c r="F222" s="7">
        <v>69.72</v>
      </c>
      <c r="G222" s="8">
        <v>9.9700000000000006</v>
      </c>
      <c r="H222" s="8">
        <f t="shared" si="155"/>
        <v>12.696795000000002</v>
      </c>
      <c r="I222" s="9">
        <f t="shared" si="162"/>
        <v>885.2205474000001</v>
      </c>
      <c r="J222" s="5"/>
      <c r="K222" s="5"/>
      <c r="L222" s="5">
        <f t="shared" si="163"/>
        <v>0</v>
      </c>
      <c r="M222" s="6">
        <f t="shared" si="164"/>
        <v>0</v>
      </c>
      <c r="N222" s="84">
        <f t="shared" si="165"/>
        <v>0</v>
      </c>
      <c r="O222" s="6">
        <f t="shared" si="166"/>
        <v>0</v>
      </c>
      <c r="P222" s="29">
        <f t="shared" si="167"/>
        <v>885.2205474000001</v>
      </c>
      <c r="Q222" s="81">
        <f t="shared" si="154"/>
        <v>0</v>
      </c>
    </row>
    <row r="223" spans="1:17" ht="63.75" x14ac:dyDescent="0.25">
      <c r="A223" s="28" t="s">
        <v>589</v>
      </c>
      <c r="B223" s="2" t="s">
        <v>590</v>
      </c>
      <c r="C223" s="87" t="s">
        <v>591</v>
      </c>
      <c r="D223" s="2" t="s">
        <v>21</v>
      </c>
      <c r="E223" s="2" t="s">
        <v>69</v>
      </c>
      <c r="F223" s="7">
        <v>64.91</v>
      </c>
      <c r="G223" s="8">
        <v>8.27</v>
      </c>
      <c r="H223" s="8">
        <f t="shared" si="155"/>
        <v>10.531845000000001</v>
      </c>
      <c r="I223" s="9">
        <f t="shared" si="162"/>
        <v>683.62205895</v>
      </c>
      <c r="J223" s="5"/>
      <c r="K223" s="5"/>
      <c r="L223" s="5">
        <f t="shared" si="163"/>
        <v>0</v>
      </c>
      <c r="M223" s="6">
        <f t="shared" si="164"/>
        <v>0</v>
      </c>
      <c r="N223" s="84">
        <f t="shared" si="165"/>
        <v>0</v>
      </c>
      <c r="O223" s="6">
        <f t="shared" si="166"/>
        <v>0</v>
      </c>
      <c r="P223" s="29">
        <f t="shared" si="167"/>
        <v>683.62205895</v>
      </c>
      <c r="Q223" s="81">
        <f t="shared" si="154"/>
        <v>0</v>
      </c>
    </row>
    <row r="224" spans="1:17" ht="51" x14ac:dyDescent="0.25">
      <c r="A224" s="28" t="s">
        <v>592</v>
      </c>
      <c r="B224" s="2" t="s">
        <v>593</v>
      </c>
      <c r="C224" s="87" t="s">
        <v>594</v>
      </c>
      <c r="D224" s="2" t="s">
        <v>21</v>
      </c>
      <c r="E224" s="2" t="s">
        <v>69</v>
      </c>
      <c r="F224" s="7">
        <v>64.91</v>
      </c>
      <c r="G224" s="8">
        <v>6.5</v>
      </c>
      <c r="H224" s="8">
        <f t="shared" si="155"/>
        <v>8.2777500000000011</v>
      </c>
      <c r="I224" s="9">
        <f t="shared" si="162"/>
        <v>537.30875250000008</v>
      </c>
      <c r="J224" s="5"/>
      <c r="K224" s="5"/>
      <c r="L224" s="5">
        <f t="shared" si="163"/>
        <v>0</v>
      </c>
      <c r="M224" s="6">
        <f t="shared" si="164"/>
        <v>0</v>
      </c>
      <c r="N224" s="84">
        <f t="shared" si="165"/>
        <v>0</v>
      </c>
      <c r="O224" s="6">
        <f t="shared" si="166"/>
        <v>0</v>
      </c>
      <c r="P224" s="29">
        <f t="shared" si="167"/>
        <v>537.30875250000008</v>
      </c>
      <c r="Q224" s="81">
        <f t="shared" si="154"/>
        <v>0</v>
      </c>
    </row>
    <row r="225" spans="1:17" x14ac:dyDescent="0.25">
      <c r="A225" s="30"/>
      <c r="B225" s="3"/>
      <c r="C225" s="88"/>
      <c r="D225" s="3"/>
      <c r="E225" s="3"/>
      <c r="F225" s="10"/>
      <c r="G225" s="11"/>
      <c r="H225" s="11"/>
      <c r="I225" s="12">
        <f>SUM(I216:I224)</f>
        <v>91385.474917500003</v>
      </c>
      <c r="J225" s="13"/>
      <c r="K225" s="13"/>
      <c r="L225" s="13"/>
      <c r="M225" s="12">
        <f>SUM(M216:M224)</f>
        <v>0</v>
      </c>
      <c r="N225" s="12">
        <f>SUM(N216:N224)</f>
        <v>0</v>
      </c>
      <c r="O225" s="12">
        <f>SUM(O216:O224)</f>
        <v>0</v>
      </c>
      <c r="P225" s="31">
        <f t="shared" si="167"/>
        <v>91385.474917500003</v>
      </c>
      <c r="Q225" s="81">
        <f t="shared" si="154"/>
        <v>0</v>
      </c>
    </row>
    <row r="226" spans="1:17" ht="20.100000000000001" customHeight="1" x14ac:dyDescent="0.25">
      <c r="A226" s="27" t="s">
        <v>595</v>
      </c>
      <c r="B226" s="101" t="s">
        <v>596</v>
      </c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2"/>
      <c r="Q226" s="81"/>
    </row>
    <row r="227" spans="1:17" x14ac:dyDescent="0.25">
      <c r="A227" s="28" t="s">
        <v>597</v>
      </c>
      <c r="B227" s="2" t="s">
        <v>598</v>
      </c>
      <c r="C227" s="87" t="s">
        <v>599</v>
      </c>
      <c r="D227" s="2" t="s">
        <v>12</v>
      </c>
      <c r="E227" s="2" t="s">
        <v>13</v>
      </c>
      <c r="F227" s="7">
        <v>1046.48</v>
      </c>
      <c r="G227" s="8">
        <v>1.86</v>
      </c>
      <c r="H227" s="8">
        <f t="shared" ref="H227:H228" si="168">G227*$R$9</f>
        <v>2.3687100000000001</v>
      </c>
      <c r="I227" s="9">
        <f t="shared" ref="I227:I228" si="169">F227*H227</f>
        <v>2478.8076408000002</v>
      </c>
      <c r="J227" s="5"/>
      <c r="K227" s="5"/>
      <c r="L227" s="5">
        <f t="shared" ref="L227:L228" si="170">K227+J227</f>
        <v>0</v>
      </c>
      <c r="M227" s="6">
        <f t="shared" ref="M227:M228" si="171">J227*H227</f>
        <v>0</v>
      </c>
      <c r="N227" s="84">
        <f t="shared" ref="N227:N228" si="172">H227*K227</f>
        <v>0</v>
      </c>
      <c r="O227" s="6">
        <f t="shared" ref="O227:O228" si="173">N227+M227</f>
        <v>0</v>
      </c>
      <c r="P227" s="29">
        <f t="shared" ref="P227:P229" si="174">I227-O227</f>
        <v>2478.8076408000002</v>
      </c>
      <c r="Q227" s="81">
        <f t="shared" si="154"/>
        <v>0</v>
      </c>
    </row>
    <row r="228" spans="1:17" x14ac:dyDescent="0.25">
      <c r="A228" s="28" t="s">
        <v>600</v>
      </c>
      <c r="B228" s="2" t="s">
        <v>601</v>
      </c>
      <c r="C228" s="87" t="s">
        <v>602</v>
      </c>
      <c r="D228" s="2" t="s">
        <v>12</v>
      </c>
      <c r="E228" s="2" t="s">
        <v>133</v>
      </c>
      <c r="F228" s="7">
        <v>7</v>
      </c>
      <c r="G228" s="8">
        <v>466.47</v>
      </c>
      <c r="H228" s="8">
        <f t="shared" si="168"/>
        <v>594.04954500000008</v>
      </c>
      <c r="I228" s="9">
        <f t="shared" si="169"/>
        <v>4158.3468150000008</v>
      </c>
      <c r="J228" s="5"/>
      <c r="K228" s="5"/>
      <c r="L228" s="5">
        <f t="shared" si="170"/>
        <v>0</v>
      </c>
      <c r="M228" s="6">
        <f t="shared" si="171"/>
        <v>0</v>
      </c>
      <c r="N228" s="84">
        <f t="shared" si="172"/>
        <v>0</v>
      </c>
      <c r="O228" s="6">
        <f t="shared" si="173"/>
        <v>0</v>
      </c>
      <c r="P228" s="29">
        <f t="shared" si="174"/>
        <v>4158.3468150000008</v>
      </c>
      <c r="Q228" s="81">
        <f t="shared" si="154"/>
        <v>0</v>
      </c>
    </row>
    <row r="229" spans="1:17" x14ac:dyDescent="0.25">
      <c r="A229" s="30"/>
      <c r="B229" s="3"/>
      <c r="C229" s="88"/>
      <c r="D229" s="3"/>
      <c r="E229" s="3"/>
      <c r="F229" s="10"/>
      <c r="G229" s="11"/>
      <c r="H229" s="11"/>
      <c r="I229" s="12">
        <f>SUM(I227:I228)</f>
        <v>6637.1544558000005</v>
      </c>
      <c r="J229" s="13"/>
      <c r="K229" s="13"/>
      <c r="L229" s="13"/>
      <c r="M229" s="12">
        <f>SUM(M227:M228)</f>
        <v>0</v>
      </c>
      <c r="N229" s="12">
        <f>SUM(N227:N228)</f>
        <v>0</v>
      </c>
      <c r="O229" s="12">
        <f>SUM(O227:O228)</f>
        <v>0</v>
      </c>
      <c r="P229" s="31">
        <f t="shared" si="174"/>
        <v>6637.1544558000005</v>
      </c>
      <c r="Q229" s="81">
        <f t="shared" si="154"/>
        <v>0</v>
      </c>
    </row>
    <row r="230" spans="1:17" ht="15" customHeight="1" x14ac:dyDescent="0.25">
      <c r="A230" s="126" t="s">
        <v>612</v>
      </c>
      <c r="B230" s="127"/>
      <c r="C230" s="127"/>
      <c r="D230" s="127"/>
      <c r="E230" s="127"/>
      <c r="F230" s="127"/>
      <c r="G230" s="127"/>
      <c r="H230" s="127"/>
      <c r="I230" s="127"/>
      <c r="J230" s="92">
        <f>I229+I225+I214+I152+I103+I96+I92+I76+I69+I59+I47+I33+I28+I18+I13</f>
        <v>1292576.3966884499</v>
      </c>
      <c r="K230" s="92"/>
      <c r="L230" s="92"/>
      <c r="M230" s="94">
        <f>M229+M225+M214+M152+M103+M96+M92+M76+M69+M59+M47+M33+M28+M18+M13</f>
        <v>151712.45213333401</v>
      </c>
      <c r="N230" s="94">
        <f>N229+N225+N214+N152+N103+N96+N92+N76+N69+N59+N47+N33+N28+N18+N13</f>
        <v>98750.309154004819</v>
      </c>
      <c r="O230" s="94">
        <f>O229+O225+O214+O152+O103+O96+O92+O76+O69+O59+O47+O33+O28+O18+O13</f>
        <v>250462.76128733883</v>
      </c>
      <c r="P230" s="96">
        <f>P229+P225+P214+P152+P103+P96+P92+P76+P69+P59+P47+P33+P28+P18+P13</f>
        <v>1042113.6354011111</v>
      </c>
      <c r="Q230" s="116">
        <f>O230/J230</f>
        <v>0.1937701801835609</v>
      </c>
    </row>
    <row r="231" spans="1:17" ht="15" customHeight="1" x14ac:dyDescent="0.25">
      <c r="A231" s="126"/>
      <c r="B231" s="127"/>
      <c r="C231" s="127"/>
      <c r="D231" s="127"/>
      <c r="E231" s="127"/>
      <c r="F231" s="127"/>
      <c r="G231" s="127"/>
      <c r="H231" s="127"/>
      <c r="I231" s="127"/>
      <c r="J231" s="92"/>
      <c r="K231" s="92"/>
      <c r="L231" s="92"/>
      <c r="M231" s="94"/>
      <c r="N231" s="94"/>
      <c r="O231" s="94"/>
      <c r="P231" s="96"/>
      <c r="Q231" s="116"/>
    </row>
    <row r="232" spans="1:17" ht="15" customHeight="1" thickBot="1" x14ac:dyDescent="0.3">
      <c r="A232" s="128"/>
      <c r="B232" s="129"/>
      <c r="C232" s="129"/>
      <c r="D232" s="129"/>
      <c r="E232" s="129"/>
      <c r="F232" s="129"/>
      <c r="G232" s="129"/>
      <c r="H232" s="129"/>
      <c r="I232" s="129"/>
      <c r="J232" s="93"/>
      <c r="K232" s="93"/>
      <c r="L232" s="93"/>
      <c r="M232" s="95"/>
      <c r="N232" s="95"/>
      <c r="O232" s="95"/>
      <c r="P232" s="97"/>
      <c r="Q232" s="117"/>
    </row>
    <row r="237" spans="1:17" ht="21" x14ac:dyDescent="0.35">
      <c r="B237" s="200" t="s">
        <v>688</v>
      </c>
      <c r="C237" s="201"/>
      <c r="D237" s="204"/>
      <c r="E237" s="204"/>
      <c r="F237" s="204"/>
      <c r="G237" s="204"/>
      <c r="H237" s="204"/>
      <c r="I237" s="204"/>
      <c r="J237" s="204"/>
    </row>
    <row r="238" spans="1:17" ht="21" x14ac:dyDescent="0.35">
      <c r="B238" s="202" t="s">
        <v>694</v>
      </c>
      <c r="C238" s="203"/>
      <c r="D238" s="204"/>
      <c r="E238" s="204"/>
      <c r="F238" s="204"/>
      <c r="G238" s="204"/>
      <c r="H238" s="204"/>
      <c r="I238" s="204"/>
      <c r="J238" s="204"/>
    </row>
    <row r="239" spans="1:17" ht="21" x14ac:dyDescent="0.35">
      <c r="B239" s="202" t="s">
        <v>695</v>
      </c>
      <c r="C239" s="203"/>
      <c r="D239" s="204"/>
      <c r="E239" s="204"/>
      <c r="F239" s="204"/>
      <c r="G239" s="204"/>
      <c r="H239" s="204"/>
      <c r="I239" s="204"/>
      <c r="J239" s="204"/>
    </row>
    <row r="240" spans="1:17" ht="21" x14ac:dyDescent="0.35">
      <c r="B240" s="203"/>
      <c r="C240" s="203"/>
      <c r="D240" s="204"/>
      <c r="E240" s="204"/>
      <c r="F240" s="204"/>
      <c r="G240" s="204"/>
      <c r="H240" s="204"/>
      <c r="I240" s="204"/>
      <c r="J240" s="204"/>
    </row>
    <row r="241" spans="2:10" ht="21" x14ac:dyDescent="0.35">
      <c r="B241" s="205" t="s">
        <v>696</v>
      </c>
      <c r="C241" s="203"/>
      <c r="D241" s="204"/>
      <c r="E241" s="204"/>
      <c r="F241" s="204"/>
      <c r="G241" s="204"/>
      <c r="H241" s="204"/>
      <c r="I241" s="204"/>
      <c r="J241" s="204"/>
    </row>
    <row r="242" spans="2:10" ht="21" x14ac:dyDescent="0.35">
      <c r="B242" s="205" t="s">
        <v>689</v>
      </c>
      <c r="C242" s="203"/>
      <c r="D242" s="204"/>
      <c r="E242" s="204"/>
      <c r="F242" s="204"/>
      <c r="G242" s="204"/>
      <c r="H242" s="204"/>
      <c r="I242" s="204"/>
      <c r="J242" s="204"/>
    </row>
    <row r="243" spans="2:10" ht="21" x14ac:dyDescent="0.35">
      <c r="B243" s="205" t="s">
        <v>690</v>
      </c>
      <c r="C243" s="203"/>
      <c r="D243" s="204"/>
      <c r="E243" s="204"/>
      <c r="F243" s="204"/>
      <c r="G243" s="204"/>
      <c r="H243" s="204"/>
      <c r="I243" s="204"/>
      <c r="J243" s="204"/>
    </row>
    <row r="244" spans="2:10" ht="21" x14ac:dyDescent="0.35">
      <c r="B244" s="206" t="s">
        <v>691</v>
      </c>
      <c r="C244" s="203"/>
      <c r="D244" s="204"/>
      <c r="E244" s="204"/>
      <c r="F244" s="204"/>
      <c r="G244" s="204"/>
      <c r="H244" s="204"/>
      <c r="I244" s="204"/>
      <c r="J244" s="204"/>
    </row>
    <row r="245" spans="2:10" x14ac:dyDescent="0.25">
      <c r="B245" s="207"/>
      <c r="C245" s="208"/>
      <c r="D245" s="207"/>
      <c r="E245" s="207"/>
      <c r="F245" s="207"/>
      <c r="G245" s="207"/>
      <c r="H245" s="207"/>
      <c r="I245" s="207"/>
      <c r="J245" s="207"/>
    </row>
    <row r="250" spans="2:10" x14ac:dyDescent="0.25">
      <c r="C250" s="71" t="s">
        <v>692</v>
      </c>
    </row>
    <row r="253" spans="2:10" x14ac:dyDescent="0.25">
      <c r="C253" s="71" t="s">
        <v>693</v>
      </c>
    </row>
  </sheetData>
  <mergeCells count="38">
    <mergeCell ref="Q230:Q232"/>
    <mergeCell ref="A1:B3"/>
    <mergeCell ref="D1:M2"/>
    <mergeCell ref="M230:M232"/>
    <mergeCell ref="A230:I232"/>
    <mergeCell ref="B70:P70"/>
    <mergeCell ref="B77:P77"/>
    <mergeCell ref="B93:P93"/>
    <mergeCell ref="B97:P97"/>
    <mergeCell ref="B104:P104"/>
    <mergeCell ref="B34:P34"/>
    <mergeCell ref="B45:P45"/>
    <mergeCell ref="B153:P153"/>
    <mergeCell ref="B215:P215"/>
    <mergeCell ref="B226:P226"/>
    <mergeCell ref="B48:P48"/>
    <mergeCell ref="B60:P60"/>
    <mergeCell ref="N1:P2"/>
    <mergeCell ref="N3:P3"/>
    <mergeCell ref="N4:P5"/>
    <mergeCell ref="J6:L6"/>
    <mergeCell ref="M6:P6"/>
    <mergeCell ref="J230:L232"/>
    <mergeCell ref="N230:N232"/>
    <mergeCell ref="O230:O232"/>
    <mergeCell ref="P230:P232"/>
    <mergeCell ref="D3:M3"/>
    <mergeCell ref="A4:M5"/>
    <mergeCell ref="B8:P8"/>
    <mergeCell ref="B14:P14"/>
    <mergeCell ref="A6:A7"/>
    <mergeCell ref="B6:B7"/>
    <mergeCell ref="C6:C7"/>
    <mergeCell ref="D6:D7"/>
    <mergeCell ref="E6:E7"/>
    <mergeCell ref="F6:I6"/>
    <mergeCell ref="B19:P19"/>
    <mergeCell ref="B29:P29"/>
  </mergeCells>
  <conditionalFormatting sqref="K1:K6 K8:K12 K70:K75 K77:K91 K93:K95 K97:K102 K104:K224 K226:K228 K230:K1048576 K14:K17 K19:K27 K29:K32 K34:K46 K48:K58 K60:K68">
    <cfRule type="cellIs" dxfId="3" priority="3" operator="greaterThan">
      <formula>0</formula>
    </cfRule>
  </conditionalFormatting>
  <conditionalFormatting sqref="Q9:Q232">
    <cfRule type="cellIs" dxfId="2" priority="2" operator="greaterThan">
      <formula>1</formula>
    </cfRule>
    <cfRule type="cellIs" dxfId="1" priority="1" operator="greaterThan">
      <formula>1</formula>
    </cfRule>
  </conditionalFormatting>
  <pageMargins left="0.7" right="0.7" top="0.75" bottom="0.75" header="0.3" footer="0.3"/>
  <pageSetup paperSize="9" scale="44" fitToHeight="0" orientation="landscape" r:id="rId1"/>
  <rowBreaks count="8" manualBreakCount="8">
    <brk id="33" max="16" man="1"/>
    <brk id="59" max="16" man="1"/>
    <brk id="80" max="16" man="1"/>
    <brk id="110" max="16" man="1"/>
    <brk id="133" max="16" man="1"/>
    <brk id="162" max="16" man="1"/>
    <brk id="188" max="16" man="1"/>
    <brk id="21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B25A-BBDA-4791-BAE8-DAA04CFFFC1E}">
  <sheetPr>
    <pageSetUpPr fitToPage="1"/>
  </sheetPr>
  <dimension ref="A1:Q5"/>
  <sheetViews>
    <sheetView view="pageBreakPreview" zoomScale="96" zoomScaleNormal="100" zoomScaleSheetLayoutView="96" workbookViewId="0">
      <selection activeCell="N70" sqref="N70"/>
    </sheetView>
  </sheetViews>
  <sheetFormatPr defaultRowHeight="15" x14ac:dyDescent="0.25"/>
  <cols>
    <col min="3" max="3" width="35.42578125" customWidth="1"/>
  </cols>
  <sheetData>
    <row r="1" spans="1:17" ht="15" customHeight="1" x14ac:dyDescent="0.25">
      <c r="A1" s="118"/>
      <c r="B1" s="119"/>
      <c r="C1" s="91" t="s">
        <v>684</v>
      </c>
      <c r="D1" s="124" t="s">
        <v>687</v>
      </c>
      <c r="E1" s="124"/>
      <c r="F1" s="124"/>
      <c r="G1" s="124"/>
      <c r="H1" s="124"/>
      <c r="I1" s="124"/>
      <c r="J1" s="124"/>
      <c r="K1" s="124"/>
      <c r="L1" s="124"/>
      <c r="M1" s="124"/>
      <c r="N1" s="107" t="s">
        <v>681</v>
      </c>
      <c r="O1" s="107"/>
      <c r="P1" s="108"/>
      <c r="Q1" s="60"/>
    </row>
    <row r="2" spans="1:17" ht="15" customHeight="1" x14ac:dyDescent="0.25">
      <c r="A2" s="120"/>
      <c r="B2" s="121"/>
      <c r="C2" s="91" t="s">
        <v>685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09"/>
      <c r="O2" s="109"/>
      <c r="P2" s="110"/>
      <c r="Q2" s="60"/>
    </row>
    <row r="3" spans="1:17" ht="27" customHeight="1" x14ac:dyDescent="0.25">
      <c r="A3" s="122"/>
      <c r="B3" s="123"/>
      <c r="C3" s="90" t="s">
        <v>686</v>
      </c>
      <c r="D3" s="98" t="s">
        <v>613</v>
      </c>
      <c r="E3" s="98"/>
      <c r="F3" s="98"/>
      <c r="G3" s="98"/>
      <c r="H3" s="98"/>
      <c r="I3" s="98"/>
      <c r="J3" s="98"/>
      <c r="K3" s="98"/>
      <c r="L3" s="98"/>
      <c r="M3" s="98"/>
      <c r="N3" s="111" t="s">
        <v>624</v>
      </c>
      <c r="O3" s="111"/>
      <c r="P3" s="112"/>
      <c r="Q3" s="61"/>
    </row>
    <row r="4" spans="1:17" ht="10.5" customHeight="1" x14ac:dyDescent="0.25">
      <c r="A4" s="99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13"/>
      <c r="O4" s="113"/>
      <c r="P4" s="114"/>
      <c r="Q4" s="77"/>
    </row>
    <row r="5" spans="1:17" ht="10.5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13"/>
      <c r="O5" s="113"/>
      <c r="P5" s="114"/>
      <c r="Q5" s="77"/>
    </row>
  </sheetData>
  <mergeCells count="7">
    <mergeCell ref="A1:B3"/>
    <mergeCell ref="D1:M2"/>
    <mergeCell ref="N1:P2"/>
    <mergeCell ref="D3:M3"/>
    <mergeCell ref="N3:P3"/>
    <mergeCell ref="A4:M5"/>
    <mergeCell ref="N4:P5"/>
  </mergeCells>
  <conditionalFormatting sqref="K1:K5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53" fitToHeight="0" orientation="portrait" horizontalDpi="300" verticalDpi="300" r:id="rId1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P224"/>
  <sheetViews>
    <sheetView view="pageBreakPreview" topLeftCell="A39" zoomScale="82" zoomScaleNormal="100" zoomScaleSheetLayoutView="82" workbookViewId="0">
      <selection activeCell="E36" sqref="E36"/>
    </sheetView>
  </sheetViews>
  <sheetFormatPr defaultRowHeight="15" x14ac:dyDescent="0.25"/>
  <cols>
    <col min="2" max="2" width="46.7109375" style="71" customWidth="1"/>
    <col min="3" max="3" width="15.42578125" customWidth="1"/>
    <col min="4" max="4" width="124.28515625" style="71" customWidth="1"/>
    <col min="5" max="5" width="12.42578125" bestFit="1" customWidth="1"/>
  </cols>
  <sheetData>
    <row r="1" spans="1:16" ht="15" customHeight="1" x14ac:dyDescent="0.25">
      <c r="A1" s="155" t="s">
        <v>611</v>
      </c>
      <c r="B1" s="155"/>
      <c r="C1" s="142" t="s">
        <v>674</v>
      </c>
      <c r="D1" s="143"/>
      <c r="E1" s="144"/>
      <c r="F1" s="58"/>
      <c r="G1" s="58"/>
      <c r="H1" s="58"/>
      <c r="I1" s="58"/>
      <c r="J1" s="58"/>
      <c r="K1" s="58"/>
      <c r="L1" s="58"/>
      <c r="M1" s="58"/>
      <c r="N1" s="158"/>
      <c r="O1" s="158"/>
      <c r="P1" s="158"/>
    </row>
    <row r="2" spans="1:16" ht="15" hidden="1" customHeight="1" x14ac:dyDescent="0.25">
      <c r="A2" s="156"/>
      <c r="B2" s="156"/>
      <c r="C2" s="145"/>
      <c r="D2" s="146"/>
      <c r="E2" s="147"/>
      <c r="F2" s="58"/>
      <c r="G2" s="58"/>
      <c r="H2" s="58"/>
      <c r="I2" s="58"/>
      <c r="J2" s="58"/>
      <c r="K2" s="58"/>
      <c r="L2" s="58"/>
      <c r="M2" s="58"/>
      <c r="N2" s="158"/>
      <c r="O2" s="158"/>
      <c r="P2" s="158"/>
    </row>
    <row r="3" spans="1:16" ht="15" hidden="1" customHeight="1" x14ac:dyDescent="0.25">
      <c r="A3" s="156"/>
      <c r="B3" s="156"/>
      <c r="C3" s="148"/>
      <c r="D3" s="149"/>
      <c r="E3" s="150"/>
      <c r="F3" s="58"/>
      <c r="G3" s="58"/>
      <c r="H3" s="58"/>
      <c r="I3" s="58"/>
      <c r="J3" s="58"/>
      <c r="K3" s="58"/>
      <c r="L3" s="58"/>
      <c r="M3" s="58"/>
      <c r="N3" s="60"/>
      <c r="O3" s="60"/>
      <c r="P3" s="60"/>
    </row>
    <row r="4" spans="1:16" ht="15" hidden="1" customHeight="1" x14ac:dyDescent="0.25">
      <c r="A4" s="156"/>
      <c r="B4" s="156"/>
      <c r="C4" s="151" t="s">
        <v>613</v>
      </c>
      <c r="D4" s="151"/>
      <c r="E4" s="152"/>
      <c r="F4" s="59"/>
      <c r="G4" s="59"/>
      <c r="H4" s="59"/>
      <c r="I4" s="59"/>
      <c r="J4" s="59"/>
      <c r="K4" s="59"/>
      <c r="L4" s="59"/>
      <c r="M4" s="59"/>
      <c r="N4" s="159"/>
      <c r="O4" s="159"/>
      <c r="P4" s="159"/>
    </row>
    <row r="5" spans="1:16" ht="15" hidden="1" customHeight="1" x14ac:dyDescent="0.25">
      <c r="A5" s="157"/>
      <c r="B5" s="157"/>
      <c r="C5" s="153"/>
      <c r="D5" s="153"/>
      <c r="E5" s="154"/>
      <c r="F5" s="59"/>
      <c r="G5" s="59"/>
      <c r="H5" s="59"/>
      <c r="I5" s="59"/>
      <c r="J5" s="59"/>
      <c r="K5" s="59"/>
      <c r="L5" s="59"/>
      <c r="M5" s="59"/>
      <c r="N5" s="61"/>
      <c r="O5" s="61"/>
      <c r="P5" s="61"/>
    </row>
    <row r="6" spans="1:16" ht="26.25" hidden="1" x14ac:dyDescent="0.25">
      <c r="A6" s="134" t="s">
        <v>673</v>
      </c>
      <c r="B6" s="135"/>
      <c r="C6" s="135"/>
      <c r="D6" s="135"/>
      <c r="E6" s="136"/>
    </row>
    <row r="7" spans="1:16" hidden="1" x14ac:dyDescent="0.25">
      <c r="A7" s="131"/>
      <c r="B7" s="132"/>
      <c r="C7" s="132"/>
      <c r="D7" s="132"/>
      <c r="E7" s="133"/>
    </row>
    <row r="8" spans="1:16" x14ac:dyDescent="0.25">
      <c r="A8" s="16" t="s">
        <v>0</v>
      </c>
      <c r="B8" s="65" t="s">
        <v>614</v>
      </c>
      <c r="C8" s="17" t="s">
        <v>615</v>
      </c>
      <c r="D8" s="72" t="s">
        <v>616</v>
      </c>
      <c r="E8" s="18" t="s">
        <v>617</v>
      </c>
    </row>
    <row r="9" spans="1:16" hidden="1" x14ac:dyDescent="0.25">
      <c r="A9" s="131"/>
      <c r="B9" s="132"/>
      <c r="C9" s="132"/>
      <c r="D9" s="132"/>
      <c r="E9" s="133"/>
    </row>
    <row r="10" spans="1:16" hidden="1" x14ac:dyDescent="0.25">
      <c r="A10" s="14">
        <f>'[1]1 MEDIÇÃO'!A9</f>
        <v>1</v>
      </c>
      <c r="B10" s="137" t="str">
        <f>'MEDIÇÃO 02'!B8:P8</f>
        <v>SERVIÇOS PRELIMINARES</v>
      </c>
      <c r="C10" s="138"/>
      <c r="D10" s="138"/>
      <c r="E10" s="138"/>
    </row>
    <row r="11" spans="1:16" hidden="1" x14ac:dyDescent="0.25">
      <c r="A11" s="15" t="str">
        <f>'[1]1 MEDIÇÃO'!A10</f>
        <v xml:space="preserve"> 1.1 </v>
      </c>
      <c r="B11" s="66" t="str">
        <f>'MEDIÇÃO 02'!C9</f>
        <v>Placa de obra em chapa aço galvanizado, instalada</v>
      </c>
      <c r="C11" s="5" t="str">
        <f>'MEDIÇÃO 02'!E9</f>
        <v>m2</v>
      </c>
      <c r="D11" s="68"/>
      <c r="E11" s="19"/>
    </row>
    <row r="12" spans="1:16" ht="30" x14ac:dyDescent="0.25">
      <c r="A12" s="15" t="str">
        <f>'[1]1 MEDIÇÃO'!A11</f>
        <v xml:space="preserve"> 1.2 </v>
      </c>
      <c r="B12" s="66" t="str">
        <f>'MEDIÇÃO 02'!C10</f>
        <v>Barracão para escritório de obra porte pequeno s=25,41m2 com materiais novos</v>
      </c>
      <c r="C12" s="5" t="str">
        <f>'MEDIÇÃO 02'!E10</f>
        <v>un</v>
      </c>
      <c r="D12" s="68" t="s">
        <v>626</v>
      </c>
      <c r="E12" s="19">
        <v>0.3</v>
      </c>
    </row>
    <row r="13" spans="1:16" ht="45" hidden="1" x14ac:dyDescent="0.25">
      <c r="A13" s="15" t="str">
        <f>'[1]1 MEDIÇÃO'!A12</f>
        <v xml:space="preserve"> 1.3 </v>
      </c>
      <c r="B13" s="66" t="str">
        <f>'MEDIÇÃO 02'!C11</f>
        <v>LOCACAO CONVENCIONAL DE OBRA, UTILIZANDO GABARITO DE TÁBUAS CORRIDAS PONTALETADAS A CADA 2,00M -  2 UTILIZAÇÕES. AF_10/2018</v>
      </c>
      <c r="C13" s="5" t="str">
        <f>'MEDIÇÃO 02'!E11</f>
        <v>M</v>
      </c>
      <c r="D13" s="69"/>
      <c r="E13" s="19"/>
    </row>
    <row r="14" spans="1:16" ht="45" hidden="1" x14ac:dyDescent="0.25">
      <c r="A14" s="15" t="str">
        <f>'[1]1 MEDIÇÃO'!A13</f>
        <v xml:space="preserve"> 1.4 </v>
      </c>
      <c r="B14" s="66" t="str">
        <f>'MEDIÇÃO 02'!C12</f>
        <v>Instalação provisória de energia elétrica, aerea, trifasica, em poste galvanizado, exclusive fornecimento do medidor</v>
      </c>
      <c r="C14" s="5" t="str">
        <f>'MEDIÇÃO 02'!E12</f>
        <v>un</v>
      </c>
      <c r="D14" s="68"/>
      <c r="E14" s="19"/>
    </row>
    <row r="15" spans="1:16" hidden="1" x14ac:dyDescent="0.25">
      <c r="A15" s="14" t="str">
        <f>'MEDIÇÃO 02'!A14</f>
        <v>2</v>
      </c>
      <c r="B15" s="130" t="str">
        <f>'MEDIÇÃO 02'!B14:P14</f>
        <v>MOVIMENTO DE TERRA</v>
      </c>
      <c r="C15" s="130"/>
      <c r="D15" s="130"/>
      <c r="E15" s="130"/>
    </row>
    <row r="16" spans="1:16" ht="45" x14ac:dyDescent="0.25">
      <c r="A16" s="5" t="str">
        <f>'MEDIÇÃO 02'!A15</f>
        <v>2.1</v>
      </c>
      <c r="B16" s="67" t="str">
        <f>'MEDIÇÃO 02'!C15</f>
        <v>ATERRO MANUAL DE VALAS COM SOLO ARGILO-ARENOSO E COMPACTAÇÃO MECANIZADA. AF_05/2016</v>
      </c>
      <c r="C16" s="20" t="str">
        <f>'MEDIÇÃO 02'!E15</f>
        <v>M3</v>
      </c>
      <c r="D16" s="73" t="s">
        <v>676</v>
      </c>
      <c r="E16" s="62">
        <f>'MEMORIA ATERRO'!AD42</f>
        <v>1090.4227250000001</v>
      </c>
    </row>
    <row r="17" spans="1:6" ht="60" hidden="1" x14ac:dyDescent="0.25">
      <c r="A17" s="5" t="str">
        <f>'MEDIÇÃO 02'!A16</f>
        <v>2.2</v>
      </c>
      <c r="B17" s="66" t="str">
        <f>'MEDIÇÃO 02'!C16</f>
        <v>ESCAVAÇÃO MANUAL PARA BLOCO DE COROAMENTO OU SAPATA (INCLUINDO ESCAVAÇÃO PARA COLOCAÇÃO DE FÔRMAS). AF_06/2017</v>
      </c>
      <c r="C17" s="5" t="str">
        <f>'MEDIÇÃO 02'!E16</f>
        <v>M3</v>
      </c>
      <c r="D17" s="74"/>
      <c r="E17" s="24"/>
      <c r="F17">
        <f>2*2.45*2.55*1.5</f>
        <v>18.7425</v>
      </c>
    </row>
    <row r="18" spans="1:6" ht="45" hidden="1" x14ac:dyDescent="0.25">
      <c r="A18" s="5" t="str">
        <f>'MEDIÇÃO 02'!A17</f>
        <v>2.3</v>
      </c>
      <c r="B18" s="66" t="str">
        <f>'MEDIÇÃO 02'!C17</f>
        <v>ATERRO MANUAL DE VALAS COM SOLO ARGILO-ARENOSO E COMPACTAÇÃO MECANIZADA. AF_05/2016</v>
      </c>
      <c r="C18" s="5" t="str">
        <f>'MEDIÇÃO 02'!E17</f>
        <v>M3</v>
      </c>
      <c r="D18" s="73"/>
      <c r="E18" s="23"/>
    </row>
    <row r="19" spans="1:6" hidden="1" x14ac:dyDescent="0.25">
      <c r="A19" s="14" t="str">
        <f>'MEDIÇÃO 02'!A19</f>
        <v>3</v>
      </c>
      <c r="B19" s="130" t="str">
        <f>'MEDIÇÃO 02'!B19:P19</f>
        <v>FUNDAÇÃO</v>
      </c>
      <c r="C19" s="130"/>
      <c r="D19" s="130"/>
      <c r="E19" s="130"/>
    </row>
    <row r="20" spans="1:6" ht="60" hidden="1" x14ac:dyDescent="0.25">
      <c r="A20" s="5" t="str">
        <f>'MEDIÇÃO 02'!A20</f>
        <v>3.1</v>
      </c>
      <c r="B20" s="67" t="str">
        <f>'MEDIÇÃO 02'!C20</f>
        <v>CONCRETO MAGRO PARA LASTRO, TRAÇO 1:4,5:4,5 (EM MASSA SECA DE CIMENTO/ AREIA MÉDIA/ BRITA 1) - PREPARO MECÂNICO COM BETONEIRA 400 L. AF_05/2021</v>
      </c>
      <c r="C20" s="20" t="str">
        <f>'MEDIÇÃO 02'!E20</f>
        <v>M3</v>
      </c>
      <c r="D20" s="74"/>
      <c r="E20" s="24"/>
      <c r="F20">
        <f>2*1.6*1.65*0.1</f>
        <v>0.52800000000000002</v>
      </c>
    </row>
    <row r="21" spans="1:6" ht="390" x14ac:dyDescent="0.25">
      <c r="A21" s="5" t="str">
        <f>'MEDIÇÃO 02'!A21</f>
        <v>3.2</v>
      </c>
      <c r="B21" s="67" t="str">
        <f>'MEDIÇÃO 02'!C21</f>
        <v>Forma plana para fundações, em tábuas de pinho, 07 usos</v>
      </c>
      <c r="C21" s="20" t="str">
        <f>'MEDIÇÃO 02'!E21</f>
        <v>m²</v>
      </c>
      <c r="D21" s="68" t="s">
        <v>677</v>
      </c>
      <c r="E21" s="24">
        <f>18.99+2.71+2.71+2.61+5.45+1.63+31.7+5.12+1.36+31.97+3.39+4.51+31.7+6.61+1.36+31.97+8.5+15.54+25.64+15.38+25.99+25.99+7.79+18.08+19.76</f>
        <v>346.46000000000004</v>
      </c>
    </row>
    <row r="22" spans="1:6" ht="45" hidden="1" x14ac:dyDescent="0.25">
      <c r="A22" s="5" t="str">
        <f>'MEDIÇÃO 02'!A22</f>
        <v>3.3</v>
      </c>
      <c r="B22" s="67" t="str">
        <f>'MEDIÇÃO 02'!C22</f>
        <v>ARMAÇÃO DE BLOCO, VIGA BALDRAME OU SAPATA UTILIZANDO AÇO CA-50 DE 6,3 MM - MONTAGEM. AF_06/2017</v>
      </c>
      <c r="C22" s="20" t="str">
        <f>'MEDIÇÃO 02'!E22</f>
        <v>KG</v>
      </c>
      <c r="D22" s="75"/>
      <c r="E22" s="23"/>
    </row>
    <row r="23" spans="1:6" ht="409.5" x14ac:dyDescent="0.25">
      <c r="A23" s="5" t="str">
        <f>'MEDIÇÃO 02'!A23</f>
        <v>3.4</v>
      </c>
      <c r="B23" s="67" t="str">
        <f>'MEDIÇÃO 02'!C23</f>
        <v>ARMAÇÃO DE BLOCO, VIGA BALDRAME OU SAPATA UTILIZANDO AÇO CA-50 DE 10 MM - MONTAGEM. AF_06/2017</v>
      </c>
      <c r="C23" s="20" t="str">
        <f>'MEDIÇÃO 02'!E23</f>
        <v>KG</v>
      </c>
      <c r="D23" s="75" t="s">
        <v>678</v>
      </c>
      <c r="E23" s="24">
        <f>1666.1*0.617</f>
        <v>1027.9837</v>
      </c>
    </row>
    <row r="24" spans="1:6" ht="45" hidden="1" x14ac:dyDescent="0.25">
      <c r="A24" s="5" t="str">
        <f>'MEDIÇÃO 02'!A24</f>
        <v>3.5</v>
      </c>
      <c r="B24" s="67" t="str">
        <f>'MEDIÇÃO 02'!C24</f>
        <v>ARMAÇÃO DE BLOCO, VIGA BALDRAME OU SAPATA UTILIZANDO AÇO CA-50 DE 12,5 MM - MONTAGEM. AF_06/2017</v>
      </c>
      <c r="C24" s="20" t="str">
        <f>'MEDIÇÃO 02'!E24</f>
        <v>KG</v>
      </c>
      <c r="D24" s="76"/>
      <c r="E24" s="23"/>
    </row>
    <row r="25" spans="1:6" ht="409.5" x14ac:dyDescent="0.25">
      <c r="A25" s="5" t="str">
        <f>'MEDIÇÃO 02'!A25</f>
        <v>3.6</v>
      </c>
      <c r="B25" s="67" t="str">
        <f>'MEDIÇÃO 02'!C25</f>
        <v>ARMAÇÃO DE BLOCO, VIGA BALDRAME E SAPATA UTILIZANDO AÇO CA-60 DE 5 MM - MONTAGEM. AF_06/2017</v>
      </c>
      <c r="C25" s="20" t="str">
        <f>'MEDIÇÃO 02'!E25</f>
        <v>KG</v>
      </c>
      <c r="D25" s="75" t="s">
        <v>679</v>
      </c>
      <c r="E25" s="24">
        <f>2567.96*0.154</f>
        <v>395.46584000000001</v>
      </c>
      <c r="F25" s="64"/>
    </row>
    <row r="26" spans="1:6" ht="390" x14ac:dyDescent="0.25">
      <c r="A26" s="5" t="str">
        <f>'MEDIÇÃO 02'!A26</f>
        <v>3.7</v>
      </c>
      <c r="B26" s="67" t="str">
        <f>'MEDIÇÃO 02'!C26</f>
        <v>CONCRETO FCK = 25MPA, TRAÇO 1:2,3:2,7 (EM MASSA SECA DE CIMENTO/ AREIA MÉDIA/ BRITA 1) - PREPARO MECÂNICO COM BETONEIRA 400 L. AF_05/2021</v>
      </c>
      <c r="C26" s="20" t="str">
        <f>'MEDIÇÃO 02'!E26</f>
        <v>M3</v>
      </c>
      <c r="D26" s="68" t="s">
        <v>680</v>
      </c>
      <c r="E26" s="24">
        <f>1.0683+0.15+0.15+0.15+0.29+0.09+1.78+0.28+0.08+1.8+0.19+0.25+1.78+0.37+0.08+1.8+0.48+0.87+1.44+0.87+1.46+1.46+0.44+1.017+1.1115</f>
        <v>19.456800000000001</v>
      </c>
    </row>
    <row r="27" spans="1:6" ht="390" x14ac:dyDescent="0.25">
      <c r="A27" s="5" t="str">
        <f>'MEDIÇÃO 02'!A27</f>
        <v>3.8</v>
      </c>
      <c r="B27" s="67" t="str">
        <f>'MEDIÇÃO 02'!C27</f>
        <v>LANÇAMENTO COM USO DE BOMBA, ADENSAMENTO E ACABAMENTO DE CONCRETO EM ESTRUTURAS. AF_12/2015</v>
      </c>
      <c r="C27" s="20" t="str">
        <f>'MEDIÇÃO 02'!E27</f>
        <v>M3</v>
      </c>
      <c r="D27" s="68" t="s">
        <v>680</v>
      </c>
      <c r="E27" s="24">
        <f>1.0683+0.15+0.15+0.15+0.29+0.09+1.78+0.28+0.08+1.8+0.19+0.25+1.78+0.37+0.08+1.8+0.48+0.87+1.44+0.87+1.46+1.46+0.44+1.017+1.1115</f>
        <v>19.456800000000001</v>
      </c>
    </row>
    <row r="28" spans="1:6" hidden="1" x14ac:dyDescent="0.25">
      <c r="A28" s="14" t="str">
        <f>'MEDIÇÃO 02'!A29</f>
        <v>4</v>
      </c>
      <c r="B28" s="130" t="str">
        <f>'MEDIÇÃO 02'!B29:P29</f>
        <v>ELEMENTO VAZADO</v>
      </c>
      <c r="C28" s="130"/>
      <c r="D28" s="130"/>
      <c r="E28" s="130"/>
    </row>
    <row r="29" spans="1:6" ht="90" hidden="1" x14ac:dyDescent="0.25">
      <c r="A29" s="5" t="str">
        <f>'MEDIÇÃO 02'!A30</f>
        <v>4.1</v>
      </c>
      <c r="B29" s="66" t="str">
        <f>'MEDIÇÃO 02'!C30</f>
        <v>ALVENARIA DE VEDAÇÃO DE BLOCOS CERÂMICOS FURADOS NA HORIZONTAL DE 9X19X19CM (ESPESSURA 9CM) DE PAREDES COM ÁREA LÍQUIDA MAIOR OU IGUAL A 6M² SEM VÃOS E ARGAMASSA DE ASSENTAMENTO COM PREPARO EM BETONEIRA. AF_06/2014</v>
      </c>
      <c r="C29" s="5" t="str">
        <f>'MEDIÇÃO 02'!E30</f>
        <v>M2</v>
      </c>
      <c r="D29" s="69"/>
      <c r="E29" s="5">
        <v>0</v>
      </c>
    </row>
    <row r="30" spans="1:6" ht="60" hidden="1" x14ac:dyDescent="0.25">
      <c r="A30" s="5" t="str">
        <f>'MEDIÇÃO 02'!A31</f>
        <v>4.2</v>
      </c>
      <c r="B30" s="66" t="str">
        <f>'MEDIÇÃO 02'!C31</f>
        <v>ALVENARIA DE VEDAÇÃO COM ELEMENTO VAZADO DE CONCRETO (COBOGÓ) DE 7X50X50CM E ARGAMASSA DE ASSENTAMENTO COM PREPARO EM BETONEIRA. AF_05/2020</v>
      </c>
      <c r="C30" s="5" t="str">
        <f>'MEDIÇÃO 02'!E31</f>
        <v>M2</v>
      </c>
      <c r="D30" s="69"/>
      <c r="E30" s="5">
        <v>0</v>
      </c>
    </row>
    <row r="31" spans="1:6" ht="90" hidden="1" x14ac:dyDescent="0.25">
      <c r="A31" s="5" t="str">
        <f>'MEDIÇÃO 02'!A32</f>
        <v>4.3</v>
      </c>
      <c r="B31" s="66" t="str">
        <f>'MEDIÇÃO 02'!C32</f>
        <v>ALVENARIA DE VEDAÇÃO DE BLOCOS CERÂMICOS FURADOS NA HORIZONTAL DE 9X19X19CM (ESPESSURA 9CM) DE PAREDES COM ÁREA LÍQUIDA MAIOR OU IGUAL A 6M² SEM VÃOS E ARGAMASSA DE ASSENTAMENTO COM PREPARO EM BETONEIRA. AF_06/2014</v>
      </c>
      <c r="C31" s="5" t="str">
        <f>'MEDIÇÃO 02'!E32</f>
        <v>M2</v>
      </c>
      <c r="D31" s="69"/>
      <c r="E31" s="5">
        <v>0</v>
      </c>
    </row>
    <row r="32" spans="1:6" hidden="1" x14ac:dyDescent="0.25">
      <c r="A32" s="14" t="str">
        <f>'MEDIÇÃO 02'!A34</f>
        <v>5</v>
      </c>
      <c r="B32" s="130" t="str">
        <f>'MEDIÇÃO 02'!B34:P34</f>
        <v>ESTRUTURA</v>
      </c>
      <c r="C32" s="130"/>
      <c r="D32" s="130"/>
      <c r="E32" s="130"/>
    </row>
    <row r="33" spans="1:6" ht="315" x14ac:dyDescent="0.25">
      <c r="A33" s="5" t="str">
        <f>'MEDIÇÃO 02'!A35</f>
        <v>5.1</v>
      </c>
      <c r="B33" s="68" t="str">
        <f>'MEDIÇÃO 02'!C35</f>
        <v>Forma plana para estruturas, em compensado plastificado de 12mm, 07 usos, inclusive escoramento - Revisada 07.2015</v>
      </c>
      <c r="C33" s="5" t="str">
        <f>'MEDIÇÃO 02'!E35</f>
        <v>m2</v>
      </c>
      <c r="D33" s="74" t="s">
        <v>628</v>
      </c>
      <c r="E33" s="19">
        <f>(28.6848+46.6944+63.744+5.4208+41.4336+3.8272+14.5024+40+9.5616+9.5616+3.8272+3.5072+4.1472+3.1872+3.1872+3.1872+4.9408)/3.2</f>
        <v>90.442000000000036</v>
      </c>
      <c r="F33">
        <f>(1*((0.174*3.2*2)+(0.324*3.2*2)))+(1*((0.224*3.2)+(0.324*3.2)))</f>
        <v>4.9408000000000003</v>
      </c>
    </row>
    <row r="34" spans="1:6" ht="60" hidden="1" x14ac:dyDescent="0.25">
      <c r="A34" s="5" t="str">
        <f>'MEDIÇÃO 02'!A36</f>
        <v>5.2</v>
      </c>
      <c r="B34" s="68" t="str">
        <f>'MEDIÇÃO 02'!C36</f>
        <v>ARMAÇÃO DE PILAR OU VIGA DE UMA ESTRUTURA CONVENCIONAL DE CONCRETO ARMADO EM UMA EDIFICAÇÃO TÉRREA OU SOBRADO UTILIZANDO AÇO CA-50 DE 6,3 MM - MONTAGEM. AF_12/2015</v>
      </c>
      <c r="C34" s="5" t="str">
        <f>'MEDIÇÃO 02'!E36</f>
        <v>KG</v>
      </c>
      <c r="D34" s="73"/>
      <c r="E34" s="5"/>
    </row>
    <row r="35" spans="1:6" ht="270" x14ac:dyDescent="0.25">
      <c r="A35" s="5" t="str">
        <f>'MEDIÇÃO 02'!A37</f>
        <v>5.3</v>
      </c>
      <c r="B35" s="68" t="str">
        <f>'MEDIÇÃO 02'!C37</f>
        <v>ARMAÇÃO DE PILAR OU VIGA DE UMA ESTRUTURA CONVENCIONAL DE CONCRETO ARMADO EM UMA EDIFICAÇÃO TÉRREA OU SOBRADO UTILIZANDO AÇO CA-50 DE 10,0 MM - MONTAGEM. AF_12/2015</v>
      </c>
      <c r="C35" s="5" t="str">
        <f>'MEDIÇÃO 02'!E37</f>
        <v>KG</v>
      </c>
      <c r="D35" s="74" t="s">
        <v>629</v>
      </c>
      <c r="E35" s="24">
        <f>(115.2+224+262.4+38.4+166.4+19.2+70.4+204.8+44.8+25.6+19.2+19.2+25.6+12.8)*0.617</f>
        <v>770.01599999999985</v>
      </c>
    </row>
    <row r="36" spans="1:6" ht="120" x14ac:dyDescent="0.25">
      <c r="A36" s="5" t="str">
        <f>'MEDIÇÃO 02'!A38</f>
        <v>5.4</v>
      </c>
      <c r="B36" s="68" t="str">
        <f>'MEDIÇÃO 02'!C38</f>
        <v>ARMAÇÃO DE PILAR OU VIGA DE UMA ESTRUTURA CONVENCIONAL DE CONCRETO ARMADO EM UMA EDIFICAÇÃO TÉRREA OU SOBRADO UTILIZANDO AÇO CA-50 DE 12,5 MM - MONTAGEM. AF_12/2015</v>
      </c>
      <c r="C36" s="5" t="str">
        <f>'MEDIÇÃO 02'!E38</f>
        <v>KG</v>
      </c>
      <c r="D36" s="74" t="s">
        <v>630</v>
      </c>
      <c r="E36" s="24">
        <f>(25.6+25.6+19.2+25.6)*0.963</f>
        <v>92.447999999999993</v>
      </c>
    </row>
    <row r="37" spans="1:6" ht="315" x14ac:dyDescent="0.25">
      <c r="A37" s="5" t="str">
        <f>'MEDIÇÃO 02'!A39</f>
        <v>5.5</v>
      </c>
      <c r="B37" s="68" t="str">
        <f>'MEDIÇÃO 02'!C39</f>
        <v>ARMAÇÃO DE PILAR OU VIGA DE UMA ESTRUTURA CONVENCIONAL DE CONCRETO ARMADO EM UMA EDIFICAÇÃO TÉRREA OU SOBRADO UTILIZANDO AÇO CA-60 DE 5,0 MM - MONTAGEM. AF_12/2015</v>
      </c>
      <c r="C37" s="5" t="str">
        <f>'MEDIÇÃO 02'!E39</f>
        <v>KG</v>
      </c>
      <c r="D37" s="74" t="s">
        <v>631</v>
      </c>
      <c r="E37" s="23">
        <f>(173.25+315.5+385+54.5+250.25+32.75+106+266+63.75+55.44+30.25+19.14+34+25.25+22.22+19.25+36.08)*0.154</f>
        <v>290.84902</v>
      </c>
    </row>
    <row r="38" spans="1:6" ht="300" x14ac:dyDescent="0.25">
      <c r="A38" s="5" t="str">
        <f>'MEDIÇÃO 02'!A40</f>
        <v>5.6</v>
      </c>
      <c r="B38" s="68" t="str">
        <f>'MEDIÇÃO 02'!C40</f>
        <v>CONCRETO FCK = 25MPA, TRAÇO 1:2,3:2,7 (EM MASSA SECA DE CIMENTO/ AREIA MÉDIA/ BRITA 1) - PREPARO MECÂNICO COM BETONEIRA 600 L. AF_05/2021</v>
      </c>
      <c r="C38" s="5" t="str">
        <f>'MEDIÇÃO 02'!E40</f>
        <v>M3</v>
      </c>
      <c r="D38" s="74" t="s">
        <v>632</v>
      </c>
      <c r="E38" s="19">
        <f>1.215+2.295+2.7+0.405+1.755+0.225+0.72+1.8+0.405+0.405+0.18+0.18+0.24+0.135+0.135+0.135+0.315</f>
        <v>13.244999999999999</v>
      </c>
    </row>
    <row r="39" spans="1:6" ht="300" x14ac:dyDescent="0.25">
      <c r="A39" s="5" t="str">
        <f>'MEDIÇÃO 02'!A41</f>
        <v>5.7</v>
      </c>
      <c r="B39" s="68" t="str">
        <f>'MEDIÇÃO 02'!C41</f>
        <v>LANÇAMENTO COM USO DE BOMBA, ADENSAMENTO E ACABAMENTO DE CONCRETO EM ESTRUTURAS. AF_12/2015</v>
      </c>
      <c r="C39" s="5" t="str">
        <f>'MEDIÇÃO 02'!E41</f>
        <v>M3</v>
      </c>
      <c r="D39" s="74" t="s">
        <v>632</v>
      </c>
      <c r="E39" s="19">
        <f>1.215+2.295+2.7+0.405+1.755+0.225+0.72+1.8+0.405+0.405+0.18+0.18+0.24+0.135+0.135+0.135+0.315</f>
        <v>13.244999999999999</v>
      </c>
    </row>
    <row r="40" spans="1:6" ht="60" hidden="1" x14ac:dyDescent="0.25">
      <c r="A40" s="5" t="str">
        <f>'MEDIÇÃO 02'!A42</f>
        <v>5.8</v>
      </c>
      <c r="B40" s="68" t="str">
        <f>'MEDIÇÃO 02'!C42</f>
        <v>LAJE PRÉ-MOLDADA UNIDIRECIONAL, BIAPOIADA, PARA PISO, ENCHIMENTO EM CERÂMICA, VIGOTA CONVENCIONAL, ALTURA TOTAL DA LAJE (ENCHIMENTO+CAPA) = (8+4). AF_11/2020</v>
      </c>
      <c r="C40" s="5" t="str">
        <f>'MEDIÇÃO 02'!E42</f>
        <v>M2</v>
      </c>
      <c r="D40" s="69"/>
      <c r="E40" s="5"/>
    </row>
    <row r="41" spans="1:6" ht="30" hidden="1" x14ac:dyDescent="0.25">
      <c r="A41" s="5" t="str">
        <f>'MEDIÇÃO 02'!A43</f>
        <v>5.9</v>
      </c>
      <c r="B41" s="68" t="str">
        <f>'MEDIÇÃO 02'!C43</f>
        <v>VERGA PRÉ-MOLDADA PARA PORTAS COM ATÉ 1,5 M DE VÃO. AF_03/2016</v>
      </c>
      <c r="C41" s="5" t="str">
        <f>'MEDIÇÃO 02'!E43</f>
        <v>M</v>
      </c>
      <c r="D41" s="69"/>
      <c r="E41" s="5"/>
    </row>
    <row r="42" spans="1:6" ht="30" hidden="1" x14ac:dyDescent="0.25">
      <c r="A42" s="5" t="str">
        <f>'MEDIÇÃO 02'!A44</f>
        <v>5.10</v>
      </c>
      <c r="B42" s="68" t="str">
        <f>'MEDIÇÃO 02'!C44</f>
        <v>VERGA PRÉ-MOLDADA PARA JANELAS COM ATÉ 1,5 M DE VÃO. AF_03/2016</v>
      </c>
      <c r="C42" s="5" t="str">
        <f>'MEDIÇÃO 02'!E44</f>
        <v>M</v>
      </c>
      <c r="D42" s="69"/>
      <c r="E42" s="5"/>
    </row>
    <row r="43" spans="1:6" hidden="1" x14ac:dyDescent="0.25">
      <c r="A43" s="21" t="str">
        <f>'MEDIÇÃO 02'!A45</f>
        <v>5.11</v>
      </c>
      <c r="B43" s="139" t="str">
        <f>'MEDIÇÃO 02'!B45:P45</f>
        <v>MURO DE CONTORNO</v>
      </c>
      <c r="C43" s="140"/>
      <c r="D43" s="140"/>
      <c r="E43" s="141"/>
    </row>
    <row r="44" spans="1:6" ht="75" hidden="1" x14ac:dyDescent="0.25">
      <c r="A44" s="5" t="str">
        <f>'MEDIÇÃO 02'!A46</f>
        <v>5.11.1</v>
      </c>
      <c r="B44" s="68" t="str">
        <f>'MEDIÇÃO 02'!C46</f>
        <v>Muro em alvenaria bloco cerâmico, e= 0,09m, c/ alv de pedra granítica, 0,35 x 0,60m, colunas (9x20cm) e cintamento (9x15cm) superior e inferior concreto armado fck = 15,0 Mpa cada 3,00m, chapisco e reboco</v>
      </c>
      <c r="C44" s="5" t="str">
        <f>'MEDIÇÃO 02'!E46</f>
        <v>m2</v>
      </c>
      <c r="D44" s="68"/>
      <c r="E44" s="5"/>
    </row>
    <row r="45" spans="1:6" hidden="1" x14ac:dyDescent="0.25">
      <c r="A45" s="14" t="str">
        <f>'MEDIÇÃO 02'!A48</f>
        <v>6</v>
      </c>
      <c r="B45" s="130" t="str">
        <f>'MEDIÇÃO 02'!B48:P48</f>
        <v>COBERTA</v>
      </c>
      <c r="C45" s="130"/>
      <c r="D45" s="130"/>
      <c r="E45" s="130"/>
    </row>
    <row r="46" spans="1:6" ht="45" hidden="1" x14ac:dyDescent="0.25">
      <c r="A46" s="5" t="str">
        <f>'MEDIÇÃO 02'!A49</f>
        <v>6.1</v>
      </c>
      <c r="B46" s="68" t="str">
        <f>'MEDIÇÃO 02'!C49</f>
        <v>TELHAMENTO COM TELHA CERÂMICA CAPA-CANAL, TIPO COLONIAL, COM ATÉ 2 ÁGUAS, INCLUSO TRANSPORTE VERTICAL. AF_07/2019</v>
      </c>
      <c r="C46" s="5" t="str">
        <f>'MEDIÇÃO 02'!E49</f>
        <v>M2</v>
      </c>
      <c r="D46" s="69"/>
      <c r="E46" s="5"/>
    </row>
    <row r="47" spans="1:6" ht="60" hidden="1" x14ac:dyDescent="0.25">
      <c r="A47" s="5" t="str">
        <f>'MEDIÇÃO 02'!A50</f>
        <v>6.2</v>
      </c>
      <c r="B47" s="68" t="str">
        <f>'MEDIÇÃO 02'!C50</f>
        <v>FABRICAÇÃO E INSTALAÇÃO DE TESOURA INTEIRA EM MADEIRA NÃO APARELHADA, VÃO DE 8 M, PARA TELHA CERÂMICA OU DE CONCRETO, INCLUSO IÇAMENTO. AF_07/2019</v>
      </c>
      <c r="C47" s="5" t="str">
        <f>'MEDIÇÃO 02'!E50</f>
        <v>UN</v>
      </c>
      <c r="D47" s="69"/>
      <c r="E47" s="5"/>
    </row>
    <row r="48" spans="1:6" ht="60" hidden="1" x14ac:dyDescent="0.25">
      <c r="A48" s="5" t="str">
        <f>'MEDIÇÃO 02'!A51</f>
        <v>6.3</v>
      </c>
      <c r="B48" s="68" t="str">
        <f>'MEDIÇÃO 02'!C51</f>
        <v>FABRICAÇÃO E INSTALAÇÃO DE TESOURA INTEIRA EM MADEIRA NÃO APARELHADA, VÃO DE 10 M, PARA TELHA CERÂMICA OU DE CONCRETO, INCLUSO IÇAMENTO. AF_07/2019</v>
      </c>
      <c r="C48" s="5" t="str">
        <f>'MEDIÇÃO 02'!E51</f>
        <v>UN</v>
      </c>
      <c r="D48" s="69"/>
      <c r="E48" s="5"/>
    </row>
    <row r="49" spans="1:5" ht="60" hidden="1" x14ac:dyDescent="0.25">
      <c r="A49" s="5" t="str">
        <f>'MEDIÇÃO 02'!A52</f>
        <v>6.4</v>
      </c>
      <c r="B49" s="68" t="str">
        <f>'MEDIÇÃO 02'!C52</f>
        <v>CUMEEIRA PARA TELHA CERÂMICA EMBOÇADA COM ARGAMASSA TRAÇO 1:2:9 (CIMENTO, CAL E AREIA) PARA TELHADOS COM ATÉ 2 ÁGUAS, INCLUSO TRANSPORTE VERTICAL. AF_07/2019</v>
      </c>
      <c r="C49" s="5" t="str">
        <f>'MEDIÇÃO 02'!E52</f>
        <v>M</v>
      </c>
      <c r="D49" s="69"/>
      <c r="E49" s="5"/>
    </row>
    <row r="50" spans="1:5" ht="75" hidden="1" x14ac:dyDescent="0.25">
      <c r="A50" s="5" t="str">
        <f>'MEDIÇÃO 02'!A53</f>
        <v>6.5</v>
      </c>
      <c r="B50" s="68" t="str">
        <f>'MEDIÇÃO 02'!C53</f>
        <v>TRAMA DE MADEIRA COMPOSTA POR RIPAS, CAIBROS E TERÇAS PARA TELHADOS DE ATÉ 2 ÁGUAS PARA TELHA DE ENCAIXE DE CERÂMICA OU DE CONCRETO, INCLUSO TRANSPORTE VERTICAL. AF_07/2019</v>
      </c>
      <c r="C50" s="5" t="str">
        <f>'MEDIÇÃO 02'!E53</f>
        <v>M2</v>
      </c>
      <c r="D50" s="69"/>
      <c r="E50" s="5"/>
    </row>
    <row r="51" spans="1:5" ht="30" hidden="1" x14ac:dyDescent="0.25">
      <c r="A51" s="5" t="str">
        <f>'MEDIÇÃO 02'!A54</f>
        <v>6.6</v>
      </c>
      <c r="B51" s="68" t="str">
        <f>'MEDIÇÃO 02'!C54</f>
        <v>FORRO EM PLACAS DE GESSO, PARA AMBIENTES COMERCIAIS. AF_05/2017_P</v>
      </c>
      <c r="C51" s="5" t="str">
        <f>'MEDIÇÃO 02'!E54</f>
        <v>M2</v>
      </c>
      <c r="D51" s="69"/>
      <c r="E51" s="5"/>
    </row>
    <row r="52" spans="1:5" ht="30" hidden="1" x14ac:dyDescent="0.25">
      <c r="A52" s="5" t="str">
        <f>'MEDIÇÃO 02'!A55</f>
        <v>6.7</v>
      </c>
      <c r="B52" s="68" t="str">
        <f>'MEDIÇÃO 02'!C55</f>
        <v>Fornecimento e implantação de viga em concreto pré-moldado, seção = 12x20cm</v>
      </c>
      <c r="C52" s="5" t="str">
        <f>'MEDIÇÃO 02'!E55</f>
        <v>m</v>
      </c>
      <c r="D52" s="69"/>
      <c r="E52" s="5"/>
    </row>
    <row r="53" spans="1:5" ht="45" hidden="1" x14ac:dyDescent="0.25">
      <c r="A53" s="5" t="str">
        <f>'MEDIÇÃO 02'!A56</f>
        <v>6.8</v>
      </c>
      <c r="B53" s="68" t="str">
        <f>'MEDIÇÃO 02'!C56</f>
        <v>CALHA EM CHAPA DE AÇO GALVANIZADO NÚMERO 24, DESENVOLVIMENTO DE 50 CM, INCLUSO TRANSPORTE VERTICAL. AF_07/2019</v>
      </c>
      <c r="C53" s="5" t="str">
        <f>'MEDIÇÃO 02'!E56</f>
        <v>M</v>
      </c>
      <c r="D53" s="69"/>
      <c r="E53" s="5"/>
    </row>
    <row r="54" spans="1:5" ht="45" hidden="1" x14ac:dyDescent="0.25">
      <c r="A54" s="5" t="str">
        <f>'MEDIÇÃO 02'!A57</f>
        <v>6.9</v>
      </c>
      <c r="B54" s="68" t="str">
        <f>'MEDIÇÃO 02'!C57</f>
        <v>TUBO PVC, SÉRIE R, ÁGUA PLUVIAL, DN 75 MM, FORNECIDO E INSTALADO EM CONDUTORES VERTICAIS DE ÁGUAS PLUVIAIS. AF_12/2014</v>
      </c>
      <c r="C54" s="5" t="str">
        <f>'MEDIÇÃO 02'!E57</f>
        <v>M</v>
      </c>
      <c r="D54" s="69"/>
      <c r="E54" s="5"/>
    </row>
    <row r="55" spans="1:5" ht="45" hidden="1" x14ac:dyDescent="0.25">
      <c r="A55" s="5" t="str">
        <f>'MEDIÇÃO 02'!A58</f>
        <v>6.10</v>
      </c>
      <c r="B55" s="68" t="str">
        <f>'MEDIÇÃO 02'!C58</f>
        <v>TUBO PVC, SÉRIE R, ÁGUA PLUVIAL, DN 100 MM, FORNECIDO E INSTALADO EM RAMAL DE ENCAMINHAMENTO. AF_12/2014</v>
      </c>
      <c r="C55" s="5" t="str">
        <f>'MEDIÇÃO 02'!E58</f>
        <v>M</v>
      </c>
      <c r="D55" s="69"/>
      <c r="E55" s="5"/>
    </row>
    <row r="56" spans="1:5" hidden="1" x14ac:dyDescent="0.25">
      <c r="A56" s="14" t="str">
        <f>'MEDIÇÃO 02'!A60</f>
        <v>7</v>
      </c>
      <c r="B56" s="130" t="str">
        <f>'MEDIÇÃO 02'!B60:P60</f>
        <v>PAVIMENTAÇÃO</v>
      </c>
      <c r="C56" s="130"/>
      <c r="D56" s="130"/>
      <c r="E56" s="130"/>
    </row>
    <row r="57" spans="1:5" ht="45" hidden="1" x14ac:dyDescent="0.25">
      <c r="A57" s="5" t="str">
        <f>'MEDIÇÃO 02'!A61</f>
        <v>7.1</v>
      </c>
      <c r="B57" s="68" t="str">
        <f>'MEDIÇÃO 02'!C61</f>
        <v>LASTRO DE CONCRETO MAGRO, APLICADO EM PISOS, LAJES SOBRE SOLO OU RADIERS, ESPESSURA DE 5 CM. AF_07/2016</v>
      </c>
      <c r="C57" s="5" t="str">
        <f>'MEDIÇÃO 02'!E61</f>
        <v>M2</v>
      </c>
      <c r="D57" s="69"/>
      <c r="E57" s="5"/>
    </row>
    <row r="58" spans="1:5" ht="60" hidden="1" x14ac:dyDescent="0.25">
      <c r="A58" s="5" t="str">
        <f>'MEDIÇÃO 02'!A62</f>
        <v>7.2</v>
      </c>
      <c r="B58" s="68" t="str">
        <f>'MEDIÇÃO 02'!C62</f>
        <v>Fornecimento e instalação de tela aço soldada nervurada CA-60, malha 15x15cm, ferro 4.2mm, painel 2x3m, (1,50kg/m²), Malha Pop Reforçada Gerdau ou similar</v>
      </c>
      <c r="C58" s="5" t="str">
        <f>'MEDIÇÃO 02'!E62</f>
        <v>m2</v>
      </c>
      <c r="D58" s="69"/>
      <c r="E58" s="5"/>
    </row>
    <row r="59" spans="1:5" ht="75" hidden="1" x14ac:dyDescent="0.25">
      <c r="A59" s="5" t="str">
        <f>'MEDIÇÃO 02'!A63</f>
        <v>7.3</v>
      </c>
      <c r="B59" s="68" t="str">
        <f>'MEDIÇÃO 02'!C63</f>
        <v>CONTRAPISO EM ARGAMASSA TRAÇO 1:4 (CIMENTO E AREIA), PREPARO MANUAL, APLICADO EM ÁREAS SECAS SOBRE LAJE, ADERIDO, ACABAMENTO NÃO REFORÇADO, ESPESSURA 3CM. AF_07/2021</v>
      </c>
      <c r="C59" s="5" t="str">
        <f>'MEDIÇÃO 02'!E63</f>
        <v>M2</v>
      </c>
      <c r="D59" s="69"/>
      <c r="E59" s="5"/>
    </row>
    <row r="60" spans="1:5" ht="45" hidden="1" x14ac:dyDescent="0.25">
      <c r="A60" s="5" t="str">
        <f>'MEDIÇÃO 02'!A64</f>
        <v>7.4</v>
      </c>
      <c r="B60" s="68" t="str">
        <f>'MEDIÇÃO 02'!C64</f>
        <v>LASTRO COM MATERIAL GRANULAR (AREIA MÉDIA), APLICADO EM PISOS OU LAJES SOBRE SOLO, ESPESSURA DE *10 CM*. AF_07/2019</v>
      </c>
      <c r="C60" s="5" t="str">
        <f>'MEDIÇÃO 02'!E64</f>
        <v>M3</v>
      </c>
      <c r="D60" s="69"/>
      <c r="E60" s="5"/>
    </row>
    <row r="61" spans="1:5" ht="90" hidden="1" x14ac:dyDescent="0.25">
      <c r="A61" s="5" t="str">
        <f>'MEDIÇÃO 02'!A65</f>
        <v>7.5</v>
      </c>
      <c r="B61" s="68" t="str">
        <f>'MEDIÇÃO 02'!C65</f>
        <v>ASSENTAMENTO DE GUIA (MEIO-FIO) EM TRECHO RETO, CONFECCIONADA EM CONCRETO PRÉ-FABRICADO, DIMENSÕES 100X15X13X30 CM (COMPRIMENTO X BASE INFERIOR X BASE SUPERIOR X ALTURA), PARA VIAS URBANAS (USO VIÁRIO). AF_06/2016</v>
      </c>
      <c r="C61" s="5" t="str">
        <f>'MEDIÇÃO 02'!E65</f>
        <v>M</v>
      </c>
      <c r="D61" s="69"/>
      <c r="E61" s="5"/>
    </row>
    <row r="62" spans="1:5" ht="30" hidden="1" x14ac:dyDescent="0.25">
      <c r="A62" s="5" t="str">
        <f>'MEDIÇÃO 02'!A66</f>
        <v>7.6</v>
      </c>
      <c r="B62" s="68" t="str">
        <f>'MEDIÇÃO 02'!C66</f>
        <v>RODAPÉ EM MARMORITE, ALTURA 10CM. AF_09/2020</v>
      </c>
      <c r="C62" s="5" t="str">
        <f>'MEDIÇÃO 02'!E66</f>
        <v>M</v>
      </c>
      <c r="D62" s="69"/>
      <c r="E62" s="5"/>
    </row>
    <row r="63" spans="1:5" ht="60" hidden="1" x14ac:dyDescent="0.25">
      <c r="A63" s="5" t="str">
        <f>'MEDIÇÃO 02'!A67</f>
        <v>7.7</v>
      </c>
      <c r="B63" s="68" t="str">
        <f>'MEDIÇÃO 02'!C67</f>
        <v>EXECUÇÃO DE PÁTIO/ESTACIONAMENTO EM PISO INTERTRAVADO, COM BLOCO RETANGULAR COR NATURAL DE 20 X 10 CM, ESPESSURA 6 CM. AF_12/2015</v>
      </c>
      <c r="C63" s="5" t="str">
        <f>'MEDIÇÃO 02'!E67</f>
        <v>M2</v>
      </c>
      <c r="D63" s="69"/>
      <c r="E63" s="5"/>
    </row>
    <row r="64" spans="1:5" ht="45" hidden="1" x14ac:dyDescent="0.25">
      <c r="A64" s="5" t="str">
        <f>'MEDIÇÃO 02'!A68</f>
        <v>7.8</v>
      </c>
      <c r="B64" s="68" t="str">
        <f>'MEDIÇÃO 02'!C68</f>
        <v>PISO EM GRANILITE, MARMORITE OU GRANITINA, AGREGADO COR PRETO, CINZA, PALHA OU BRANCO, E=  *8* MM (INCLUSO EXECUCAO)</v>
      </c>
      <c r="C64" s="5" t="str">
        <f>'MEDIÇÃO 02'!E68</f>
        <v>M2</v>
      </c>
      <c r="D64" s="69"/>
      <c r="E64" s="5"/>
    </row>
    <row r="65" spans="1:5" hidden="1" x14ac:dyDescent="0.25">
      <c r="A65" s="14" t="str">
        <f>'MEDIÇÃO 02'!A70</f>
        <v>8</v>
      </c>
      <c r="B65" s="130" t="str">
        <f>'MEDIÇÃO 02'!B70:P70</f>
        <v>REVESTIMENTOS</v>
      </c>
      <c r="C65" s="130"/>
      <c r="D65" s="130"/>
      <c r="E65" s="130"/>
    </row>
    <row r="66" spans="1:5" ht="60" hidden="1" x14ac:dyDescent="0.25">
      <c r="A66" s="5" t="str">
        <f>'MEDIÇÃO 02'!A71</f>
        <v>8.1</v>
      </c>
      <c r="B66" s="68" t="str">
        <f>'MEDIÇÃO 02'!C71</f>
        <v>CHAPISCO APLICADO EM ALVENARIAS E ESTRUTURAS DE CONCRETO INTERNAS, COM COLHER DE PEDREIRO.  ARGAMASSA TRAÇO 1:3 COM PREPARO EM BETONEIRA 400L. AF_06/2014</v>
      </c>
      <c r="C66" s="5" t="str">
        <f>'MEDIÇÃO 02'!E71</f>
        <v>M2</v>
      </c>
      <c r="D66" s="69"/>
      <c r="E66" s="5"/>
    </row>
    <row r="67" spans="1:5" ht="90" hidden="1" x14ac:dyDescent="0.25">
      <c r="A67" s="5" t="str">
        <f>'MEDIÇÃO 02'!A72</f>
        <v>8.2</v>
      </c>
      <c r="B67" s="68" t="str">
        <f>'MEDIÇÃO 02'!C72</f>
        <v>MASSA ÚNICA, PARA RECEBIMENTO DE PINTURA, EM ARGAMASSA TRAÇO 1:2:8, PREPARO MECÂNICO COM BETONEIRA 400L, APLICADA MANUALMENTE EM FACES INTERNAS DE PAREDES, ESPESSURA DE 10MM, COM EXECUÇÃO DE TALISCAS. AF_06/2014</v>
      </c>
      <c r="C67" s="5" t="str">
        <f>'MEDIÇÃO 02'!E72</f>
        <v>M2</v>
      </c>
      <c r="D67" s="69"/>
      <c r="E67" s="5"/>
    </row>
    <row r="68" spans="1:5" ht="90" hidden="1" x14ac:dyDescent="0.25">
      <c r="A68" s="5" t="str">
        <f>'MEDIÇÃO 02'!A73</f>
        <v>8.3</v>
      </c>
      <c r="B68" s="68" t="str">
        <f>'MEDIÇÃO 02'!C73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68" s="5" t="str">
        <f>'MEDIÇÃO 02'!E73</f>
        <v>M2</v>
      </c>
      <c r="D68" s="69"/>
      <c r="E68" s="5"/>
    </row>
    <row r="69" spans="1:5" ht="60" hidden="1" x14ac:dyDescent="0.25">
      <c r="A69" s="5" t="str">
        <f>'MEDIÇÃO 02'!A74</f>
        <v>8.4</v>
      </c>
      <c r="B69" s="68" t="str">
        <f>'MEDIÇÃO 02'!C74</f>
        <v>REVESTIMENTO CERÂMICO PARA PISO COM PLACAS TIPO ESMALTADA EXTRA DE DIMENSÕES 45X45 CM APLICADA EM AMBIENTES DE ÁREA MAIOR QUE 10 M2. AF_06/2014</v>
      </c>
      <c r="C69" s="5" t="str">
        <f>'MEDIÇÃO 02'!E74</f>
        <v>M2</v>
      </c>
      <c r="D69" s="69"/>
      <c r="E69" s="5"/>
    </row>
    <row r="70" spans="1:5" ht="90" hidden="1" x14ac:dyDescent="0.25">
      <c r="A70" s="5" t="str">
        <f>'MEDIÇÃO 02'!A75</f>
        <v>8.5</v>
      </c>
      <c r="B70" s="68" t="str">
        <f>'MEDIÇÃO 02'!C75</f>
        <v>ARGAMASSA TRAÇO 1:7 (EM VOLUME DE CIMENTO E AREIA MÉDIA ÚMIDA) COM ADIÇÃO DE PLASTIFICANTE PARA EMBOÇO/MASSA ÚNICA/ASSENTAMENTO DE ALVENARIA DE VEDAÇÃO, PREPARO MECÂNICO COM BETONEIRA 400 L. AF_08/2019</v>
      </c>
      <c r="C70" s="5" t="str">
        <f>'MEDIÇÃO 02'!E75</f>
        <v>M3</v>
      </c>
      <c r="D70" s="69"/>
      <c r="E70" s="5"/>
    </row>
    <row r="71" spans="1:5" hidden="1" x14ac:dyDescent="0.25">
      <c r="A71" s="14" t="str">
        <f>'MEDIÇÃO 02'!A77</f>
        <v>9</v>
      </c>
      <c r="B71" s="130" t="str">
        <f>'MEDIÇÃO 02'!B77:P77</f>
        <v>ESQUADRIAS, FERRAGENS, VIDROS, BANCADAS E DIVISÓRIAS</v>
      </c>
      <c r="C71" s="130"/>
      <c r="D71" s="130"/>
      <c r="E71" s="130"/>
    </row>
    <row r="72" spans="1:5" ht="90" hidden="1" x14ac:dyDescent="0.25">
      <c r="A72" s="5" t="str">
        <f>'MEDIÇÃO 02'!A78</f>
        <v>9.1</v>
      </c>
      <c r="B72" s="68" t="str">
        <f>'MEDIÇÃO 02'!C78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72" s="5" t="str">
        <f>'MEDIÇÃO 02'!E78</f>
        <v>UN</v>
      </c>
      <c r="D72" s="69"/>
      <c r="E72" s="5"/>
    </row>
    <row r="73" spans="1:5" ht="90" hidden="1" x14ac:dyDescent="0.25">
      <c r="A73" s="5" t="str">
        <f>'MEDIÇÃO 02'!A79</f>
        <v>9.2</v>
      </c>
      <c r="B73" s="68" t="str">
        <f>'MEDIÇÃO 02'!C79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73" s="5" t="str">
        <f>'MEDIÇÃO 02'!E79</f>
        <v>UN</v>
      </c>
      <c r="D73" s="69"/>
      <c r="E73" s="5"/>
    </row>
    <row r="74" spans="1:5" ht="90" hidden="1" x14ac:dyDescent="0.25">
      <c r="A74" s="5" t="str">
        <f>'MEDIÇÃO 02'!A80</f>
        <v>9.3</v>
      </c>
      <c r="B74" s="68" t="str">
        <f>'MEDIÇÃO 02'!C80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74" s="5" t="str">
        <f>'MEDIÇÃO 02'!E80</f>
        <v>UN</v>
      </c>
      <c r="D74" s="69"/>
      <c r="E74" s="5"/>
    </row>
    <row r="75" spans="1:5" ht="90" hidden="1" x14ac:dyDescent="0.25">
      <c r="A75" s="5" t="str">
        <f>'MEDIÇÃO 02'!A81</f>
        <v>9.4</v>
      </c>
      <c r="B75" s="68" t="str">
        <f>'MEDIÇÃO 02'!C81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75" s="5" t="str">
        <f>'MEDIÇÃO 02'!E81</f>
        <v>UN</v>
      </c>
      <c r="D75" s="69"/>
      <c r="E75" s="5"/>
    </row>
    <row r="76" spans="1:5" ht="45" hidden="1" x14ac:dyDescent="0.25">
      <c r="A76" s="5" t="str">
        <f>'MEDIÇÃO 02'!A82</f>
        <v>9.5</v>
      </c>
      <c r="B76" s="68" t="str">
        <f>'MEDIÇÃO 02'!C82</f>
        <v>PORTA EM ALUMÍNIO DE ABRIR TIPO VENEZIANA COM GUARNIÇÃO, FIXAÇÃO COM PARAFUSOS - FORNECIMENTO E INSTALAÇÃO. AF_12/2019</v>
      </c>
      <c r="C76" s="5" t="str">
        <f>'MEDIÇÃO 02'!E82</f>
        <v>M2</v>
      </c>
      <c r="D76" s="69"/>
      <c r="E76" s="5"/>
    </row>
    <row r="77" spans="1:5" ht="30" hidden="1" x14ac:dyDescent="0.25">
      <c r="A77" s="5" t="str">
        <f>'MEDIÇÃO 02'!A83</f>
        <v>9.6</v>
      </c>
      <c r="B77" s="68" t="str">
        <f>'MEDIÇÃO 02'!C83</f>
        <v>Janela basculante, moldura em barra chata de ferro 1x1/4, e cantoneira 1x1x1/4 - exclusive vidro</v>
      </c>
      <c r="C77" s="5" t="str">
        <f>'MEDIÇÃO 02'!E83</f>
        <v>m2</v>
      </c>
      <c r="D77" s="69"/>
      <c r="E77" s="5"/>
    </row>
    <row r="78" spans="1:5" hidden="1" x14ac:dyDescent="0.25">
      <c r="A78" s="5" t="str">
        <f>'MEDIÇÃO 02'!A84</f>
        <v>9.7</v>
      </c>
      <c r="B78" s="68" t="str">
        <f>'MEDIÇÃO 02'!C84</f>
        <v>Vidro fantasia canelado 4 mm</v>
      </c>
      <c r="C78" s="5" t="str">
        <f>'MEDIÇÃO 02'!E84</f>
        <v>m2</v>
      </c>
      <c r="D78" s="69"/>
      <c r="E78" s="5"/>
    </row>
    <row r="79" spans="1:5" ht="75" hidden="1" x14ac:dyDescent="0.25">
      <c r="A79" s="5" t="str">
        <f>'MEDIÇÃO 02'!A85</f>
        <v>9.8</v>
      </c>
      <c r="B79" s="68" t="str">
        <f>'MEDIÇÃO 02'!C85</f>
        <v>JANELA DE ALUMÍNIO DE CORRER COM 2 FOLHAS PARA VIDROS, COM VIDROS, BATENTE, ACABAMENTO COM ACETATO OU BRILHANTE E FERRAGENS. EXCLUSIVE ALIZAR E CONTRAMARCO. FORNECIMENTO E INSTALAÇÃO. AF_12/2019</v>
      </c>
      <c r="C79" s="5" t="str">
        <f>'MEDIÇÃO 02'!E85</f>
        <v>M2</v>
      </c>
      <c r="D79" s="69"/>
      <c r="E79" s="5"/>
    </row>
    <row r="80" spans="1:5" ht="60" hidden="1" x14ac:dyDescent="0.25">
      <c r="A80" s="5" t="str">
        <f>'MEDIÇÃO 02'!A86</f>
        <v>9.9</v>
      </c>
      <c r="B80" s="68" t="str">
        <f>'MEDIÇÃO 02'!C86</f>
        <v>JANELA DE ALUMÍNIO TIPO MAXIM-AR, COM VIDROS, BATENTE E FERRAGENS. EXCLUSIVE ALIZAR, ACABAMENTO E CONTRAMARCO. FORNECIMENTO E INSTALAÇÃO. AF_12/2019</v>
      </c>
      <c r="C80" s="5" t="str">
        <f>'MEDIÇÃO 02'!E86</f>
        <v>M2</v>
      </c>
      <c r="D80" s="69"/>
      <c r="E80" s="5"/>
    </row>
    <row r="81" spans="1:5" ht="60" hidden="1" x14ac:dyDescent="0.25">
      <c r="A81" s="5" t="str">
        <f>'MEDIÇÃO 02'!A87</f>
        <v>9.10</v>
      </c>
      <c r="B81" s="68" t="str">
        <f>'MEDIÇÃO 02'!C87</f>
        <v>Portão de ferro de abrir, quadro em tubo de aço galv.1 1/2", barra quadrada 1/2" na vertical e barra chata de 1 x 3/16" na horizontal, inclusive dobradiças e e ferrolho</v>
      </c>
      <c r="C81" s="5" t="str">
        <f>'MEDIÇÃO 02'!E87</f>
        <v>m2</v>
      </c>
      <c r="D81" s="69"/>
      <c r="E81" s="5"/>
    </row>
    <row r="82" spans="1:5" hidden="1" x14ac:dyDescent="0.25">
      <c r="A82" s="5" t="str">
        <f>'MEDIÇÃO 02'!A88</f>
        <v>9.11</v>
      </c>
      <c r="B82" s="68" t="str">
        <f>'MEDIÇÃO 02'!C88</f>
        <v>Grade ferro 1/2 x 1/2"</v>
      </c>
      <c r="C82" s="5" t="str">
        <f>'MEDIÇÃO 02'!E88</f>
        <v>m2</v>
      </c>
      <c r="D82" s="69"/>
      <c r="E82" s="5"/>
    </row>
    <row r="83" spans="1:5" ht="45" hidden="1" x14ac:dyDescent="0.25">
      <c r="A83" s="5" t="str">
        <f>'MEDIÇÃO 02'!A89</f>
        <v>9.12</v>
      </c>
      <c r="B83" s="68" t="str">
        <f>'MEDIÇÃO 02'!C89</f>
        <v>Divisória em granito cinza andorinha polido, e=2cm, inclusive montagem com ferragens - Rev 02</v>
      </c>
      <c r="C83" s="5" t="str">
        <f>'MEDIÇÃO 02'!E89</f>
        <v>m2</v>
      </c>
      <c r="D83" s="69"/>
      <c r="E83" s="5"/>
    </row>
    <row r="84" spans="1:5" hidden="1" x14ac:dyDescent="0.25">
      <c r="A84" s="5" t="str">
        <f>'MEDIÇÃO 02'!A90</f>
        <v>9.13</v>
      </c>
      <c r="B84" s="68" t="str">
        <f>'MEDIÇÃO 02'!C90</f>
        <v>Bancada em granito cinza andorinha, e=2cm</v>
      </c>
      <c r="C84" s="5" t="str">
        <f>'MEDIÇÃO 02'!E90</f>
        <v>m2</v>
      </c>
      <c r="D84" s="69"/>
      <c r="E84" s="5"/>
    </row>
    <row r="85" spans="1:5" hidden="1" x14ac:dyDescent="0.25">
      <c r="A85" s="5" t="str">
        <f>'MEDIÇÃO 02'!A91</f>
        <v>9.14</v>
      </c>
      <c r="B85" s="68" t="str">
        <f>'MEDIÇÃO 02'!C91</f>
        <v>Bandeira fixa em madeira para vidro</v>
      </c>
      <c r="C85" s="5" t="str">
        <f>'MEDIÇÃO 02'!E91</f>
        <v>m2</v>
      </c>
      <c r="D85" s="69"/>
      <c r="E85" s="5"/>
    </row>
    <row r="86" spans="1:5" hidden="1" x14ac:dyDescent="0.25">
      <c r="A86" s="14" t="str">
        <f>'MEDIÇÃO 02'!A93</f>
        <v>10</v>
      </c>
      <c r="B86" s="130" t="str">
        <f>'MEDIÇÃO 02'!B93:P93</f>
        <v>IMPERMEABILIZAÇÃO</v>
      </c>
      <c r="C86" s="130"/>
      <c r="D86" s="130"/>
      <c r="E86" s="130"/>
    </row>
    <row r="87" spans="1:5" ht="360" x14ac:dyDescent="0.25">
      <c r="A87" s="5" t="str">
        <f>'MEDIÇÃO 02'!A94</f>
        <v>10.1</v>
      </c>
      <c r="B87" s="68" t="str">
        <f>'MEDIÇÃO 02'!C94</f>
        <v>Impermeabilização com asfalto elastomérico c/armação de véu de poliéster, inclusive primer  (p/fundação)</v>
      </c>
      <c r="C87" s="5" t="str">
        <f>'MEDIÇÃO 02'!E94</f>
        <v>m2</v>
      </c>
      <c r="D87" s="68" t="s">
        <v>627</v>
      </c>
      <c r="E87" s="5">
        <f>17.805+2.55+2.55+2.445+4.8+1.53+29.7225+4.8+1.275+29.97+3.18+4.23+29.7225+6.195+1.275+29.97+7.965+14.5725+24.0375+14.4225+24.3675+24.3675+7.305</f>
        <v>289.0575</v>
      </c>
    </row>
    <row r="88" spans="1:5" ht="45" hidden="1" x14ac:dyDescent="0.25">
      <c r="A88" s="5" t="str">
        <f>'MEDIÇÃO 02'!A95</f>
        <v>10.2</v>
      </c>
      <c r="B88" s="68" t="str">
        <f>'MEDIÇÃO 02'!C95</f>
        <v>IMPERMEABILIZAÇÃO DE SUPERFÍCIE COM MANTA ASFÁLTICA, UMA CAMADA, INCLUSIVE APLICAÇÃO DE PRIMER ASFÁLTICO, E=3MM. AF_06/2018</v>
      </c>
      <c r="C88" s="5" t="str">
        <f>'MEDIÇÃO 02'!E95</f>
        <v>M2</v>
      </c>
      <c r="D88" s="69"/>
      <c r="E88" s="5"/>
    </row>
    <row r="89" spans="1:5" hidden="1" x14ac:dyDescent="0.25">
      <c r="A89" s="14" t="str">
        <f>'MEDIÇÃO 02'!A97</f>
        <v>11</v>
      </c>
      <c r="B89" s="130" t="str">
        <f>'MEDIÇÃO 02'!B97:P97</f>
        <v>INSTALAÇÃO DE COMBATE A INCÊNDIO</v>
      </c>
      <c r="C89" s="130"/>
      <c r="D89" s="130"/>
      <c r="E89" s="130"/>
    </row>
    <row r="90" spans="1:5" ht="45" hidden="1" x14ac:dyDescent="0.25">
      <c r="A90" s="5" t="str">
        <f>'MEDIÇÃO 02'!A98</f>
        <v>11.1</v>
      </c>
      <c r="B90" s="68" t="str">
        <f>'MEDIÇÃO 02'!C98</f>
        <v>EXTINTOR DE INCÊNDIO PORTÁTIL COM CARGA DE ÁGUA PRESSURIZADA DE 10 L, CLASSE A - FORNECIMENTO E INSTALAÇÃO. AF_10/2020_P</v>
      </c>
      <c r="C90" s="5" t="str">
        <f>'MEDIÇÃO 02'!E98</f>
        <v>UN</v>
      </c>
      <c r="D90" s="69"/>
      <c r="E90" s="5"/>
    </row>
    <row r="91" spans="1:5" ht="45" hidden="1" x14ac:dyDescent="0.25">
      <c r="A91" s="5" t="str">
        <f>'MEDIÇÃO 02'!A99</f>
        <v>11.2</v>
      </c>
      <c r="B91" s="68" t="str">
        <f>'MEDIÇÃO 02'!C99</f>
        <v>EXTINTOR DE INCÊNDIO PORTÁTIL COM CARGA DE PQS DE 4 KG, CLASSE BC - FORNECIMENTO E INSTALAÇÃO. AF_10/2020_P</v>
      </c>
      <c r="C91" s="5" t="str">
        <f>'MEDIÇÃO 02'!E99</f>
        <v>UN</v>
      </c>
      <c r="D91" s="69"/>
      <c r="E91" s="5"/>
    </row>
    <row r="92" spans="1:5" ht="45" hidden="1" x14ac:dyDescent="0.25">
      <c r="A92" s="5" t="str">
        <f>'MEDIÇÃO 02'!A100</f>
        <v>11.3</v>
      </c>
      <c r="B92" s="68" t="str">
        <f>'MEDIÇÃO 02'!C100</f>
        <v>Luminaria autônoma de emergencia com lâmapda halógena H3/12v, ref. Lux 110, da Luxtron ou similar - Rev.01</v>
      </c>
      <c r="C92" s="5" t="str">
        <f>'MEDIÇÃO 02'!E100</f>
        <v>un</v>
      </c>
      <c r="D92" s="69"/>
      <c r="E92" s="5"/>
    </row>
    <row r="93" spans="1:5" ht="60" hidden="1" x14ac:dyDescent="0.25">
      <c r="A93" s="5" t="str">
        <f>'MEDIÇÃO 02'!A101</f>
        <v>11.4</v>
      </c>
      <c r="B93" s="68" t="str">
        <f>'MEDIÇÃO 02'!C101</f>
        <v>Placa de sinalizacao de seguranca contra incendio, fotoluminescente, retangular, *12 x 40* cm, em pvc *2* mm anti-chamas (simbolos, cores e pictogramas conforme nbr 13434)</v>
      </c>
      <c r="C93" s="5" t="str">
        <f>'MEDIÇÃO 02'!E101</f>
        <v>Un</v>
      </c>
      <c r="D93" s="69"/>
      <c r="E93" s="5"/>
    </row>
    <row r="94" spans="1:5" ht="45" hidden="1" x14ac:dyDescent="0.25">
      <c r="A94" s="5" t="str">
        <f>'MEDIÇÃO 02'!A102</f>
        <v>11.5</v>
      </c>
      <c r="B94" s="68" t="str">
        <f>'MEDIÇÃO 02'!C102</f>
        <v>Placa de sinalizacao, fotoluminescente, em pvc , com logotipo "Extintor de incêndio portátil"- Placa E5</v>
      </c>
      <c r="C94" s="5" t="str">
        <f>'MEDIÇÃO 02'!E102</f>
        <v>un</v>
      </c>
      <c r="D94" s="69"/>
      <c r="E94" s="5"/>
    </row>
    <row r="95" spans="1:5" hidden="1" x14ac:dyDescent="0.25">
      <c r="A95" s="14" t="str">
        <f>'MEDIÇÃO 02'!A104</f>
        <v>12</v>
      </c>
      <c r="B95" s="130" t="str">
        <f>'MEDIÇÃO 02'!B104:P104</f>
        <v>INSTALAÇÕES ELÉTRICAS</v>
      </c>
      <c r="C95" s="130"/>
      <c r="D95" s="130"/>
      <c r="E95" s="130"/>
    </row>
    <row r="96" spans="1:5" hidden="1" x14ac:dyDescent="0.25">
      <c r="A96" s="5" t="str">
        <f>'MEDIÇÃO 02'!A105</f>
        <v>12.1</v>
      </c>
      <c r="B96" s="68" t="str">
        <f>'MEDIÇÃO 02'!C105</f>
        <v>CAIXA DE LIGAÇÃO PVC 4" X 2"</v>
      </c>
      <c r="C96" s="5" t="str">
        <f>'MEDIÇÃO 02'!E105</f>
        <v>UN</v>
      </c>
      <c r="D96" s="69"/>
      <c r="E96" s="5"/>
    </row>
    <row r="97" spans="1:5" ht="45" hidden="1" x14ac:dyDescent="0.25">
      <c r="A97" s="5" t="str">
        <f>'MEDIÇÃO 02'!A106</f>
        <v>12.2</v>
      </c>
      <c r="B97" s="68" t="str">
        <f>'MEDIÇÃO 02'!C106</f>
        <v>CAIXA SEXTAVADA 3" X 3", METÁLICA, INSTALADA EM LAJE - FORNECIMENTO E INSTALAÇÃO. AF_12/2015</v>
      </c>
      <c r="C97" s="5" t="str">
        <f>'MEDIÇÃO 02'!E106</f>
        <v>UN</v>
      </c>
      <c r="D97" s="69"/>
      <c r="E97" s="5"/>
    </row>
    <row r="98" spans="1:5" ht="60" hidden="1" x14ac:dyDescent="0.25">
      <c r="A98" s="5" t="str">
        <f>'MEDIÇÃO 02'!A107</f>
        <v>12.3</v>
      </c>
      <c r="B98" s="68" t="str">
        <f>'MEDIÇÃO 02'!C107</f>
        <v>CURVA 90 GRAUS PARA ELETRODUTO, PVC, ROSCÁVEL, DN 32 MM (1"), PARA CIRCUITOS TERMINAIS, INSTALADA EM PAREDE - FORNECIMENTO E INSTALAÇÃO. AF_12/2015</v>
      </c>
      <c r="C98" s="5" t="str">
        <f>'MEDIÇÃO 02'!E107</f>
        <v>UN</v>
      </c>
      <c r="D98" s="69"/>
      <c r="E98" s="5"/>
    </row>
    <row r="99" spans="1:5" ht="60" hidden="1" x14ac:dyDescent="0.25">
      <c r="A99" s="5" t="str">
        <f>'MEDIÇÃO 02'!A108</f>
        <v>12.4</v>
      </c>
      <c r="B99" s="68" t="str">
        <f>'MEDIÇÃO 02'!C108</f>
        <v>CURVA 90 GRAUS PARA ELETRODUTO, PVC, ROSCÁVEL, DN 40 MM (1 1/4"), PARA CIRCUITOS TERMINAIS, INSTALADA EM PAREDE - FORNECIMENTO E INSTALAÇÃO. AF_12/2015</v>
      </c>
      <c r="C99" s="5" t="str">
        <f>'MEDIÇÃO 02'!E108</f>
        <v>UN</v>
      </c>
      <c r="D99" s="69"/>
      <c r="E99" s="5"/>
    </row>
    <row r="100" spans="1:5" ht="60" hidden="1" x14ac:dyDescent="0.25">
      <c r="A100" s="5" t="str">
        <f>'MEDIÇÃO 02'!A109</f>
        <v>12.5</v>
      </c>
      <c r="B100" s="68" t="str">
        <f>'MEDIÇÃO 02'!C109</f>
        <v>ELETRODUTO FLEXÍVEL CORRUGADO REFORÇADO, PVC, DN 32 MM (1"), PARA CIRCUITOS TERMINAIS, INSTALADO EM PAREDE - FORNECIMENTO E INSTALAÇÃO. AF_12/2015</v>
      </c>
      <c r="C100" s="5" t="str">
        <f>'MEDIÇÃO 02'!E109</f>
        <v>M</v>
      </c>
      <c r="D100" s="69"/>
      <c r="E100" s="5"/>
    </row>
    <row r="101" spans="1:5" ht="60" hidden="1" x14ac:dyDescent="0.25">
      <c r="A101" s="5" t="str">
        <f>'MEDIÇÃO 02'!A110</f>
        <v>12.6</v>
      </c>
      <c r="B101" s="68" t="str">
        <f>'MEDIÇÃO 02'!C110</f>
        <v>ELETRODUTO FLEXÍVEL CORRUGADO, PEAD, DN 40 MM (1 1/4"), PARA CIRCUITOS TERMINAIS, INSTALADO EM PAREDE - FORNECIMENTO E INSTALAÇÃO. AF_12/2015</v>
      </c>
      <c r="C101" s="5" t="str">
        <f>'MEDIÇÃO 02'!E110</f>
        <v>M</v>
      </c>
      <c r="D101" s="69"/>
      <c r="E101" s="5"/>
    </row>
    <row r="102" spans="1:5" ht="60" hidden="1" x14ac:dyDescent="0.25">
      <c r="A102" s="5" t="str">
        <f>'MEDIÇÃO 02'!A111</f>
        <v>12.7</v>
      </c>
      <c r="B102" s="68" t="str">
        <f>'MEDIÇÃO 02'!C111</f>
        <v>ELETRODUTO FLEXÍVEL CORRUGADO REFORÇADO, PVC, DN 20 MM (1/2"), PARA CIRCUITOS TERMINAIS, INSTALADO EM PAREDE - FORNECIMENTO E INSTALAÇÃO. AF_12/2015</v>
      </c>
      <c r="C102" s="5" t="str">
        <f>'MEDIÇÃO 02'!E111</f>
        <v>M</v>
      </c>
      <c r="D102" s="69"/>
      <c r="E102" s="5"/>
    </row>
    <row r="103" spans="1:5" ht="45" hidden="1" x14ac:dyDescent="0.25">
      <c r="A103" s="5" t="str">
        <f>'MEDIÇÃO 02'!A112</f>
        <v>12.8</v>
      </c>
      <c r="B103" s="68" t="str">
        <f>'MEDIÇÃO 02'!C112</f>
        <v>ELETRODUTO RÍGIDO ROSCÁVEL, PVC, DN 50 MM (1 1/2") - FORNECIMENTO E INSTALAÇÃO. AF_12/2015</v>
      </c>
      <c r="C103" s="5" t="str">
        <f>'MEDIÇÃO 02'!E112</f>
        <v>M</v>
      </c>
      <c r="D103" s="69"/>
      <c r="E103" s="5"/>
    </row>
    <row r="104" spans="1:5" ht="60" hidden="1" x14ac:dyDescent="0.25">
      <c r="A104" s="5" t="str">
        <f>'MEDIÇÃO 02'!A113</f>
        <v>12.9</v>
      </c>
      <c r="B104" s="68" t="str">
        <f>'MEDIÇÃO 02'!C113</f>
        <v>ELETRODUTO RÍGIDO ROSCÁVEL, PVC, DN 40 MM (1 1/4"), PARA CIRCUITOS TERMINAIS, INSTALADO EM PAREDE - FORNECIMENTO E INSTALAÇÃO. AF_12/2015</v>
      </c>
      <c r="C104" s="5" t="str">
        <f>'MEDIÇÃO 02'!E113</f>
        <v>M</v>
      </c>
      <c r="D104" s="69"/>
      <c r="E104" s="5"/>
    </row>
    <row r="105" spans="1:5" ht="60" hidden="1" x14ac:dyDescent="0.25">
      <c r="A105" s="5" t="str">
        <f>'MEDIÇÃO 02'!A114</f>
        <v>12.10</v>
      </c>
      <c r="B105" s="68" t="str">
        <f>'MEDIÇÃO 02'!C114</f>
        <v>ELETRODUTO RÍGIDO ROSCÁVEL, PVC, DN 32 MM (1"), PARA CIRCUITOS TERMINAIS, INSTALADO EM PAREDE - FORNECIMENTO E INSTALAÇÃO. AF_12/2015</v>
      </c>
      <c r="C105" s="5" t="str">
        <f>'MEDIÇÃO 02'!E114</f>
        <v>M</v>
      </c>
      <c r="D105" s="69"/>
      <c r="E105" s="5"/>
    </row>
    <row r="106" spans="1:5" ht="60" hidden="1" x14ac:dyDescent="0.25">
      <c r="A106" s="5" t="str">
        <f>'MEDIÇÃO 02'!A115</f>
        <v>12.11</v>
      </c>
      <c r="B106" s="68" t="str">
        <f>'MEDIÇÃO 02'!C115</f>
        <v>LUVA PARA ELETRODUTO, PVC, ROSCÁVEL, DN 32 MM (1"), PARA CIRCUITOS TERMINAIS, INSTALADA EM FORRO - FORNECIMENTO E INSTALAÇÃO. AF_12/2015</v>
      </c>
      <c r="C106" s="5" t="str">
        <f>'MEDIÇÃO 02'!E115</f>
        <v>UN</v>
      </c>
      <c r="D106" s="69"/>
      <c r="E106" s="5"/>
    </row>
    <row r="107" spans="1:5" ht="60" hidden="1" x14ac:dyDescent="0.25">
      <c r="A107" s="5" t="str">
        <f>'MEDIÇÃO 02'!A116</f>
        <v>12.12</v>
      </c>
      <c r="B107" s="68" t="str">
        <f>'MEDIÇÃO 02'!C116</f>
        <v>LUVA PARA ELETRODUTO, PVC, ROSCÁVEL, DN 40 MM (1 1/4"), PARA CIRCUITOS TERMINAIS, INSTALADA EM FORRO - FORNECIMENTO E INSTALAÇÃO. AF_12/2015</v>
      </c>
      <c r="C107" s="5" t="str">
        <f>'MEDIÇÃO 02'!E116</f>
        <v>UN</v>
      </c>
      <c r="D107" s="69"/>
      <c r="E107" s="5"/>
    </row>
    <row r="108" spans="1:5" ht="45" hidden="1" x14ac:dyDescent="0.25">
      <c r="A108" s="5" t="str">
        <f>'MEDIÇÃO 02'!A117</f>
        <v>12.13</v>
      </c>
      <c r="B108" s="68" t="str">
        <f>'MEDIÇÃO 02'!C117</f>
        <v>LUVA PARA ELETRODUTO, PVC, ROSCÁVEL, DN 50 MM (1 1/2") - FORNECIMENTO E INSTALAÇÃO. AF_12/2015</v>
      </c>
      <c r="C108" s="5" t="str">
        <f>'MEDIÇÃO 02'!E117</f>
        <v>UN</v>
      </c>
      <c r="D108" s="69"/>
      <c r="E108" s="5"/>
    </row>
    <row r="109" spans="1:5" ht="75" hidden="1" x14ac:dyDescent="0.25">
      <c r="A109" s="5" t="str">
        <f>'MEDIÇÃO 02'!A118</f>
        <v>12.14</v>
      </c>
      <c r="B109" s="68" t="str">
        <f>'MEDIÇÃO 02'!C118</f>
        <v>QUADRO DE DISTRIBUIÇÃO DE ENERGIA EM CHAPA DE AÇO GALVANIZADO, DE EMBUTIR, COM BARRAMENTO TRIFÁSICO, PARA 24 DISJUNTORES DIN 100A - FORNECIMENTO E INSTALAÇÃO. AF_10/2020</v>
      </c>
      <c r="C109" s="5" t="str">
        <f>'MEDIÇÃO 02'!E118</f>
        <v>UN</v>
      </c>
      <c r="D109" s="69"/>
      <c r="E109" s="5"/>
    </row>
    <row r="110" spans="1:5" ht="75" hidden="1" x14ac:dyDescent="0.25">
      <c r="A110" s="5" t="str">
        <f>'MEDIÇÃO 02'!A119</f>
        <v>12.15</v>
      </c>
      <c r="B110" s="68" t="str">
        <f>'MEDIÇÃO 02'!C119</f>
        <v>QUADRO DE DISTRIBUIÇÃO DE ENERGIA EM CHAPA DE AÇO GALVANIZADO, DE SOBREPOR, COM BARRAMENTO TRIFÁSICO, PARA 18 DISJUNTORES DIN 100A - FORNECIMENTO E INSTALAÇÃO. AF_10/2020</v>
      </c>
      <c r="C110" s="5" t="str">
        <f>'MEDIÇÃO 02'!E119</f>
        <v>UN</v>
      </c>
      <c r="D110" s="69"/>
      <c r="E110" s="5"/>
    </row>
    <row r="111" spans="1:5" hidden="1" x14ac:dyDescent="0.25">
      <c r="A111" s="5" t="str">
        <f>'MEDIÇÃO 02'!A120</f>
        <v>12.16</v>
      </c>
      <c r="B111" s="68" t="str">
        <f>'MEDIÇÃO 02'!C120</f>
        <v>Tomada 2P + T - 10A</v>
      </c>
      <c r="C111" s="5" t="str">
        <f>'MEDIÇÃO 02'!E120</f>
        <v>PC</v>
      </c>
      <c r="D111" s="69"/>
      <c r="E111" s="5"/>
    </row>
    <row r="112" spans="1:5" ht="30" hidden="1" x14ac:dyDescent="0.25">
      <c r="A112" s="5" t="str">
        <f>'MEDIÇÃO 02'!A121</f>
        <v>12.17</v>
      </c>
      <c r="B112" s="68" t="str">
        <f>'MEDIÇÃO 02'!C121</f>
        <v>Tomada 2p+t, ABNT, 10 A, para piso, com placa em metal amarelo e caixa pvc</v>
      </c>
      <c r="C112" s="5" t="str">
        <f>'MEDIÇÃO 02'!E121</f>
        <v>un</v>
      </c>
      <c r="D112" s="69"/>
      <c r="E112" s="5"/>
    </row>
    <row r="113" spans="1:5" ht="45" hidden="1" x14ac:dyDescent="0.25">
      <c r="A113" s="5" t="str">
        <f>'MEDIÇÃO 02'!A122</f>
        <v>12.18</v>
      </c>
      <c r="B113" s="68" t="str">
        <f>'MEDIÇÃO 02'!C122</f>
        <v>TOMADA ALTA DE EMBUTIR (1 MÓDULO), 2P+T 10 A, INCLUINDO SUPORTE E PLACA - FORNECIMENTO E INSTALAÇÃO. AF_12/2015</v>
      </c>
      <c r="C113" s="5" t="str">
        <f>'MEDIÇÃO 02'!E122</f>
        <v>UN</v>
      </c>
      <c r="D113" s="69"/>
      <c r="E113" s="5"/>
    </row>
    <row r="114" spans="1:5" ht="60" hidden="1" x14ac:dyDescent="0.25">
      <c r="A114" s="5" t="str">
        <f>'MEDIÇÃO 02'!A123</f>
        <v>12.19</v>
      </c>
      <c r="B114" s="68" t="str">
        <f>'MEDIÇÃO 02'!C123</f>
        <v>INTERRUPTOR SIMPLES (1 MÓDULO) COM 1 TOMADA DE EMBUTIR 2P+T 10 A,  INCLUINDO SUPORTE E PLACA - FORNECIMENTO E INSTALAÇÃO. AF_12/2015</v>
      </c>
      <c r="C114" s="5" t="str">
        <f>'MEDIÇÃO 02'!E123</f>
        <v>UN</v>
      </c>
      <c r="D114" s="69"/>
      <c r="E114" s="5"/>
    </row>
    <row r="115" spans="1:5" ht="60" hidden="1" x14ac:dyDescent="0.25">
      <c r="A115" s="5" t="str">
        <f>'MEDIÇÃO 02'!A124</f>
        <v>12.20</v>
      </c>
      <c r="B115" s="68" t="str">
        <f>'MEDIÇÃO 02'!C124</f>
        <v>INTERRUPTOR SIMPLES (3 MÓDULOS) COM INTERRUPTOR PARALELO (1 MÓDULO), 10A/250V, INCLUINDO SUPORTE E PLACA - FORNECIMENTO E INSTALAÇÃO. AF_12/2015</v>
      </c>
      <c r="C115" s="5" t="str">
        <f>'MEDIÇÃO 02'!E124</f>
        <v>UN</v>
      </c>
      <c r="D115" s="69"/>
      <c r="E115" s="5"/>
    </row>
    <row r="116" spans="1:5" ht="60" hidden="1" x14ac:dyDescent="0.25">
      <c r="A116" s="5" t="str">
        <f>'MEDIÇÃO 02'!A125</f>
        <v>12.21</v>
      </c>
      <c r="B116" s="68" t="str">
        <f>'MEDIÇÃO 02'!C125</f>
        <v>LUMINÁRIA TIPO CALHA, DE SOBREPOR, COM 2 LÂMPADAS TUBULARES FLUORESCENTES DE 18 W, COM REATOR DE PARTIDA RÁPIDA - FORNECIMENTO E INSTALAÇÃO. AF_02/2020</v>
      </c>
      <c r="C116" s="5" t="str">
        <f>'MEDIÇÃO 02'!E125</f>
        <v>UN</v>
      </c>
      <c r="D116" s="69"/>
      <c r="E116" s="5"/>
    </row>
    <row r="117" spans="1:5" ht="60" hidden="1" x14ac:dyDescent="0.25">
      <c r="A117" s="5" t="str">
        <f>'MEDIÇÃO 02'!A126</f>
        <v>12.22</v>
      </c>
      <c r="B117" s="68" t="str">
        <f>'MEDIÇÃO 02'!C126</f>
        <v>LUMINÁRIA TIPO CALHA, DE SOBREPOR, COM 2 LÂMPADAS TUBULARES FLUORESCENTES DE 36 W, COM REATOR DE PARTIDA RÁPIDA - FORNECIMENTO E INSTALAÇÃO. AF_02/2020</v>
      </c>
      <c r="C117" s="5" t="str">
        <f>'MEDIÇÃO 02'!E126</f>
        <v>UN</v>
      </c>
      <c r="D117" s="69"/>
      <c r="E117" s="5"/>
    </row>
    <row r="118" spans="1:5" ht="60" hidden="1" x14ac:dyDescent="0.25">
      <c r="A118" s="5" t="str">
        <f>'MEDIÇÃO 02'!A127</f>
        <v>12.23</v>
      </c>
      <c r="B118" s="68" t="str">
        <f>'MEDIÇÃO 02'!C127</f>
        <v>CABO DE COBRE FLEXÍVEL ISOLADO, 16 MM², 0,6/1,0 KV, PARA REDE AÉREA DE DISTRIBUIÇÃO DE ENERGIA ELÉTRICA DE BAIXA TENSÃO - FORNECIMENTO E INSTALAÇÃO. AF_07/2020</v>
      </c>
      <c r="C118" s="5" t="str">
        <f>'MEDIÇÃO 02'!E127</f>
        <v>M</v>
      </c>
      <c r="D118" s="69"/>
      <c r="E118" s="5"/>
    </row>
    <row r="119" spans="1:5" ht="60" hidden="1" x14ac:dyDescent="0.25">
      <c r="A119" s="5" t="str">
        <f>'MEDIÇÃO 02'!A128</f>
        <v>12.24</v>
      </c>
      <c r="B119" s="68" t="str">
        <f>'MEDIÇÃO 02'!C128</f>
        <v>CABO DE COBRE FLEXÍVEL ISOLADO, 16 MM², 0,6/1,0 KV, PARA REDE AÉREA DE DISTRIBUIÇÃO DE ENERGIA ELÉTRICA DE BAIXA TENSÃO - FORNECIMENTO E INSTALAÇÃO. AF_07/2020</v>
      </c>
      <c r="C119" s="5" t="str">
        <f>'MEDIÇÃO 02'!E128</f>
        <v>M</v>
      </c>
      <c r="D119" s="69"/>
      <c r="E119" s="5"/>
    </row>
    <row r="120" spans="1:5" ht="60" hidden="1" x14ac:dyDescent="0.25">
      <c r="A120" s="5" t="str">
        <f>'MEDIÇÃO 02'!A129</f>
        <v>12.25</v>
      </c>
      <c r="B120" s="68" t="str">
        <f>'MEDIÇÃO 02'!C129</f>
        <v>CABO DE COBRE FLEXÍVEL ISOLADO, 16 MM², 0,6/1,0 KV, PARA REDE AÉREA DE DISTRIBUIÇÃO DE ENERGIA ELÉTRICA DE BAIXA TENSÃO - FORNECIMENTO E INSTALAÇÃO. AF_07/2020</v>
      </c>
      <c r="C120" s="5" t="str">
        <f>'MEDIÇÃO 02'!E129</f>
        <v>M</v>
      </c>
      <c r="D120" s="69"/>
      <c r="E120" s="5"/>
    </row>
    <row r="121" spans="1:5" ht="45" hidden="1" x14ac:dyDescent="0.25">
      <c r="A121" s="5" t="str">
        <f>'MEDIÇÃO 02'!A130</f>
        <v>12.26</v>
      </c>
      <c r="B121" s="68" t="str">
        <f>'MEDIÇÃO 02'!C130</f>
        <v>Disjuntor bipolar DR 25 A  - Dispositivo residual diferencial, tipo AC, 30MA, ref.5SM1 312-OMB, Siemens ou similar</v>
      </c>
      <c r="C121" s="5" t="str">
        <f>'MEDIÇÃO 02'!E130</f>
        <v>un</v>
      </c>
      <c r="D121" s="69"/>
      <c r="E121" s="5"/>
    </row>
    <row r="122" spans="1:5" ht="45" hidden="1" x14ac:dyDescent="0.25">
      <c r="A122" s="5" t="str">
        <f>'MEDIÇÃO 02'!A131</f>
        <v>12.27</v>
      </c>
      <c r="B122" s="68" t="str">
        <f>'MEDIÇÃO 02'!C131</f>
        <v>DISJUNTOR MONOPOLAR TIPO DIN, CORRENTE NOMINAL DE 25A - FORNECIMENTO E INSTALAÇÃO. AF_10/2020</v>
      </c>
      <c r="C122" s="5" t="str">
        <f>'MEDIÇÃO 02'!E131</f>
        <v>UN</v>
      </c>
      <c r="D122" s="69"/>
      <c r="E122" s="5"/>
    </row>
    <row r="123" spans="1:5" ht="45" hidden="1" x14ac:dyDescent="0.25">
      <c r="A123" s="5" t="str">
        <f>'MEDIÇÃO 02'!A132</f>
        <v>12.28</v>
      </c>
      <c r="B123" s="68" t="str">
        <f>'MEDIÇÃO 02'!C132</f>
        <v>DISJUNTOR MONOPOLAR TIPO DIN, CORRENTE NOMINAL DE 10A - FORNECIMENTO E INSTALAÇÃO. AF_10/2020</v>
      </c>
      <c r="C123" s="5" t="str">
        <f>'MEDIÇÃO 02'!E132</f>
        <v>UN</v>
      </c>
      <c r="D123" s="69"/>
      <c r="E123" s="5"/>
    </row>
    <row r="124" spans="1:5" ht="45" hidden="1" x14ac:dyDescent="0.25">
      <c r="A124" s="5" t="str">
        <f>'MEDIÇÃO 02'!A133</f>
        <v>12.29</v>
      </c>
      <c r="B124" s="68" t="str">
        <f>'MEDIÇÃO 02'!C133</f>
        <v>DISJUNTOR TRIPOLAR TIPO NEMA, CORRENTE NOMINAL DE 10 ATÉ 50A - FORNECIMENTO E INSTALAÇÃO. AF_10/2020</v>
      </c>
      <c r="C124" s="5" t="str">
        <f>'MEDIÇÃO 02'!E133</f>
        <v>UN</v>
      </c>
      <c r="D124" s="69"/>
      <c r="E124" s="5"/>
    </row>
    <row r="125" spans="1:5" ht="45" hidden="1" x14ac:dyDescent="0.25">
      <c r="A125" s="5" t="str">
        <f>'MEDIÇÃO 02'!A134</f>
        <v>12.30</v>
      </c>
      <c r="B125" s="68" t="str">
        <f>'MEDIÇÃO 02'!C134</f>
        <v>DISJUNTOR TRIPOLAR TIPO NEMA, CORRENTE NOMINAL DE 10 ATÉ 50A - FORNECIMENTO E INSTALAÇÃO. AF_10/2020</v>
      </c>
      <c r="C125" s="5" t="str">
        <f>'MEDIÇÃO 02'!E134</f>
        <v>UN</v>
      </c>
      <c r="D125" s="69"/>
      <c r="E125" s="5"/>
    </row>
    <row r="126" spans="1:5" ht="45" hidden="1" x14ac:dyDescent="0.25">
      <c r="A126" s="5" t="str">
        <f>'MEDIÇÃO 02'!A135</f>
        <v>12.31</v>
      </c>
      <c r="B126" s="68" t="str">
        <f>'MEDIÇÃO 02'!C135</f>
        <v>CABO DE COBRE FLEXÍVEL ISOLADO, 4 MM², ANTI-CHAMA 450/750 V, PARA CIRCUITOS TERMINAIS - FORNECIMENTO E INSTALAÇÃO. AF_12/2015</v>
      </c>
      <c r="C126" s="5" t="str">
        <f>'MEDIÇÃO 02'!E135</f>
        <v>M</v>
      </c>
      <c r="D126" s="69"/>
      <c r="E126" s="5"/>
    </row>
    <row r="127" spans="1:5" ht="45" hidden="1" x14ac:dyDescent="0.25">
      <c r="A127" s="5" t="str">
        <f>'MEDIÇÃO 02'!A136</f>
        <v>12.32</v>
      </c>
      <c r="B127" s="68" t="str">
        <f>'MEDIÇÃO 02'!C136</f>
        <v>CABO DE COBRE FLEXÍVEL ISOLADO, 1,5 MM², ANTI-CHAMA 450/750 V, PARA CIRCUITOS TERMINAIS - FORNECIMENTO E INSTALAÇÃO. AF_12/2015</v>
      </c>
      <c r="C127" s="5" t="str">
        <f>'MEDIÇÃO 02'!E136</f>
        <v>M</v>
      </c>
      <c r="D127" s="69"/>
      <c r="E127" s="5"/>
    </row>
    <row r="128" spans="1:5" ht="30" hidden="1" x14ac:dyDescent="0.25">
      <c r="A128" s="5" t="str">
        <f>'MEDIÇÃO 02'!A137</f>
        <v>12.33</v>
      </c>
      <c r="B128" s="68" t="str">
        <f>'MEDIÇÃO 02'!C137</f>
        <v>CAIXA PARA MEDIDOR TRIFÁSICO - PADRÃO ENERGISA</v>
      </c>
      <c r="C128" s="5" t="str">
        <f>'MEDIÇÃO 02'!E137</f>
        <v>pc</v>
      </c>
      <c r="D128" s="69"/>
      <c r="E128" s="5"/>
    </row>
    <row r="129" spans="1:5" ht="45" hidden="1" x14ac:dyDescent="0.25">
      <c r="A129" s="5" t="str">
        <f>'MEDIÇÃO 02'!A138</f>
        <v>12.34</v>
      </c>
      <c r="B129" s="68" t="str">
        <f>'MEDIÇÃO 02'!C138</f>
        <v>CAIXA DE INSPEÇÃO PARA ATERRAMENTO, CIRCULAR, EM POLIETILENO, DIÂMETRO INTERNO = 0,3 M. AF_12/2020</v>
      </c>
      <c r="C129" s="5" t="str">
        <f>'MEDIÇÃO 02'!E138</f>
        <v>UN</v>
      </c>
      <c r="D129" s="69"/>
      <c r="E129" s="5"/>
    </row>
    <row r="130" spans="1:5" ht="30" hidden="1" x14ac:dyDescent="0.25">
      <c r="A130" s="5" t="str">
        <f>'MEDIÇÃO 02'!A139</f>
        <v>12.35</v>
      </c>
      <c r="B130" s="68" t="str">
        <f>'MEDIÇÃO 02'!C139</f>
        <v>CAIXA PARA MEDIDOR TRIFÁSICO - PADRÃO ENERGISA</v>
      </c>
      <c r="C130" s="5" t="str">
        <f>'MEDIÇÃO 02'!E139</f>
        <v>PC</v>
      </c>
      <c r="D130" s="69"/>
      <c r="E130" s="5"/>
    </row>
    <row r="131" spans="1:5" hidden="1" x14ac:dyDescent="0.25">
      <c r="A131" s="5" t="str">
        <f>'MEDIÇÃO 02'!A140</f>
        <v>12.36</v>
      </c>
      <c r="B131" s="68" t="str">
        <f>'MEDIÇÃO 02'!C140</f>
        <v>Massa 3M para calafetação (fornecimento)</v>
      </c>
      <c r="C131" s="5" t="str">
        <f>'MEDIÇÃO 02'!E140</f>
        <v>kg</v>
      </c>
      <c r="D131" s="69"/>
      <c r="E131" s="5"/>
    </row>
    <row r="132" spans="1:5" ht="30" hidden="1" x14ac:dyDescent="0.25">
      <c r="A132" s="5" t="str">
        <f>'MEDIÇÃO 02'!A141</f>
        <v>12.37</v>
      </c>
      <c r="B132" s="68" t="str">
        <f>'MEDIÇÃO 02'!C141</f>
        <v>HASTE DE ATERRAMENTO 5/8  PARA SPDA - FORNECIMENTO E INSTALAÇÃO. AF_12/2017</v>
      </c>
      <c r="C132" s="5" t="str">
        <f>'MEDIÇÃO 02'!E141</f>
        <v>UN</v>
      </c>
      <c r="D132" s="69"/>
      <c r="E132" s="5"/>
    </row>
    <row r="133" spans="1:5" hidden="1" x14ac:dyDescent="0.25">
      <c r="A133" s="5" t="str">
        <f>'MEDIÇÃO 02'!A142</f>
        <v>12.38</v>
      </c>
      <c r="B133" s="68" t="str">
        <f>'MEDIÇÃO 02'!C142</f>
        <v>Fita isolante (rolo 20m) 3/4" - Fornecimento</v>
      </c>
      <c r="C133" s="5" t="str">
        <f>'MEDIÇÃO 02'!E142</f>
        <v>Un</v>
      </c>
      <c r="D133" s="69"/>
      <c r="E133" s="5"/>
    </row>
    <row r="134" spans="1:5" ht="45" hidden="1" x14ac:dyDescent="0.25">
      <c r="A134" s="5" t="str">
        <f>'MEDIÇÃO 02'!A143</f>
        <v>12.39</v>
      </c>
      <c r="B134" s="68" t="str">
        <f>'MEDIÇÃO 02'!C143</f>
        <v>CABO DE COBRE FLEXÍVEL ISOLADO, 2,5 MM², ANTI-CHAMA 450/750 V, PARA CIRCUITOS TERMINAIS - FORNECIMENTO E INSTALAÇÃO. AF_12/2015</v>
      </c>
      <c r="C134" s="5" t="str">
        <f>'MEDIÇÃO 02'!E143</f>
        <v>M</v>
      </c>
      <c r="D134" s="69"/>
      <c r="E134" s="5"/>
    </row>
    <row r="135" spans="1:5" ht="45" hidden="1" x14ac:dyDescent="0.25">
      <c r="A135" s="5" t="str">
        <f>'MEDIÇÃO 02'!A144</f>
        <v>12.40</v>
      </c>
      <c r="B135" s="68" t="str">
        <f>'MEDIÇÃO 02'!C144</f>
        <v>CABO DE COBRE FLEXÍVEL ISOLADO, 1,5 MM², ANTI-CHAMA 450/750 V, PARA CIRCUITOS TERMINAIS - FORNECIMENTO E INSTALAÇÃO. AF_12/2015</v>
      </c>
      <c r="C135" s="5" t="str">
        <f>'MEDIÇÃO 02'!E144</f>
        <v>M</v>
      </c>
      <c r="D135" s="69"/>
      <c r="E135" s="5"/>
    </row>
    <row r="136" spans="1:5" ht="45" hidden="1" x14ac:dyDescent="0.25">
      <c r="A136" s="5" t="str">
        <f>'MEDIÇÃO 02'!A145</f>
        <v>12.41</v>
      </c>
      <c r="B136" s="68" t="str">
        <f>'MEDIÇÃO 02'!C145</f>
        <v>CABO DE COBRE FLEXÍVEL ISOLADO, 2,5 MM², ANTI-CHAMA 450/750 V, PARA CIRCUITOS TERMINAIS - FORNECIMENTO E INSTALAÇÃO. AF_12/2015</v>
      </c>
      <c r="C136" s="5" t="str">
        <f>'MEDIÇÃO 02'!E145</f>
        <v>M</v>
      </c>
      <c r="D136" s="69"/>
      <c r="E136" s="5"/>
    </row>
    <row r="137" spans="1:5" ht="45" hidden="1" x14ac:dyDescent="0.25">
      <c r="A137" s="5" t="str">
        <f>'MEDIÇÃO 02'!A146</f>
        <v>12.42</v>
      </c>
      <c r="B137" s="68" t="str">
        <f>'MEDIÇÃO 02'!C146</f>
        <v>CABO DE COBRE FLEXÍVEL ISOLADO, 2,5 MM², ANTI-CHAMA 450/750 V, PARA CIRCUITOS TERMINAIS - FORNECIMENTO E INSTALAÇÃO. AF_12/2015</v>
      </c>
      <c r="C137" s="5" t="str">
        <f>'MEDIÇÃO 02'!E146</f>
        <v>M</v>
      </c>
      <c r="D137" s="69"/>
      <c r="E137" s="5"/>
    </row>
    <row r="138" spans="1:5" ht="90" hidden="1" x14ac:dyDescent="0.25">
      <c r="A138" s="5" t="str">
        <f>'MEDIÇÃO 02'!A147</f>
        <v>12.43</v>
      </c>
      <c r="B138" s="68" t="str">
        <f>'MEDIÇÃO 02'!C147</f>
        <v>KIT DE PORTA DE MADEIRA FRISADA, SEMI-OCA (LEVE OU MÉDIA), PADRÃO POPULAR, 80X210CM, ESPESSURA DE 3,5CM, ITENS INCLUSOS: DOBRADIÇAS, MONTAGEM E INSTALAÇÃO DO BATENTE, SEM FECHADURA - FORNECIMENTO E INSTALAÇÃO. AF_12/2019</v>
      </c>
      <c r="C138" s="5" t="str">
        <f>'MEDIÇÃO 02'!E147</f>
        <v>M</v>
      </c>
      <c r="D138" s="69"/>
      <c r="E138" s="5"/>
    </row>
    <row r="139" spans="1:5" ht="45" hidden="1" x14ac:dyDescent="0.25">
      <c r="A139" s="5" t="str">
        <f>'MEDIÇÃO 02'!A148</f>
        <v>12.44</v>
      </c>
      <c r="B139" s="68" t="str">
        <f>'MEDIÇÃO 02'!C148</f>
        <v>CABO DE COBRE FLEXÍVEL ISOLADO, 10 MM², ANTI-CHAMA 0,6/1,0 KV, PARA CIRCUITOS TERMINAIS - FORNECIMENTO E INSTALAÇÃO. AF_12/2015</v>
      </c>
      <c r="C139" s="5" t="str">
        <f>'MEDIÇÃO 02'!E148</f>
        <v>M</v>
      </c>
      <c r="D139" s="69"/>
      <c r="E139" s="5"/>
    </row>
    <row r="140" spans="1:5" ht="45" hidden="1" x14ac:dyDescent="0.25">
      <c r="A140" s="5" t="str">
        <f>'MEDIÇÃO 02'!A149</f>
        <v>12.45</v>
      </c>
      <c r="B140" s="68" t="str">
        <f>'MEDIÇÃO 02'!C149</f>
        <v>CABO DE COBRE FLEXÍVEL ISOLADO, 10 MM², ANTI-CHAMA 0,6/1,0 KV, PARA CIRCUITOS TERMINAIS - FORNECIMENTO E INSTALAÇÃO. AF_12/2015</v>
      </c>
      <c r="C140" s="5" t="str">
        <f>'MEDIÇÃO 02'!E149</f>
        <v>M</v>
      </c>
      <c r="D140" s="69"/>
      <c r="E140" s="5"/>
    </row>
    <row r="141" spans="1:5" ht="60" hidden="1" x14ac:dyDescent="0.25">
      <c r="A141" s="5" t="str">
        <f>'MEDIÇÃO 02'!A150</f>
        <v>12.46</v>
      </c>
      <c r="B141" s="68" t="str">
        <f>'MEDIÇÃO 02'!C150</f>
        <v>INTERRUPTOR SIMPLES (1 MÓDULO) COM 1 TOMADA DE EMBUTIR 2P+T 10 A,  INCLUINDO SUPORTE E PLACA - FORNECIMENTO E INSTALAÇÃO. AF_12/2015</v>
      </c>
      <c r="C141" s="5" t="str">
        <f>'MEDIÇÃO 02'!E150</f>
        <v>UN</v>
      </c>
      <c r="D141" s="69"/>
      <c r="E141" s="5"/>
    </row>
    <row r="142" spans="1:5" ht="60" hidden="1" x14ac:dyDescent="0.25">
      <c r="A142" s="5" t="str">
        <f>'MEDIÇÃO 02'!A151</f>
        <v>12.47</v>
      </c>
      <c r="B142" s="68" t="str">
        <f>'MEDIÇÃO 02'!C151</f>
        <v>INTERRUPTOR SIMPLES (1 MÓDULO) COM 1 TOMADA DE EMBUTIR 2P+T 10 A,  SEM SUPORTE E SEM PLACA - FORNECIMENTO E INSTALAÇÃO. AF_12/2015</v>
      </c>
      <c r="C142" s="5" t="str">
        <f>'MEDIÇÃO 02'!E151</f>
        <v>UN</v>
      </c>
      <c r="D142" s="69"/>
      <c r="E142" s="5"/>
    </row>
    <row r="143" spans="1:5" hidden="1" x14ac:dyDescent="0.25">
      <c r="A143" s="14" t="str">
        <f>'MEDIÇÃO 02'!A153</f>
        <v>13</v>
      </c>
      <c r="B143" s="130" t="str">
        <f>'MEDIÇÃO 02'!B153:P153</f>
        <v>INSTALAÇÕES HIDRO-SANITÁRIA</v>
      </c>
      <c r="C143" s="130"/>
      <c r="D143" s="130"/>
      <c r="E143" s="130"/>
    </row>
    <row r="144" spans="1:5" ht="60" hidden="1" x14ac:dyDescent="0.25">
      <c r="A144" s="5" t="str">
        <f>'MEDIÇÃO 02'!A154</f>
        <v>13.1</v>
      </c>
      <c r="B144" s="68" t="str">
        <f>'MEDIÇÃO 02'!C154</f>
        <v>CAIXA SIFONADA, PVC, DN 100 X 100 X 50 MM, JUNTA ELÁSTICA, FORNECIDA E INSTALADA EM RAMAL DE DESCARGA OU EM RAMAL DE ESGOTO SANITÁRIO. AF_12/2014</v>
      </c>
      <c r="C144" s="5" t="str">
        <f>'MEDIÇÃO 02'!E154</f>
        <v>UN</v>
      </c>
      <c r="D144" s="69"/>
      <c r="E144" s="5"/>
    </row>
    <row r="145" spans="1:5" ht="30" hidden="1" x14ac:dyDescent="0.25">
      <c r="A145" s="5" t="str">
        <f>'MEDIÇÃO 02'!A155</f>
        <v>13.2</v>
      </c>
      <c r="B145" s="68" t="str">
        <f>'MEDIÇÃO 02'!C155</f>
        <v>CAIXA SIFONADA, PVC, 150 X 150 X 50 MM, COM GRELHA QUADRADA, BRANCA (NBR 5688)</v>
      </c>
      <c r="C145" s="5" t="str">
        <f>'MEDIÇÃO 02'!E155</f>
        <v>UN</v>
      </c>
      <c r="D145" s="69"/>
      <c r="E145" s="5"/>
    </row>
    <row r="146" spans="1:5" ht="60" hidden="1" x14ac:dyDescent="0.25">
      <c r="A146" s="5" t="str">
        <f>'MEDIÇÃO 02'!A156</f>
        <v>13.3</v>
      </c>
      <c r="B146" s="68" t="str">
        <f>'MEDIÇÃO 02'!C156</f>
        <v>RALO SECO, PVC, DN 100 X 40 MM, JUNTA SOLDÁVEL, FORNECIDO E INSTALADO EM RAMAL DE DESCARGA OU EM RAMAL DE ESGOTO SANITÁRIO. AF_12/2014</v>
      </c>
      <c r="C146" s="5" t="str">
        <f>'MEDIÇÃO 02'!E156</f>
        <v>UN</v>
      </c>
      <c r="D146" s="69"/>
      <c r="E146" s="5"/>
    </row>
    <row r="147" spans="1:5" ht="60" hidden="1" x14ac:dyDescent="0.25">
      <c r="A147" s="5" t="str">
        <f>'MEDIÇÃO 02'!A157</f>
        <v>13.4</v>
      </c>
      <c r="B147" s="68" t="str">
        <f>'MEDIÇÃO 02'!C157</f>
        <v>CAIXA ENTERRADA HIDRÁULICA RETANGULAR EM ALVENARIA COM TIJOLOS CERÂMICOS MACIÇOS, DIMENSÕES INTERNAS: 0,6X0,6X0,6 M PARA REDE DE ESGOTO. AF_12/2020</v>
      </c>
      <c r="C147" s="5" t="str">
        <f>'MEDIÇÃO 02'!E157</f>
        <v>UN</v>
      </c>
      <c r="D147" s="69"/>
      <c r="E147" s="5"/>
    </row>
    <row r="148" spans="1:5" ht="30" hidden="1" x14ac:dyDescent="0.25">
      <c r="A148" s="5" t="str">
        <f>'MEDIÇÃO 02'!A158</f>
        <v>13.5</v>
      </c>
      <c r="B148" s="68" t="str">
        <f>'MEDIÇÃO 02'!C158</f>
        <v>BUCHA DE REDUCAO DE PVC, SOLDAVEL, CURTA, COM 60 X 50 MM, PARA AGUA FRIA PREDIAL</v>
      </c>
      <c r="C148" s="5" t="str">
        <f>'MEDIÇÃO 02'!E158</f>
        <v>UN</v>
      </c>
      <c r="D148" s="69"/>
      <c r="E148" s="5"/>
    </row>
    <row r="149" spans="1:5" ht="30" hidden="1" x14ac:dyDescent="0.25">
      <c r="A149" s="5" t="str">
        <f>'MEDIÇÃO 02'!A159</f>
        <v>13.6</v>
      </c>
      <c r="B149" s="68" t="str">
        <f>'MEDIÇÃO 02'!C159</f>
        <v>BUCHA DE REDUCAO DE PVC, SOLDAVEL, CURTA, COM 25 X 20 MM, PARA AGUA FRIA PREDIAL</v>
      </c>
      <c r="C149" s="5" t="str">
        <f>'MEDIÇÃO 02'!E159</f>
        <v>UN</v>
      </c>
      <c r="D149" s="69"/>
      <c r="E149" s="5"/>
    </row>
    <row r="150" spans="1:5" ht="30" hidden="1" x14ac:dyDescent="0.25">
      <c r="A150" s="5" t="str">
        <f>'MEDIÇÃO 02'!A160</f>
        <v>13.7</v>
      </c>
      <c r="B150" s="68" t="str">
        <f>'MEDIÇÃO 02'!C160</f>
        <v>BUCHA DE REDUCAO DE PVC, SOLDAVEL, LONGA, COM 50 X 25 MM, PARA AGUA FRIA PREDIAL</v>
      </c>
      <c r="C150" s="5" t="str">
        <f>'MEDIÇÃO 02'!E160</f>
        <v>UN</v>
      </c>
      <c r="D150" s="69"/>
      <c r="E150" s="5"/>
    </row>
    <row r="151" spans="1:5" ht="30" hidden="1" x14ac:dyDescent="0.25">
      <c r="A151" s="5" t="str">
        <f>'MEDIÇÃO 02'!A161</f>
        <v>13.8</v>
      </c>
      <c r="B151" s="68" t="str">
        <f>'MEDIÇÃO 02'!C161</f>
        <v>BUCHA DE REDUCAO DE PVC, SOLDAVEL, LONGA, COM 50 X 32 MM, PARA AGUA FRIA PREDIAL</v>
      </c>
      <c r="C151" s="5" t="str">
        <f>'MEDIÇÃO 02'!E161</f>
        <v>UN</v>
      </c>
      <c r="D151" s="69"/>
      <c r="E151" s="5"/>
    </row>
    <row r="152" spans="1:5" ht="45" hidden="1" x14ac:dyDescent="0.25">
      <c r="A152" s="5" t="str">
        <f>'MEDIÇÃO 02'!A162</f>
        <v>13.9</v>
      </c>
      <c r="B152" s="68" t="str">
        <f>'MEDIÇÃO 02'!C162</f>
        <v>JOELHO 90 GRAUS, PVC, SOLDÁVEL, DN 25MM, INSTALADO EM RAMAL OU SUB-RAMAL DE ÁGUA - FORNECIMENTO E INSTALAÇÃO. AF_12/2014</v>
      </c>
      <c r="C152" s="5" t="str">
        <f>'MEDIÇÃO 02'!E162</f>
        <v>UN</v>
      </c>
      <c r="D152" s="69"/>
      <c r="E152" s="5"/>
    </row>
    <row r="153" spans="1:5" ht="45" hidden="1" x14ac:dyDescent="0.25">
      <c r="A153" s="5" t="str">
        <f>'MEDIÇÃO 02'!A163</f>
        <v>13.10</v>
      </c>
      <c r="B153" s="68" t="str">
        <f>'MEDIÇÃO 02'!C163</f>
        <v>JOELHO 90 GRAUS, PVC, SOLDÁVEL, DN 50MM, INSTALADO EM PRUMADA DE ÁGUA - FORNECIMENTO E INSTALAÇÃO. AF_12/2014</v>
      </c>
      <c r="C153" s="5" t="str">
        <f>'MEDIÇÃO 02'!E163</f>
        <v>UN</v>
      </c>
      <c r="D153" s="69"/>
      <c r="E153" s="5"/>
    </row>
    <row r="154" spans="1:5" ht="45" hidden="1" x14ac:dyDescent="0.25">
      <c r="A154" s="5" t="str">
        <f>'MEDIÇÃO 02'!A164</f>
        <v>13.11</v>
      </c>
      <c r="B154" s="68" t="str">
        <f>'MEDIÇÃO 02'!C164</f>
        <v>Joelho 90 graus com bucha de latão, pvc, soldável, dn 25mm, x 3/4? instalado em ramal ou sub-ramal de água - fornecimento e instalação. af_12/2014</v>
      </c>
      <c r="C154" s="5" t="str">
        <f>'MEDIÇÃO 02'!E164</f>
        <v>UN</v>
      </c>
      <c r="D154" s="69"/>
      <c r="E154" s="5"/>
    </row>
    <row r="155" spans="1:5" ht="45" hidden="1" x14ac:dyDescent="0.25">
      <c r="A155" s="5" t="str">
        <f>'MEDIÇÃO 02'!A165</f>
        <v>13.12</v>
      </c>
      <c r="B155" s="68" t="str">
        <f>'MEDIÇÃO 02'!C165</f>
        <v>LUVA DE REDUÇÃO, PVC, SOLDÁVEL, DN 50MM X 25MM, INSTALADO EM PRUMADA DE ÁGUA   FORNECIMENTO E INSTALAÇÃO. AF_12/2014</v>
      </c>
      <c r="C155" s="5" t="str">
        <f>'MEDIÇÃO 02'!E165</f>
        <v>UN</v>
      </c>
      <c r="D155" s="69"/>
      <c r="E155" s="5"/>
    </row>
    <row r="156" spans="1:5" ht="45" hidden="1" x14ac:dyDescent="0.25">
      <c r="A156" s="5" t="str">
        <f>'MEDIÇÃO 02'!A166</f>
        <v>13.13</v>
      </c>
      <c r="B156" s="68" t="str">
        <f>'MEDIÇÃO 02'!C166</f>
        <v>TÊ DE REDUÇÃO, PVC, SOLDÁVEL, DN 50MM X 25MM, INSTALADO EM PRUMADA DE ÁGUA - FORNECIMENTO E INSTALAÇÃO. AF_12/2014</v>
      </c>
      <c r="C156" s="5" t="str">
        <f>'MEDIÇÃO 02'!E166</f>
        <v>UN</v>
      </c>
      <c r="D156" s="69"/>
      <c r="E156" s="5"/>
    </row>
    <row r="157" spans="1:5" ht="45" hidden="1" x14ac:dyDescent="0.25">
      <c r="A157" s="5" t="str">
        <f>'MEDIÇÃO 02'!A167</f>
        <v>13.14</v>
      </c>
      <c r="B157" s="68" t="str">
        <f>'MEDIÇÃO 02'!C167</f>
        <v>TE, PVC, SOLDÁVEL, DN 20MM, INSTALADO EM RAMAL OU SUB-RAMAL DE ÁGUA - FORNECIMENTO E INSTALAÇÃO. AF_12/2014</v>
      </c>
      <c r="C157" s="5" t="str">
        <f>'MEDIÇÃO 02'!E167</f>
        <v>UN</v>
      </c>
      <c r="D157" s="69"/>
      <c r="E157" s="5"/>
    </row>
    <row r="158" spans="1:5" ht="45" hidden="1" x14ac:dyDescent="0.25">
      <c r="A158" s="5" t="str">
        <f>'MEDIÇÃO 02'!A168</f>
        <v>13.15</v>
      </c>
      <c r="B158" s="68" t="str">
        <f>'MEDIÇÃO 02'!C168</f>
        <v>TE, PVC, SOLDÁVEL, DN 25MM, INSTALADO EM RAMAL OU SUB-RAMAL DE ÁGUA - FORNECIMENTO E INSTALAÇÃO. AF_12/2014</v>
      </c>
      <c r="C158" s="5" t="str">
        <f>'MEDIÇÃO 02'!E168</f>
        <v>UN</v>
      </c>
      <c r="D158" s="69"/>
      <c r="E158" s="5"/>
    </row>
    <row r="159" spans="1:5" ht="45" hidden="1" x14ac:dyDescent="0.25">
      <c r="A159" s="5" t="str">
        <f>'MEDIÇÃO 02'!A169</f>
        <v>13.16</v>
      </c>
      <c r="B159" s="68" t="str">
        <f>'MEDIÇÃO 02'!C169</f>
        <v>TE, PVC, SOLDÁVEL, DN 50MM, INSTALADO EM PRUMADA DE ÁGUA - FORNECIMENTO E INSTALAÇÃO. AF_12/2014</v>
      </c>
      <c r="C159" s="5" t="str">
        <f>'MEDIÇÃO 02'!E169</f>
        <v>UN</v>
      </c>
      <c r="D159" s="69"/>
      <c r="E159" s="5"/>
    </row>
    <row r="160" spans="1:5" ht="60" hidden="1" x14ac:dyDescent="0.25">
      <c r="A160" s="5" t="str">
        <f>'MEDIÇÃO 02'!A170</f>
        <v>13.17</v>
      </c>
      <c r="B160" s="68" t="str">
        <f>'MEDIÇÃO 02'!C170</f>
        <v>TÊ COM BUCHA DE LATÃO NA BOLSA CENTRAL, PVC, SOLDÁVEL, DN 25MM X 3/4?, INSTALADO EM RAMAL OU SUB-RAMAL DE ÁGUA - FORNECIMENTO E INSTALAÇÃO. AF_03/2015</v>
      </c>
      <c r="C160" s="5" t="str">
        <f>'MEDIÇÃO 02'!E170</f>
        <v>UN</v>
      </c>
      <c r="D160" s="69"/>
      <c r="E160" s="5"/>
    </row>
    <row r="161" spans="1:5" ht="45" hidden="1" x14ac:dyDescent="0.25">
      <c r="A161" s="5" t="str">
        <f>'MEDIÇÃO 02'!A171</f>
        <v>13.18</v>
      </c>
      <c r="B161" s="68" t="str">
        <f>'MEDIÇÃO 02'!C171</f>
        <v>TUBO, PVC, SOLDÁVEL, DN 20MM, INSTALADO EM RAMAL DE DISTRIBUIÇÃO DE ÁGUA - FORNECIMENTO E INSTALAÇÃO. AF_12/2014</v>
      </c>
      <c r="C161" s="5" t="str">
        <f>'MEDIÇÃO 02'!E171</f>
        <v>M</v>
      </c>
      <c r="D161" s="69"/>
      <c r="E161" s="5"/>
    </row>
    <row r="162" spans="1:5" ht="45" hidden="1" x14ac:dyDescent="0.25">
      <c r="A162" s="5" t="str">
        <f>'MEDIÇÃO 02'!A172</f>
        <v>13.19</v>
      </c>
      <c r="B162" s="68" t="str">
        <f>'MEDIÇÃO 02'!C172</f>
        <v>TUBO, PVC, SOLDÁVEL, DN 25MM, INSTALADO EM PRUMADA DE ÁGUA - FORNECIMENTO E INSTALAÇÃO. AF_12/2014</v>
      </c>
      <c r="C162" s="5" t="str">
        <f>'MEDIÇÃO 02'!E172</f>
        <v>M</v>
      </c>
      <c r="D162" s="69"/>
      <c r="E162" s="5"/>
    </row>
    <row r="163" spans="1:5" ht="45" hidden="1" x14ac:dyDescent="0.25">
      <c r="A163" s="5" t="str">
        <f>'MEDIÇÃO 02'!A173</f>
        <v>13.20</v>
      </c>
      <c r="B163" s="68" t="str">
        <f>'MEDIÇÃO 02'!C173</f>
        <v>TUBO, PVC, SOLDÁVEL, DN 50MM, INSTALADO EM PRUMADA DE ÁGUA - FORNECIMENTO E INSTALAÇÃO. AF_12/2014</v>
      </c>
      <c r="C163" s="5" t="str">
        <f>'MEDIÇÃO 02'!E173</f>
        <v>M</v>
      </c>
      <c r="D163" s="69"/>
      <c r="E163" s="5"/>
    </row>
    <row r="164" spans="1:5" ht="60" hidden="1" x14ac:dyDescent="0.25">
      <c r="A164" s="5" t="str">
        <f>'MEDIÇÃO 02'!A174</f>
        <v>13.21</v>
      </c>
      <c r="B164" s="68" t="str">
        <f>'MEDIÇÃO 02'!C174</f>
        <v>TUBO PVC, SERIE NORMAL, ESGOTO PREDIAL, DN 40 MM, FORNECIDO E INSTALADO EM RAMAL DE DESCARGA OU RAMAL DE ESGOTO SANITÁRIO. AF_12/2014</v>
      </c>
      <c r="C164" s="5" t="str">
        <f>'MEDIÇÃO 02'!E174</f>
        <v>M</v>
      </c>
      <c r="D164" s="69"/>
      <c r="E164" s="5"/>
    </row>
    <row r="165" spans="1:5" ht="60" hidden="1" x14ac:dyDescent="0.25">
      <c r="A165" s="5" t="str">
        <f>'MEDIÇÃO 02'!A175</f>
        <v>13.22</v>
      </c>
      <c r="B165" s="68" t="str">
        <f>'MEDIÇÃO 02'!C175</f>
        <v>TUBO PVC, SERIE NORMAL, ESGOTO PREDIAL, DN 50 MM, FORNECIDO E INSTALADO EM PRUMADA DE ESGOTO SANITÁRIO OU VENTILAÇÃO. AF_12/2014</v>
      </c>
      <c r="C165" s="5" t="str">
        <f>'MEDIÇÃO 02'!E175</f>
        <v>M</v>
      </c>
      <c r="D165" s="69"/>
      <c r="E165" s="5"/>
    </row>
    <row r="166" spans="1:5" ht="60" hidden="1" x14ac:dyDescent="0.25">
      <c r="A166" s="5" t="str">
        <f>'MEDIÇÃO 02'!A176</f>
        <v>13.23</v>
      </c>
      <c r="B166" s="68" t="str">
        <f>'MEDIÇÃO 02'!C176</f>
        <v>TUBO PVC, SERIE NORMAL, ESGOTO PREDIAL, DN 100 MM, FORNECIDO E INSTALADO EM PRUMADA DE ESGOTO SANITÁRIO OU VENTILAÇÃO. AF_12/2014</v>
      </c>
      <c r="C166" s="5" t="str">
        <f>'MEDIÇÃO 02'!E176</f>
        <v>M</v>
      </c>
      <c r="D166" s="69"/>
      <c r="E166" s="5"/>
    </row>
    <row r="167" spans="1:5" ht="60" hidden="1" x14ac:dyDescent="0.25">
      <c r="A167" s="5" t="str">
        <f>'MEDIÇÃO 02'!A177</f>
        <v>13.24</v>
      </c>
      <c r="B167" s="68" t="str">
        <f>'MEDIÇÃO 02'!C177</f>
        <v>VASO SANITÁRIO SIFONADO COM CAIXA ACOPLADA LOUÇA BRANCA, INCLUSO ENGATE FLEXÍVEL EM PLÁSTICO BRANCO, 1/2  X 40CM - FORNECIMENTO E INSTALAÇÃO. AF_01/2020</v>
      </c>
      <c r="C167" s="5" t="str">
        <f>'MEDIÇÃO 02'!E177</f>
        <v>UN</v>
      </c>
      <c r="D167" s="69"/>
      <c r="E167" s="5"/>
    </row>
    <row r="168" spans="1:5" ht="30" hidden="1" x14ac:dyDescent="0.25">
      <c r="A168" s="5" t="str">
        <f>'MEDIÇÃO 02'!A178</f>
        <v>13.25</v>
      </c>
      <c r="B168" s="68" t="str">
        <f>'MEDIÇÃO 02'!C178</f>
        <v>ASSENTO SANITARIO DE PLASTICO, TIPO CONVENCIONAL</v>
      </c>
      <c r="C168" s="5" t="str">
        <f>'MEDIÇÃO 02'!E178</f>
        <v>UN</v>
      </c>
      <c r="D168" s="69"/>
      <c r="E168" s="5"/>
    </row>
    <row r="169" spans="1:5" ht="30" hidden="1" x14ac:dyDescent="0.25">
      <c r="A169" s="5" t="str">
        <f>'MEDIÇÃO 02'!A179</f>
        <v>13.26</v>
      </c>
      <c r="B169" s="68" t="str">
        <f>'MEDIÇÃO 02'!C179</f>
        <v>DUCHA HIGIENICA PLASTICA COM REGISTRO METALICO 1/2 "</v>
      </c>
      <c r="C169" s="5" t="str">
        <f>'MEDIÇÃO 02'!E179</f>
        <v>UN</v>
      </c>
      <c r="D169" s="69"/>
      <c r="E169" s="5"/>
    </row>
    <row r="170" spans="1:5" ht="45" hidden="1" x14ac:dyDescent="0.25">
      <c r="A170" s="5" t="str">
        <f>'MEDIÇÃO 02'!A180</f>
        <v>13.27</v>
      </c>
      <c r="B170" s="68" t="str">
        <f>'MEDIÇÃO 02'!C180</f>
        <v>DUCHA / CHUVEIRO PLASTICO SIMPLES, 5 '', BRANCO, PARA ACOPLAR EM HASTE 1/2 ", AGUA FRIA</v>
      </c>
      <c r="C170" s="5" t="str">
        <f>'MEDIÇÃO 02'!E180</f>
        <v>UN</v>
      </c>
      <c r="D170" s="69"/>
      <c r="E170" s="5"/>
    </row>
    <row r="171" spans="1:5" ht="45" hidden="1" x14ac:dyDescent="0.25">
      <c r="A171" s="5" t="str">
        <f>'MEDIÇÃO 02'!A181</f>
        <v>13.28</v>
      </c>
      <c r="B171" s="68" t="str">
        <f>'MEDIÇÃO 02'!C181</f>
        <v>MICTÓRIO SIFONADO LOUÇA BRANCA ? PADRÃO MÉDIO ? FORNECIMENTO E INSTALAÇÃO. AF_01/2020</v>
      </c>
      <c r="C171" s="5" t="str">
        <f>'MEDIÇÃO 02'!E181</f>
        <v>UN</v>
      </c>
      <c r="D171" s="69"/>
      <c r="E171" s="5"/>
    </row>
    <row r="172" spans="1:5" ht="30" hidden="1" x14ac:dyDescent="0.25">
      <c r="A172" s="5" t="str">
        <f>'MEDIÇÃO 02'!A182</f>
        <v>13.29</v>
      </c>
      <c r="B172" s="68" t="str">
        <f>'MEDIÇÃO 02'!C182</f>
        <v>TORNEIRA PLÁSTICA 3/4? PARA TANQUE - FORNECIMENTO E INSTALAÇÃO. AF_01/2020</v>
      </c>
      <c r="C172" s="5" t="str">
        <f>'MEDIÇÃO 02'!E182</f>
        <v>UN</v>
      </c>
      <c r="D172" s="69"/>
      <c r="E172" s="5"/>
    </row>
    <row r="173" spans="1:5" ht="60" hidden="1" x14ac:dyDescent="0.25">
      <c r="A173" s="5" t="str">
        <f>'MEDIÇÃO 02'!A183</f>
        <v>13.30</v>
      </c>
      <c r="B173" s="68" t="str">
        <f>'MEDIÇÃO 02'!C183</f>
        <v>KIT CAVALETE PARA MEDIÇÃO DE ÁGUA - ENTRADA PRINCIPAL, EM PVC SOLDÁVEL DN 25 (¾")   FORNECIMENTO E INSTALAÇÃO (EXCLUSIVE HIDRÔMETRO). AF_11/2016</v>
      </c>
      <c r="C173" s="5" t="str">
        <f>'MEDIÇÃO 02'!E183</f>
        <v>UN</v>
      </c>
      <c r="D173" s="69"/>
      <c r="E173" s="5"/>
    </row>
    <row r="174" spans="1:5" ht="60" hidden="1" x14ac:dyDescent="0.25">
      <c r="A174" s="5" t="str">
        <f>'MEDIÇÃO 02'!A184</f>
        <v>13.31</v>
      </c>
      <c r="B174" s="68" t="str">
        <f>'MEDIÇÃO 02'!C184</f>
        <v>CUBA DE EMBUTIR DE AÇO INOXIDÁVEL MÉDIA, INCLUSO VÁLVULA TIPO AMERICANA EM METAL CROMADO E SIFÃO FLEXÍVEL EM PVC - FORNECIMENTO E INSTALAÇÃO. AF_01/2020</v>
      </c>
      <c r="C174" s="5" t="str">
        <f>'MEDIÇÃO 02'!E184</f>
        <v>UN</v>
      </c>
      <c r="D174" s="69"/>
      <c r="E174" s="5"/>
    </row>
    <row r="175" spans="1:5" ht="45" hidden="1" x14ac:dyDescent="0.25">
      <c r="A175" s="5" t="str">
        <f>'MEDIÇÃO 02'!A185</f>
        <v>13.32</v>
      </c>
      <c r="B175" s="68" t="str">
        <f>'MEDIÇÃO 02'!C185</f>
        <v>TORNEIRA CROMADA LONGA, DE PAREDE, 1/2? OU 3/4?, PARA PIA DE COZINHA, PADRÃO POPULAR - FORNECIMENTO E INSTALAÇÃO. AF_01/2020</v>
      </c>
      <c r="C175" s="5" t="str">
        <f>'MEDIÇÃO 02'!E185</f>
        <v>UN</v>
      </c>
      <c r="D175" s="69"/>
      <c r="E175" s="5"/>
    </row>
    <row r="176" spans="1:5" ht="60" hidden="1" x14ac:dyDescent="0.25">
      <c r="A176" s="5" t="str">
        <f>'MEDIÇÃO 02'!A186</f>
        <v>13.33</v>
      </c>
      <c r="B176" s="68" t="str">
        <f>'MEDIÇÃO 02'!C186</f>
        <v>CUBA DE EMBUTIR OVAL EM LOUÇA BRANCA, 35 X 50CM OU EQUIVALENTE, INCLUSO VÁLVULA EM METAL CROMADO E SIFÃO FLEXÍVEL EM PVC - FORNECIMENTO E INSTALAÇÃO. AF_01/2020</v>
      </c>
      <c r="C176" s="5" t="str">
        <f>'MEDIÇÃO 02'!E186</f>
        <v>UN</v>
      </c>
      <c r="D176" s="69"/>
      <c r="E176" s="5"/>
    </row>
    <row r="177" spans="1:5" ht="45" hidden="1" x14ac:dyDescent="0.25">
      <c r="A177" s="5" t="str">
        <f>'MEDIÇÃO 02'!A187</f>
        <v>13.34</v>
      </c>
      <c r="B177" s="68" t="str">
        <f>'MEDIÇÃO 02'!C187</f>
        <v>TORNEIRA CROMADA DE MESA, 1/2? OU 3/4?, PARA LAVATÓRIO, PADRÃO POPULAR - FORNECIMENTO E INSTALAÇÃO. AF_01/2020</v>
      </c>
      <c r="C177" s="5" t="str">
        <f>'MEDIÇÃO 02'!E187</f>
        <v>UN</v>
      </c>
      <c r="D177" s="69"/>
      <c r="E177" s="5"/>
    </row>
    <row r="178" spans="1:5" ht="45" hidden="1" x14ac:dyDescent="0.25">
      <c r="A178" s="5" t="str">
        <f>'MEDIÇÃO 02'!A188</f>
        <v>13.35</v>
      </c>
      <c r="B178" s="68" t="str">
        <f>'MEDIÇÃO 02'!C188</f>
        <v>TORNEIRA DE BOIA PARA CAIXA D'ÁGUA, ROSCÁVEL, 3/4" - FORNECIMENTO E INSTALAÇÃO. AF_08/2021</v>
      </c>
      <c r="C178" s="5" t="str">
        <f>'MEDIÇÃO 02'!E188</f>
        <v>UN</v>
      </c>
      <c r="D178" s="69"/>
      <c r="E178" s="5"/>
    </row>
    <row r="179" spans="1:5" ht="45" hidden="1" x14ac:dyDescent="0.25">
      <c r="A179" s="5" t="str">
        <f>'MEDIÇÃO 02'!A189</f>
        <v>13.36</v>
      </c>
      <c r="B179" s="68" t="str">
        <f>'MEDIÇÃO 02'!C189</f>
        <v>BARRA DE APOIO RETA, EM ACO INOX POLIDO, COMPRIMENTO 70 CM,  FIXADA NA PAREDE - FORNECIMENTO E INSTALAÇÃO. AF_01/2020</v>
      </c>
      <c r="C179" s="5" t="str">
        <f>'MEDIÇÃO 02'!E189</f>
        <v>UN</v>
      </c>
      <c r="D179" s="69"/>
      <c r="E179" s="5"/>
    </row>
    <row r="180" spans="1:5" ht="45" hidden="1" x14ac:dyDescent="0.25">
      <c r="A180" s="5" t="str">
        <f>'MEDIÇÃO 02'!A190</f>
        <v>13.37</v>
      </c>
      <c r="B180" s="68" t="str">
        <f>'MEDIÇÃO 02'!C190</f>
        <v>BARRA DE APOIO RETA, EM ACO INOX POLIDO, COMPRIMENTO 60CM, FIXADA NA PAREDE - FORNECIMENTO E INSTALAÇÃO. AF_01/2020</v>
      </c>
      <c r="C180" s="5" t="str">
        <f>'MEDIÇÃO 02'!E190</f>
        <v>UN</v>
      </c>
      <c r="D180" s="69"/>
      <c r="E180" s="5"/>
    </row>
    <row r="181" spans="1:5" ht="90" hidden="1" x14ac:dyDescent="0.25">
      <c r="A181" s="5" t="str">
        <f>'MEDIÇÃO 02'!A191</f>
        <v>13.38</v>
      </c>
      <c r="B181" s="68" t="str">
        <f>'MEDIÇÃO 02'!C191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81" s="5" t="str">
        <f>'MEDIÇÃO 02'!E191</f>
        <v>UN</v>
      </c>
      <c r="D181" s="69"/>
      <c r="E181" s="5"/>
    </row>
    <row r="182" spans="1:5" ht="30" hidden="1" x14ac:dyDescent="0.25">
      <c r="A182" s="5" t="str">
        <f>'MEDIÇÃO 02'!A192</f>
        <v>13.39</v>
      </c>
      <c r="B182" s="68" t="str">
        <f>'MEDIÇÃO 02'!C192</f>
        <v>PAPELEIRA DE PAREDE EM METAL CROMADO SEM TAMPA, INCLUSO FIXAÇÃO. AF_01/2020</v>
      </c>
      <c r="C182" s="5" t="str">
        <f>'MEDIÇÃO 02'!E192</f>
        <v>UN</v>
      </c>
      <c r="D182" s="69"/>
      <c r="E182" s="5"/>
    </row>
    <row r="183" spans="1:5" ht="30" hidden="1" x14ac:dyDescent="0.25">
      <c r="A183" s="5" t="str">
        <f>'MEDIÇÃO 02'!A193</f>
        <v>13.40</v>
      </c>
      <c r="B183" s="68" t="str">
        <f>'MEDIÇÃO 02'!C193</f>
        <v>REGISTRO DE GAVETA BRUTO, LATÃO, ROSCÁVEL, 2" - FORNECIMENTO E INSTALAÇÃO. AF_08/2021</v>
      </c>
      <c r="C183" s="5" t="str">
        <f>'MEDIÇÃO 02'!E193</f>
        <v>UN</v>
      </c>
      <c r="D183" s="69"/>
      <c r="E183" s="5"/>
    </row>
    <row r="184" spans="1:5" ht="30" hidden="1" x14ac:dyDescent="0.25">
      <c r="A184" s="5" t="str">
        <f>'MEDIÇÃO 02'!A194</f>
        <v>13.41</v>
      </c>
      <c r="B184" s="68" t="str">
        <f>'MEDIÇÃO 02'!C194</f>
        <v>REGISTRO DE GAVETA BRUTO, LATÃO, ROSCÁVEL, 1 1/2" - FORNECIMENTO E INSTALAÇÃO. AF_08/2021</v>
      </c>
      <c r="C184" s="5" t="str">
        <f>'MEDIÇÃO 02'!E194</f>
        <v>UN</v>
      </c>
      <c r="D184" s="69"/>
      <c r="E184" s="5"/>
    </row>
    <row r="185" spans="1:5" ht="30" hidden="1" x14ac:dyDescent="0.25">
      <c r="A185" s="5" t="str">
        <f>'MEDIÇÃO 02'!A195</f>
        <v>13.42</v>
      </c>
      <c r="B185" s="68" t="str">
        <f>'MEDIÇÃO 02'!C195</f>
        <v>REGISTRO DE GAVETA BRUTO, LATÃO, ROSCÁVEL, 1/2" - FORNECIMENTO E INSTALAÇÃO. AF_08/2021</v>
      </c>
      <c r="C185" s="5" t="str">
        <f>'MEDIÇÃO 02'!E195</f>
        <v>UN</v>
      </c>
      <c r="D185" s="69"/>
      <c r="E185" s="5"/>
    </row>
    <row r="186" spans="1:5" ht="30" hidden="1" x14ac:dyDescent="0.25">
      <c r="A186" s="5" t="str">
        <f>'MEDIÇÃO 02'!A196</f>
        <v>13.43</v>
      </c>
      <c r="B186" s="68" t="str">
        <f>'MEDIÇÃO 02'!C196</f>
        <v>REGISTRO DE GAVETA BRUTO, LATÃO, ROSCÁVEL, 3/4" - FORNECIMENTO E INSTALAÇÃO. AF_08/2021</v>
      </c>
      <c r="C186" s="5" t="str">
        <f>'MEDIÇÃO 02'!E196</f>
        <v>UN</v>
      </c>
      <c r="D186" s="69"/>
      <c r="E186" s="5"/>
    </row>
    <row r="187" spans="1:5" ht="45" hidden="1" x14ac:dyDescent="0.25">
      <c r="A187" s="5" t="str">
        <f>'MEDIÇÃO 02'!A197</f>
        <v>13.44</v>
      </c>
      <c r="B187" s="68" t="str">
        <f>'MEDIÇÃO 02'!C197</f>
        <v>REGISTRO DE PRESSÃO BRUTO, LATÃO, ROSCÁVEL, 3/4", COM ACABAMENTO E CANOPLA CROMADOS - FORNECIMENTO E INSTALAÇÃO. AF_08/2021</v>
      </c>
      <c r="C187" s="5" t="str">
        <f>'MEDIÇÃO 02'!E197</f>
        <v>UN</v>
      </c>
      <c r="D187" s="69"/>
      <c r="E187" s="5"/>
    </row>
    <row r="188" spans="1:5" ht="45" hidden="1" x14ac:dyDescent="0.25">
      <c r="A188" s="5" t="str">
        <f>'MEDIÇÃO 02'!A198</f>
        <v>13.45</v>
      </c>
      <c r="B188" s="68" t="str">
        <f>'MEDIÇÃO 02'!C198</f>
        <v>UNIÃO, CPVC, SOLDÁVEL, DN35MM, INSTALADO EM PRUMADA DE ÁGUA ? FORNECIMENTO E INSTALAÇÃO. AF_12/2014</v>
      </c>
      <c r="C188" s="5" t="str">
        <f>'MEDIÇÃO 02'!E198</f>
        <v>UN</v>
      </c>
      <c r="D188" s="69"/>
      <c r="E188" s="5"/>
    </row>
    <row r="189" spans="1:5" ht="60" hidden="1" x14ac:dyDescent="0.25">
      <c r="A189" s="5" t="str">
        <f>'MEDIÇÃO 02'!A199</f>
        <v>13.46</v>
      </c>
      <c r="B189" s="68" t="str">
        <f>'MEDIÇÃO 02'!C199</f>
        <v>JOELHO 45 GRAUS, PVC, SERIE NORMAL, ESGOTO PREDIAL, DN 50 MM, JUNTA ELÁSTICA, FORNECIDO E INSTALADO EM PRUMADA DE ESGOTO SANITÁRIO OU VENTILAÇÃO. AF_12/2014</v>
      </c>
      <c r="C189" s="5" t="str">
        <f>'MEDIÇÃO 02'!E199</f>
        <v>UN</v>
      </c>
      <c r="D189" s="69"/>
      <c r="E189" s="5"/>
    </row>
    <row r="190" spans="1:5" ht="60" hidden="1" x14ac:dyDescent="0.25">
      <c r="A190" s="5" t="str">
        <f>'MEDIÇÃO 02'!A200</f>
        <v>13.47</v>
      </c>
      <c r="B190" s="68" t="str">
        <f>'MEDIÇÃO 02'!C200</f>
        <v>JOELHO 45 GRAUS, PVC, SERIE NORMAL, ESGOTO PREDIAL, DN 100 MM, JUNTA ELÁSTICA, FORNECIDO E INSTALADO EM PRUMADA DE ESGOTO SANITÁRIO OU VENTILAÇÃO. AF_12/2014</v>
      </c>
      <c r="C190" s="5" t="str">
        <f>'MEDIÇÃO 02'!E200</f>
        <v>UN</v>
      </c>
      <c r="D190" s="69"/>
      <c r="E190" s="5"/>
    </row>
    <row r="191" spans="1:5" ht="75" hidden="1" x14ac:dyDescent="0.25">
      <c r="A191" s="5" t="str">
        <f>'MEDIÇÃO 02'!A201</f>
        <v>13.48</v>
      </c>
      <c r="B191" s="68" t="str">
        <f>'MEDIÇÃO 02'!C201</f>
        <v>JOELHO 90 GRAUS, PVC, SERIE NORMAL, ESGOTO PREDIAL, DN 40 MM, JUNTA SOLDÁVEL, FORNECIDO E INSTALADO EM RAMAL DE DESCARGA OU RAMAL DE ESGOTO SANITÁRIO. AF_12/2014</v>
      </c>
      <c r="C191" s="5" t="str">
        <f>'MEDIÇÃO 02'!E201</f>
        <v>UN</v>
      </c>
      <c r="D191" s="69"/>
      <c r="E191" s="5"/>
    </row>
    <row r="192" spans="1:5" ht="60" hidden="1" x14ac:dyDescent="0.25">
      <c r="A192" s="5" t="str">
        <f>'MEDIÇÃO 02'!A202</f>
        <v>13.49</v>
      </c>
      <c r="B192" s="68" t="str">
        <f>'MEDIÇÃO 02'!C202</f>
        <v>JOELHO 90 GRAUS, PVC, SERIE NORMAL, ESGOTO PREDIAL, DN 50 MM, JUNTA ELÁSTICA, FORNECIDO E INSTALADO EM PRUMADA DE ESGOTO SANITÁRIO OU VENTILAÇÃO. AF_12/2014</v>
      </c>
      <c r="C192" s="5" t="str">
        <f>'MEDIÇÃO 02'!E202</f>
        <v>UN</v>
      </c>
      <c r="D192" s="69"/>
      <c r="E192" s="5"/>
    </row>
    <row r="193" spans="1:5" ht="75" hidden="1" x14ac:dyDescent="0.25">
      <c r="A193" s="5" t="str">
        <f>'MEDIÇÃO 02'!A203</f>
        <v>13.50</v>
      </c>
      <c r="B193" s="68" t="str">
        <f>'MEDIÇÃO 02'!C203</f>
        <v>JOELHO 90 GRAUS, PVC, SERIE NORMAL, ESGOTO PREDIAL, DN 100 MM, JUNTA ELÁSTICA, FORNECIDO E INSTALADO EM RAMAL DE DESCARGA OU RAMAL DE ESGOTO SANITÁRIO. AF_12/2014</v>
      </c>
      <c r="C193" s="5" t="str">
        <f>'MEDIÇÃO 02'!E203</f>
        <v>UN</v>
      </c>
      <c r="D193" s="69"/>
      <c r="E193" s="5"/>
    </row>
    <row r="194" spans="1:5" ht="60" hidden="1" x14ac:dyDescent="0.25">
      <c r="A194" s="5" t="str">
        <f>'MEDIÇÃO 02'!A204</f>
        <v>13.51</v>
      </c>
      <c r="B194" s="68" t="str">
        <f>'MEDIÇÃO 02'!C204</f>
        <v>JUNÇÃO SIMPLES, PVC, SERIE NORMAL, ESGOTO PREDIAL, DN 50 X 50 MM, JUNTA ELÁSTICA, FORNECIDO E INSTALADO EM PRUMADA DE ESGOTO SANITÁRIO OU VENTILAÇÃO. AF_12/2014</v>
      </c>
      <c r="C194" s="5" t="str">
        <f>'MEDIÇÃO 02'!E204</f>
        <v>UN</v>
      </c>
      <c r="D194" s="69"/>
      <c r="E194" s="5"/>
    </row>
    <row r="195" spans="1:5" ht="30" hidden="1" x14ac:dyDescent="0.25">
      <c r="A195" s="5" t="str">
        <f>'MEDIÇÃO 02'!A205</f>
        <v>13.52</v>
      </c>
      <c r="B195" s="68" t="str">
        <f>'MEDIÇÃO 02'!C205</f>
        <v>JUNCAO SIMPLES, PVC, DN 100 X 50 MM, SERIE NORMAL PARA ESGOTO PREDIAL</v>
      </c>
      <c r="C195" s="5" t="str">
        <f>'MEDIÇÃO 02'!E205</f>
        <v>UN</v>
      </c>
      <c r="D195" s="69"/>
      <c r="E195" s="5"/>
    </row>
    <row r="196" spans="1:5" ht="30" hidden="1" x14ac:dyDescent="0.25">
      <c r="A196" s="5" t="str">
        <f>'MEDIÇÃO 02'!A206</f>
        <v>13.53</v>
      </c>
      <c r="B196" s="68" t="str">
        <f>'MEDIÇÃO 02'!C206</f>
        <v>JUNCAO SIMPLES, PVC, DN 100 X 75 MM, SERIE NORMAL PARA ESGOTO PREDIAL</v>
      </c>
      <c r="C196" s="5" t="str">
        <f>'MEDIÇÃO 02'!E206</f>
        <v>UN</v>
      </c>
      <c r="D196" s="69"/>
      <c r="E196" s="5"/>
    </row>
    <row r="197" spans="1:5" ht="75" hidden="1" x14ac:dyDescent="0.25">
      <c r="A197" s="5" t="str">
        <f>'MEDIÇÃO 02'!A207</f>
        <v>13.54</v>
      </c>
      <c r="B197" s="68" t="str">
        <f>'MEDIÇÃO 02'!C207</f>
        <v>JUNÇÃO SIMPLES, PVC, SERIE NORMAL, ESGOTO PREDIAL, DN 100 X 100 MM, JUNTA ELÁSTICA, FORNECIDO E INSTALADO EM RAMAL DE DESCARGA OU RAMAL DE ESGOTO SANITÁRIO. AF_12/2014</v>
      </c>
      <c r="C197" s="5" t="str">
        <f>'MEDIÇÃO 02'!E207</f>
        <v>UN</v>
      </c>
      <c r="D197" s="69"/>
      <c r="E197" s="5"/>
    </row>
    <row r="198" spans="1:5" ht="60" hidden="1" x14ac:dyDescent="0.25">
      <c r="A198" s="5" t="str">
        <f>'MEDIÇÃO 02'!A208</f>
        <v>13.55</v>
      </c>
      <c r="B198" s="68" t="str">
        <f>'MEDIÇÃO 02'!C208</f>
        <v>LUVA SIMPLES, PVC, SERIE NORMAL, ESGOTO PREDIAL, DN 50 MM, JUNTA ELÁSTICA, FORNECIDO E INSTALADO EM PRUMADA DE ESGOTO SANITÁRIO OU VENTILAÇÃO. AF_12/2014</v>
      </c>
      <c r="C198" s="5" t="str">
        <f>'MEDIÇÃO 02'!E208</f>
        <v>UN</v>
      </c>
      <c r="D198" s="69"/>
      <c r="E198" s="5"/>
    </row>
    <row r="199" spans="1:5" ht="60" hidden="1" x14ac:dyDescent="0.25">
      <c r="A199" s="5" t="str">
        <f>'MEDIÇÃO 02'!A209</f>
        <v>13.56</v>
      </c>
      <c r="B199" s="68" t="str">
        <f>'MEDIÇÃO 02'!C209</f>
        <v>LUVA SIMPLES, PVC, SERIE NORMAL, ESGOTO PREDIAL, DN 75 MM, JUNTA ELÁSTICA, FORNECIDO E INSTALADO EM PRUMADA DE ESGOTO SANITÁRIO OU VENTILAÇÃO. AF_12/2014</v>
      </c>
      <c r="C199" s="5" t="str">
        <f>'MEDIÇÃO 02'!E209</f>
        <v>UN</v>
      </c>
      <c r="D199" s="69"/>
      <c r="E199" s="5"/>
    </row>
    <row r="200" spans="1:5" ht="75" hidden="1" x14ac:dyDescent="0.25">
      <c r="A200" s="5" t="str">
        <f>'MEDIÇÃO 02'!A210</f>
        <v>13.57</v>
      </c>
      <c r="B200" s="68" t="str">
        <f>'MEDIÇÃO 02'!C210</f>
        <v>LUVA SIMPLES, PVC, SERIE NORMAL, ESGOTO PREDIAL, DN 100 MM, JUNTA ELÁSTICA, FORNECIDO E INSTALADO EM RAMAL DE DESCARGA OU RAMAL DE ESGOTO SANITÁRIO. AF_12/2014</v>
      </c>
      <c r="C200" s="5" t="str">
        <f>'MEDIÇÃO 02'!E210</f>
        <v>UN</v>
      </c>
      <c r="D200" s="69"/>
      <c r="E200" s="5"/>
    </row>
    <row r="201" spans="1:5" ht="60" hidden="1" x14ac:dyDescent="0.25">
      <c r="A201" s="5" t="str">
        <f>'MEDIÇÃO 02'!A211</f>
        <v>13.58</v>
      </c>
      <c r="B201" s="68" t="str">
        <f>'MEDIÇÃO 02'!C211</f>
        <v>TE, PVC, SERIE NORMAL, ESGOTO PREDIAL, DN 50 X 50 MM, JUNTA ELÁSTICA, FORNECIDO E INSTALADO EM PRUMADA DE ESGOTO SANITÁRIO OU VENTILAÇÃO. AF_12/2014</v>
      </c>
      <c r="C201" s="5" t="str">
        <f>'MEDIÇÃO 02'!E211</f>
        <v>UN</v>
      </c>
      <c r="D201" s="69"/>
      <c r="E201" s="5"/>
    </row>
    <row r="202" spans="1:5" ht="30" hidden="1" x14ac:dyDescent="0.25">
      <c r="A202" s="5" t="str">
        <f>'MEDIÇÃO 02'!A212</f>
        <v>13.59</v>
      </c>
      <c r="B202" s="68" t="str">
        <f>'MEDIÇÃO 02'!C212</f>
        <v>TE SANITARIO, PVC, DN 75 X 50 MM, SERIE NORMAL PARA ESGOTO PREDIAL</v>
      </c>
      <c r="C202" s="5" t="str">
        <f>'MEDIÇÃO 02'!E212</f>
        <v>UN</v>
      </c>
      <c r="D202" s="69"/>
      <c r="E202" s="5"/>
    </row>
    <row r="203" spans="1:5" ht="30" hidden="1" x14ac:dyDescent="0.25">
      <c r="A203" s="5" t="str">
        <f>'MEDIÇÃO 02'!A213</f>
        <v>13.60</v>
      </c>
      <c r="B203" s="68" t="str">
        <f>'MEDIÇÃO 02'!C213</f>
        <v>TE SANITARIO, PVC, DN 100 X 75 MM, SERIE NORMAL PARA ESGOTO PREDIAL</v>
      </c>
      <c r="C203" s="5" t="str">
        <f>'MEDIÇÃO 02'!E213</f>
        <v>UN</v>
      </c>
      <c r="D203" s="69"/>
      <c r="E203" s="5"/>
    </row>
    <row r="204" spans="1:5" hidden="1" x14ac:dyDescent="0.25">
      <c r="A204" s="14" t="str">
        <f>'MEDIÇÃO 02'!A215</f>
        <v>14</v>
      </c>
      <c r="B204" s="130" t="str">
        <f>'MEDIÇÃO 02'!B215:P215</f>
        <v>PINTURA</v>
      </c>
      <c r="C204" s="130"/>
      <c r="D204" s="130"/>
      <c r="E204" s="130"/>
    </row>
    <row r="205" spans="1:5" ht="30" hidden="1" x14ac:dyDescent="0.25">
      <c r="A205" s="5" t="str">
        <f>'MEDIÇÃO 02'!A216</f>
        <v>14.1</v>
      </c>
      <c r="B205" s="68" t="str">
        <f>'MEDIÇÃO 02'!C216</f>
        <v>APLICAÇÃO DE FUNDO SELADOR ACRÍLICO EM TETO, UMA DEMÃO. AF_06/2014</v>
      </c>
      <c r="C205" s="5" t="str">
        <f>'MEDIÇÃO 02'!E216</f>
        <v>M2</v>
      </c>
      <c r="D205" s="69"/>
      <c r="E205" s="5"/>
    </row>
    <row r="206" spans="1:5" ht="30" hidden="1" x14ac:dyDescent="0.25">
      <c r="A206" s="5" t="str">
        <f>'MEDIÇÃO 02'!A217</f>
        <v>14.2</v>
      </c>
      <c r="B206" s="68" t="str">
        <f>'MEDIÇÃO 02'!C217</f>
        <v>APLICAÇÃO DE FUNDO SELADOR ACRÍLICO EM PAREDES, UMA DEMÃO. AF_06/2014</v>
      </c>
      <c r="C206" s="5" t="str">
        <f>'MEDIÇÃO 02'!E217</f>
        <v>M2</v>
      </c>
      <c r="D206" s="69"/>
      <c r="E206" s="5"/>
    </row>
    <row r="207" spans="1:5" ht="30" hidden="1" x14ac:dyDescent="0.25">
      <c r="A207" s="5" t="str">
        <f>'MEDIÇÃO 02'!A218</f>
        <v>14.3</v>
      </c>
      <c r="B207" s="68" t="str">
        <f>'MEDIÇÃO 02'!C218</f>
        <v>APLICAÇÃO E LIXAMENTO DE MASSA LÁTEX EM TETO, UMA DEMÃO. AF_06/2014</v>
      </c>
      <c r="C207" s="5" t="str">
        <f>'MEDIÇÃO 02'!E218</f>
        <v>M2</v>
      </c>
      <c r="D207" s="69"/>
      <c r="E207" s="5"/>
    </row>
    <row r="208" spans="1:5" ht="45" hidden="1" x14ac:dyDescent="0.25">
      <c r="A208" s="5" t="str">
        <f>'MEDIÇÃO 02'!A219</f>
        <v>14.4</v>
      </c>
      <c r="B208" s="68" t="str">
        <f>'MEDIÇÃO 02'!C219</f>
        <v>Emassamento de superfície, com aplicação de 02 demãos de massa acrílica, lixamento e retoques - Rev 01</v>
      </c>
      <c r="C208" s="5" t="str">
        <f>'MEDIÇÃO 02'!E219</f>
        <v>m2</v>
      </c>
      <c r="D208" s="69"/>
      <c r="E208" s="5"/>
    </row>
    <row r="209" spans="1:5" ht="45" hidden="1" x14ac:dyDescent="0.25">
      <c r="A209" s="5" t="str">
        <f>'MEDIÇÃO 02'!A220</f>
        <v>14.5</v>
      </c>
      <c r="B209" s="68" t="str">
        <f>'MEDIÇÃO 02'!C220</f>
        <v>APLICAÇÃO MANUAL DE PINTURA COM TINTA LÁTEX ACRÍLICA EM PAREDES, DUAS DEMÃOS. AF_06/2014</v>
      </c>
      <c r="C209" s="5" t="str">
        <f>'MEDIÇÃO 02'!E220</f>
        <v>M2</v>
      </c>
      <c r="D209" s="69"/>
      <c r="E209" s="5"/>
    </row>
    <row r="210" spans="1:5" ht="45" hidden="1" x14ac:dyDescent="0.25">
      <c r="A210" s="5" t="str">
        <f>'MEDIÇÃO 02'!A221</f>
        <v>14.6</v>
      </c>
      <c r="B210" s="68" t="str">
        <f>'MEDIÇÃO 02'!C221</f>
        <v>APLICAÇÃO MANUAL DE PINTURA COM TINTA LÁTEX ACRÍLICA EM TETO, DUAS DEMÃOS. AF_06/2014</v>
      </c>
      <c r="C210" s="5" t="str">
        <f>'MEDIÇÃO 02'!E221</f>
        <v>M2</v>
      </c>
      <c r="D210" s="69"/>
      <c r="E210" s="5"/>
    </row>
    <row r="211" spans="1:5" ht="45" hidden="1" x14ac:dyDescent="0.25">
      <c r="A211" s="5" t="str">
        <f>'MEDIÇÃO 02'!A222</f>
        <v>14.7</v>
      </c>
      <c r="B211" s="68" t="str">
        <f>'MEDIÇÃO 02'!C222</f>
        <v>PINTURA TINTA DE ACABAMENTO (PIGMENTADA) ESMALTE SINTÉTICO FOSCO EM MADEIRA, 2 DEMÃOS. AF_01/2021</v>
      </c>
      <c r="C211" s="5" t="str">
        <f>'MEDIÇÃO 02'!E222</f>
        <v>M2</v>
      </c>
      <c r="D211" s="69"/>
      <c r="E211" s="5"/>
    </row>
    <row r="212" spans="1:5" ht="75" hidden="1" x14ac:dyDescent="0.25">
      <c r="A212" s="5" t="str">
        <f>'MEDIÇÃO 02'!A223</f>
        <v>14.8</v>
      </c>
      <c r="B212" s="68" t="str">
        <f>'MEDIÇÃO 02'!C223</f>
        <v>PINTURA COM TINTA ALQUÍDICA DE FUNDO E ACABAMENTO (ESMALTE SINTÉTICO GRAFITE) APLICADA A ROLO OU PINCEL SOBRE PERFIL METÁLICO EXECUTADO EM FÁBRICA (POR DEMÃO). AF_01/2020</v>
      </c>
      <c r="C212" s="5" t="str">
        <f>'MEDIÇÃO 02'!E223</f>
        <v>M2</v>
      </c>
      <c r="D212" s="69"/>
      <c r="E212" s="5"/>
    </row>
    <row r="213" spans="1:5" ht="60" hidden="1" x14ac:dyDescent="0.25">
      <c r="A213" s="5" t="str">
        <f>'MEDIÇÃO 02'!A224</f>
        <v>14.9</v>
      </c>
      <c r="B213" s="68" t="str">
        <f>'MEDIÇÃO 02'!C224</f>
        <v>PINTURA COM TINTA ALQUÍDICA DE FUNDO (TIPO ZARCÃO) APLICADA A ROLO OU PINCEL SOBRE PERFIL METÁLICO EXECUTADO EM FÁBRICA (POR DEMÃO). AF_01/2020</v>
      </c>
      <c r="C213" s="5" t="str">
        <f>'MEDIÇÃO 02'!E224</f>
        <v>M2</v>
      </c>
      <c r="D213" s="69"/>
      <c r="E213" s="5"/>
    </row>
    <row r="214" spans="1:5" hidden="1" x14ac:dyDescent="0.25">
      <c r="A214" s="14" t="str">
        <f>'MEDIÇÃO 02'!A226</f>
        <v>15</v>
      </c>
      <c r="B214" s="130" t="str">
        <f>'MEDIÇÃO 02'!B226:P226</f>
        <v>SERVIÇOS COMPLEMENTARES</v>
      </c>
      <c r="C214" s="130"/>
      <c r="D214" s="130"/>
      <c r="E214" s="130"/>
    </row>
    <row r="215" spans="1:5" hidden="1" x14ac:dyDescent="0.25">
      <c r="A215" s="5" t="str">
        <f>'MEDIÇÃO 02'!A227</f>
        <v>15.1</v>
      </c>
      <c r="B215" s="69" t="str">
        <f>'MEDIÇÃO 02'!C227</f>
        <v>Limpeza geral</v>
      </c>
      <c r="C215" s="5" t="str">
        <f>'MEDIÇÃO 02'!E227</f>
        <v>m2</v>
      </c>
      <c r="D215" s="69"/>
      <c r="E215" s="5"/>
    </row>
    <row r="216" spans="1:5" hidden="1" x14ac:dyDescent="0.25">
      <c r="A216" s="5" t="str">
        <f>'MEDIÇÃO 02'!A228</f>
        <v>15.2</v>
      </c>
      <c r="B216" s="69" t="str">
        <f>'MEDIÇÃO 02'!C228</f>
        <v>Escada de ferro com guarda corpo</v>
      </c>
      <c r="C216" s="5" t="str">
        <f>'MEDIÇÃO 02'!E228</f>
        <v>m</v>
      </c>
      <c r="D216" s="69"/>
      <c r="E216" s="5"/>
    </row>
    <row r="217" spans="1:5" hidden="1" x14ac:dyDescent="0.25"/>
    <row r="218" spans="1:5" hidden="1" x14ac:dyDescent="0.25"/>
    <row r="219" spans="1:5" ht="45" hidden="1" x14ac:dyDescent="0.25">
      <c r="A219" s="22" t="s">
        <v>618</v>
      </c>
      <c r="B219" s="70">
        <f>B223+B224</f>
        <v>1.2036532184674478</v>
      </c>
    </row>
    <row r="220" spans="1:5" hidden="1" x14ac:dyDescent="0.25">
      <c r="A220" s="21" t="s">
        <v>619</v>
      </c>
      <c r="B220" s="70">
        <v>0.35</v>
      </c>
    </row>
    <row r="221" spans="1:5" hidden="1" x14ac:dyDescent="0.25">
      <c r="A221" s="21" t="s">
        <v>620</v>
      </c>
      <c r="B221" s="70">
        <f>1.95*1.85</f>
        <v>3.6074999999999999</v>
      </c>
    </row>
    <row r="222" spans="1:5" hidden="1" x14ac:dyDescent="0.25">
      <c r="A222" s="21" t="s">
        <v>621</v>
      </c>
      <c r="B222" s="70">
        <f>0.2*0.3</f>
        <v>0.06</v>
      </c>
    </row>
    <row r="223" spans="1:5" ht="30" hidden="1" x14ac:dyDescent="0.25">
      <c r="A223" s="22" t="s">
        <v>622</v>
      </c>
      <c r="B223" s="70">
        <f>((B220/3)*((B221+B222)+(SQRT(B221*B222))))</f>
        <v>0.48215321846744785</v>
      </c>
    </row>
    <row r="224" spans="1:5" ht="30" hidden="1" x14ac:dyDescent="0.25">
      <c r="A224" s="22" t="s">
        <v>623</v>
      </c>
      <c r="B224" s="70">
        <f>1.95*1.85*0.2</f>
        <v>0.72150000000000003</v>
      </c>
    </row>
  </sheetData>
  <autoFilter ref="D1:D224" xr:uid="{00000000-0001-0000-0100-000000000000}">
    <filterColumn colId="0">
      <customFilters>
        <customFilter operator="notEqual" val=" "/>
      </customFilters>
    </filterColumn>
  </autoFilter>
  <mergeCells count="24">
    <mergeCell ref="C1:E3"/>
    <mergeCell ref="C4:E5"/>
    <mergeCell ref="A1:B5"/>
    <mergeCell ref="N1:P2"/>
    <mergeCell ref="N4:P4"/>
    <mergeCell ref="B143:E143"/>
    <mergeCell ref="B204:E204"/>
    <mergeCell ref="B214:E214"/>
    <mergeCell ref="B56:E56"/>
    <mergeCell ref="B65:E65"/>
    <mergeCell ref="B71:E71"/>
    <mergeCell ref="B86:E86"/>
    <mergeCell ref="B89:E89"/>
    <mergeCell ref="B95:E95"/>
    <mergeCell ref="B45:E45"/>
    <mergeCell ref="A7:E7"/>
    <mergeCell ref="A6:E6"/>
    <mergeCell ref="A9:E9"/>
    <mergeCell ref="B10:E10"/>
    <mergeCell ref="B15:E15"/>
    <mergeCell ref="B19:E19"/>
    <mergeCell ref="B28:E28"/>
    <mergeCell ref="B32:E32"/>
    <mergeCell ref="B43:E43"/>
  </mergeCells>
  <pageMargins left="0.511811024" right="0.511811024" top="0.78740157499999996" bottom="0.78740157499999996" header="0.31496062000000002" footer="0.31496062000000002"/>
  <pageSetup paperSize="9" scale="66" fitToHeight="0" orientation="landscape" r:id="rId1"/>
  <rowBreaks count="20" manualBreakCount="20">
    <brk id="18" max="4" man="1"/>
    <brk id="21" max="4" man="1"/>
    <brk id="23" max="4" man="1"/>
    <brk id="26" max="4" man="1"/>
    <brk id="27" max="4" man="1"/>
    <brk id="32" max="4" man="1"/>
    <brk id="35" max="4" man="1"/>
    <brk id="38" max="4" man="1"/>
    <brk id="49" max="4" man="1"/>
    <brk id="64" max="4" man="1"/>
    <brk id="74" max="4" man="1"/>
    <brk id="85" max="4" man="1"/>
    <brk id="92" max="4" man="1"/>
    <brk id="106" max="4" man="1"/>
    <brk id="119" max="4" man="1"/>
    <brk id="137" max="4" man="1"/>
    <brk id="153" max="4" man="1"/>
    <brk id="168" max="4" man="1"/>
    <brk id="184" max="4" man="1"/>
    <brk id="198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42"/>
  <sheetViews>
    <sheetView view="pageBreakPreview" zoomScale="60" zoomScaleNormal="50" workbookViewId="0">
      <selection activeCell="AH21" sqref="AH21"/>
    </sheetView>
  </sheetViews>
  <sheetFormatPr defaultRowHeight="15" x14ac:dyDescent="0.25"/>
  <cols>
    <col min="2" max="2" width="5.85546875" customWidth="1"/>
    <col min="3" max="3" width="4.140625" customWidth="1"/>
    <col min="30" max="30" width="10.5703125" bestFit="1" customWidth="1"/>
  </cols>
  <sheetData>
    <row r="1" spans="1:34" ht="15" customHeight="1" x14ac:dyDescent="0.25">
      <c r="A1" s="120" t="s">
        <v>611</v>
      </c>
      <c r="B1" s="188"/>
      <c r="C1" s="188"/>
      <c r="D1" s="188"/>
      <c r="E1" s="188"/>
      <c r="F1" s="188"/>
      <c r="G1" s="188"/>
      <c r="H1" s="188"/>
      <c r="I1" s="121"/>
      <c r="J1" s="190" t="s">
        <v>675</v>
      </c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2"/>
    </row>
    <row r="2" spans="1:34" ht="15" customHeight="1" x14ac:dyDescent="0.25">
      <c r="A2" s="120"/>
      <c r="B2" s="188"/>
      <c r="C2" s="188"/>
      <c r="D2" s="188"/>
      <c r="E2" s="188"/>
      <c r="F2" s="188"/>
      <c r="G2" s="188"/>
      <c r="H2" s="188"/>
      <c r="I2" s="121"/>
      <c r="J2" s="190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2"/>
    </row>
    <row r="3" spans="1:34" ht="15.75" customHeight="1" x14ac:dyDescent="0.25">
      <c r="A3" s="120"/>
      <c r="B3" s="188"/>
      <c r="C3" s="188"/>
      <c r="D3" s="188"/>
      <c r="E3" s="188"/>
      <c r="F3" s="188"/>
      <c r="G3" s="188"/>
      <c r="H3" s="188"/>
      <c r="I3" s="121"/>
      <c r="J3" s="190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2"/>
    </row>
    <row r="4" spans="1:34" ht="15" customHeight="1" x14ac:dyDescent="0.25">
      <c r="A4" s="120"/>
      <c r="B4" s="188"/>
      <c r="C4" s="188"/>
      <c r="D4" s="188"/>
      <c r="E4" s="188"/>
      <c r="F4" s="188"/>
      <c r="G4" s="188"/>
      <c r="H4" s="188"/>
      <c r="I4" s="121"/>
      <c r="J4" s="190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2"/>
    </row>
    <row r="5" spans="1:34" ht="15" customHeight="1" x14ac:dyDescent="0.25">
      <c r="A5" s="120"/>
      <c r="B5" s="188"/>
      <c r="C5" s="188"/>
      <c r="D5" s="188"/>
      <c r="E5" s="188"/>
      <c r="F5" s="188"/>
      <c r="G5" s="188"/>
      <c r="H5" s="188"/>
      <c r="I5" s="121"/>
      <c r="J5" s="193" t="s">
        <v>613</v>
      </c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5"/>
    </row>
    <row r="6" spans="1:34" x14ac:dyDescent="0.25">
      <c r="A6" s="120"/>
      <c r="B6" s="188"/>
      <c r="C6" s="188"/>
      <c r="D6" s="188"/>
      <c r="E6" s="188"/>
      <c r="F6" s="188"/>
      <c r="G6" s="188"/>
      <c r="H6" s="188"/>
      <c r="I6" s="121"/>
      <c r="J6" s="193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5"/>
    </row>
    <row r="7" spans="1:34" ht="15" customHeight="1" x14ac:dyDescent="0.25">
      <c r="A7" s="122"/>
      <c r="B7" s="189"/>
      <c r="C7" s="189"/>
      <c r="D7" s="189"/>
      <c r="E7" s="189"/>
      <c r="F7" s="189"/>
      <c r="G7" s="189"/>
      <c r="H7" s="189"/>
      <c r="I7" s="123"/>
      <c r="J7" s="193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5"/>
    </row>
    <row r="8" spans="1:34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</row>
    <row r="9" spans="1:34" x14ac:dyDescent="0.25">
      <c r="A9" s="167" t="s">
        <v>0</v>
      </c>
      <c r="B9" s="168"/>
      <c r="C9" s="168"/>
      <c r="D9" s="169" t="s">
        <v>2</v>
      </c>
      <c r="E9" s="169"/>
      <c r="F9" s="169"/>
      <c r="G9" s="169"/>
      <c r="H9" s="169"/>
      <c r="I9" s="169"/>
      <c r="J9" s="168" t="s">
        <v>633</v>
      </c>
      <c r="K9" s="160" t="s">
        <v>634</v>
      </c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 t="s">
        <v>635</v>
      </c>
      <c r="X9" s="160"/>
      <c r="Y9" s="160"/>
      <c r="Z9" s="160"/>
      <c r="AA9" s="160"/>
      <c r="AB9" s="160"/>
      <c r="AC9" s="160"/>
      <c r="AD9" s="160"/>
      <c r="AE9" s="160"/>
      <c r="AF9" s="168" t="s">
        <v>636</v>
      </c>
      <c r="AG9" s="168"/>
      <c r="AH9" s="170"/>
    </row>
    <row r="10" spans="1:34" x14ac:dyDescent="0.25">
      <c r="A10" s="167"/>
      <c r="B10" s="168"/>
      <c r="C10" s="168"/>
      <c r="D10" s="169"/>
      <c r="E10" s="169"/>
      <c r="F10" s="169"/>
      <c r="G10" s="169"/>
      <c r="H10" s="169"/>
      <c r="I10" s="169"/>
      <c r="J10" s="168"/>
      <c r="K10" s="160" t="s">
        <v>637</v>
      </c>
      <c r="L10" s="160"/>
      <c r="M10" s="160" t="s">
        <v>638</v>
      </c>
      <c r="N10" s="160"/>
      <c r="O10" s="160" t="s">
        <v>639</v>
      </c>
      <c r="P10" s="160"/>
      <c r="Q10" s="160" t="s">
        <v>640</v>
      </c>
      <c r="R10" s="160"/>
      <c r="S10" s="160" t="s">
        <v>641</v>
      </c>
      <c r="T10" s="160"/>
      <c r="U10" s="160" t="s">
        <v>642</v>
      </c>
      <c r="V10" s="160"/>
      <c r="W10" s="160" t="s">
        <v>643</v>
      </c>
      <c r="X10" s="160"/>
      <c r="Y10" s="160"/>
      <c r="Z10" s="160" t="s">
        <v>617</v>
      </c>
      <c r="AA10" s="160"/>
      <c r="AB10" s="160"/>
      <c r="AC10" s="160" t="s">
        <v>644</v>
      </c>
      <c r="AD10" s="160"/>
      <c r="AE10" s="160"/>
      <c r="AF10" s="168"/>
      <c r="AG10" s="168"/>
      <c r="AH10" s="170"/>
    </row>
    <row r="11" spans="1:34" x14ac:dyDescent="0.25">
      <c r="A11" s="167"/>
      <c r="B11" s="168"/>
      <c r="C11" s="168"/>
      <c r="D11" s="169"/>
      <c r="E11" s="169"/>
      <c r="F11" s="169"/>
      <c r="G11" s="169"/>
      <c r="H11" s="169"/>
      <c r="I11" s="169"/>
      <c r="J11" s="168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8"/>
      <c r="AG11" s="168"/>
      <c r="AH11" s="170"/>
    </row>
    <row r="12" spans="1:34" x14ac:dyDescent="0.25">
      <c r="A12" s="35"/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8"/>
    </row>
    <row r="13" spans="1:34" ht="15.75" x14ac:dyDescent="0.25">
      <c r="A13" s="161" t="s">
        <v>645</v>
      </c>
      <c r="B13" s="162"/>
      <c r="C13" s="163"/>
      <c r="D13" s="164" t="s">
        <v>27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6"/>
    </row>
    <row r="14" spans="1:34" x14ac:dyDescent="0.25">
      <c r="A14" s="39"/>
      <c r="B14" s="40"/>
      <c r="C14" s="40"/>
      <c r="D14" s="40"/>
      <c r="E14" s="40"/>
      <c r="F14" s="41"/>
      <c r="G14" s="41"/>
      <c r="H14" s="41"/>
      <c r="I14" s="41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3"/>
    </row>
    <row r="15" spans="1:34" ht="15.75" x14ac:dyDescent="0.25">
      <c r="A15" s="171" t="s">
        <v>646</v>
      </c>
      <c r="B15" s="172"/>
      <c r="C15" s="173"/>
      <c r="D15" s="174" t="s">
        <v>647</v>
      </c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6"/>
      <c r="AC15" s="177">
        <f>SUM(Z16:AB40)</f>
        <v>1090.4227250000001</v>
      </c>
      <c r="AD15" s="172"/>
      <c r="AE15" s="173"/>
      <c r="AF15" s="177" t="s">
        <v>44</v>
      </c>
      <c r="AG15" s="172"/>
      <c r="AH15" s="178"/>
    </row>
    <row r="16" spans="1:34" ht="15.75" x14ac:dyDescent="0.25">
      <c r="A16" s="179"/>
      <c r="B16" s="180"/>
      <c r="C16" s="181"/>
      <c r="D16" s="182" t="s">
        <v>648</v>
      </c>
      <c r="E16" s="183"/>
      <c r="F16" s="183"/>
      <c r="G16" s="183"/>
      <c r="H16" s="183"/>
      <c r="I16" s="183"/>
      <c r="J16" s="56"/>
      <c r="K16" s="184">
        <v>16.52</v>
      </c>
      <c r="L16" s="181"/>
      <c r="M16" s="184"/>
      <c r="N16" s="181"/>
      <c r="O16" s="184">
        <v>12.16</v>
      </c>
      <c r="P16" s="181"/>
      <c r="Q16" s="184"/>
      <c r="R16" s="181"/>
      <c r="S16" s="184">
        <v>1.2</v>
      </c>
      <c r="T16" s="181"/>
      <c r="U16" s="184">
        <v>1.2</v>
      </c>
      <c r="V16" s="181"/>
      <c r="W16" s="185">
        <f t="shared" ref="W16:W25" si="0">ROUND(K16*O16,2)</f>
        <v>200.88</v>
      </c>
      <c r="X16" s="186"/>
      <c r="Y16" s="187"/>
      <c r="Z16" s="185">
        <f t="shared" ref="Z16:Z40" si="1">W16*((S16+U16)/2)</f>
        <v>241.05599999999998</v>
      </c>
      <c r="AA16" s="186"/>
      <c r="AB16" s="187"/>
      <c r="AC16" s="44"/>
      <c r="AD16" s="45"/>
      <c r="AE16" s="46"/>
      <c r="AF16" s="44"/>
      <c r="AG16" s="45"/>
      <c r="AH16" s="47"/>
    </row>
    <row r="17" spans="1:34" ht="15.75" x14ac:dyDescent="0.25">
      <c r="A17" s="48"/>
      <c r="B17" s="49"/>
      <c r="C17" s="50"/>
      <c r="D17" s="182" t="s">
        <v>649</v>
      </c>
      <c r="E17" s="183"/>
      <c r="F17" s="183"/>
      <c r="G17" s="183"/>
      <c r="H17" s="183"/>
      <c r="I17" s="183"/>
      <c r="J17" s="56"/>
      <c r="K17" s="184">
        <v>8</v>
      </c>
      <c r="L17" s="181"/>
      <c r="M17" s="184"/>
      <c r="N17" s="181"/>
      <c r="O17" s="184">
        <v>5.6</v>
      </c>
      <c r="P17" s="181"/>
      <c r="Q17" s="184"/>
      <c r="R17" s="181"/>
      <c r="S17" s="184">
        <v>1.2</v>
      </c>
      <c r="T17" s="181"/>
      <c r="U17" s="184">
        <v>1.2</v>
      </c>
      <c r="V17" s="181"/>
      <c r="W17" s="185">
        <f t="shared" si="0"/>
        <v>44.8</v>
      </c>
      <c r="X17" s="186"/>
      <c r="Y17" s="187"/>
      <c r="Z17" s="185">
        <f t="shared" si="1"/>
        <v>53.76</v>
      </c>
      <c r="AA17" s="186"/>
      <c r="AB17" s="187"/>
      <c r="AC17" s="44"/>
      <c r="AD17" s="45"/>
      <c r="AE17" s="46"/>
      <c r="AF17" s="44"/>
      <c r="AG17" s="45"/>
      <c r="AH17" s="47"/>
    </row>
    <row r="18" spans="1:34" ht="15.75" x14ac:dyDescent="0.25">
      <c r="A18" s="48"/>
      <c r="B18" s="49"/>
      <c r="C18" s="50"/>
      <c r="D18" s="182" t="s">
        <v>650</v>
      </c>
      <c r="E18" s="183"/>
      <c r="F18" s="183"/>
      <c r="G18" s="183"/>
      <c r="H18" s="183"/>
      <c r="I18" s="183"/>
      <c r="J18" s="57"/>
      <c r="K18" s="184">
        <v>8</v>
      </c>
      <c r="L18" s="181"/>
      <c r="M18" s="184"/>
      <c r="N18" s="181"/>
      <c r="O18" s="184">
        <v>5.6</v>
      </c>
      <c r="P18" s="181"/>
      <c r="Q18" s="184"/>
      <c r="R18" s="181"/>
      <c r="S18" s="184">
        <v>1.2</v>
      </c>
      <c r="T18" s="181"/>
      <c r="U18" s="184">
        <v>1.2</v>
      </c>
      <c r="V18" s="181"/>
      <c r="W18" s="185">
        <f t="shared" si="0"/>
        <v>44.8</v>
      </c>
      <c r="X18" s="186"/>
      <c r="Y18" s="187"/>
      <c r="Z18" s="185">
        <f t="shared" si="1"/>
        <v>53.76</v>
      </c>
      <c r="AA18" s="186"/>
      <c r="AB18" s="187"/>
      <c r="AC18" s="44"/>
      <c r="AD18" s="45"/>
      <c r="AE18" s="46"/>
      <c r="AF18" s="44"/>
      <c r="AG18" s="45"/>
      <c r="AH18" s="47"/>
    </row>
    <row r="19" spans="1:34" ht="15.75" x14ac:dyDescent="0.25">
      <c r="A19" s="48"/>
      <c r="B19" s="49"/>
      <c r="C19" s="50"/>
      <c r="D19" s="182" t="s">
        <v>651</v>
      </c>
      <c r="E19" s="183"/>
      <c r="F19" s="183"/>
      <c r="G19" s="183"/>
      <c r="H19" s="183"/>
      <c r="I19" s="183"/>
      <c r="J19" s="57"/>
      <c r="K19" s="184">
        <v>8</v>
      </c>
      <c r="L19" s="181"/>
      <c r="M19" s="184"/>
      <c r="N19" s="181"/>
      <c r="O19" s="184">
        <v>5.6</v>
      </c>
      <c r="P19" s="181"/>
      <c r="Q19" s="184"/>
      <c r="R19" s="181"/>
      <c r="S19" s="184">
        <v>1.2</v>
      </c>
      <c r="T19" s="181"/>
      <c r="U19" s="184">
        <v>1.2</v>
      </c>
      <c r="V19" s="181"/>
      <c r="W19" s="185">
        <f t="shared" si="0"/>
        <v>44.8</v>
      </c>
      <c r="X19" s="186"/>
      <c r="Y19" s="187"/>
      <c r="Z19" s="185">
        <f t="shared" si="1"/>
        <v>53.76</v>
      </c>
      <c r="AA19" s="186"/>
      <c r="AB19" s="187"/>
      <c r="AC19" s="44"/>
      <c r="AD19" s="45"/>
      <c r="AE19" s="46"/>
      <c r="AF19" s="44"/>
      <c r="AG19" s="45"/>
      <c r="AH19" s="47"/>
    </row>
    <row r="20" spans="1:34" ht="15.75" x14ac:dyDescent="0.25">
      <c r="A20" s="48"/>
      <c r="B20" s="49"/>
      <c r="C20" s="50"/>
      <c r="D20" s="182" t="s">
        <v>652</v>
      </c>
      <c r="E20" s="183"/>
      <c r="F20" s="183"/>
      <c r="G20" s="183"/>
      <c r="H20" s="183"/>
      <c r="I20" s="183"/>
      <c r="J20" s="56"/>
      <c r="K20" s="184">
        <v>8</v>
      </c>
      <c r="L20" s="181"/>
      <c r="M20" s="184"/>
      <c r="N20" s="181"/>
      <c r="O20" s="184">
        <v>5.6</v>
      </c>
      <c r="P20" s="181"/>
      <c r="Q20" s="184"/>
      <c r="R20" s="181"/>
      <c r="S20" s="184">
        <v>1.2</v>
      </c>
      <c r="T20" s="181"/>
      <c r="U20" s="184">
        <v>1.2</v>
      </c>
      <c r="V20" s="181"/>
      <c r="W20" s="185">
        <f t="shared" si="0"/>
        <v>44.8</v>
      </c>
      <c r="X20" s="186"/>
      <c r="Y20" s="187"/>
      <c r="Z20" s="185">
        <f t="shared" si="1"/>
        <v>53.76</v>
      </c>
      <c r="AA20" s="186"/>
      <c r="AB20" s="187"/>
      <c r="AC20" s="44"/>
      <c r="AD20" s="45"/>
      <c r="AE20" s="46"/>
      <c r="AF20" s="44"/>
      <c r="AG20" s="45"/>
      <c r="AH20" s="47"/>
    </row>
    <row r="21" spans="1:34" ht="15.75" x14ac:dyDescent="0.25">
      <c r="A21" s="48"/>
      <c r="B21" s="49"/>
      <c r="C21" s="50"/>
      <c r="D21" s="182" t="s">
        <v>653</v>
      </c>
      <c r="E21" s="183"/>
      <c r="F21" s="183"/>
      <c r="G21" s="183"/>
      <c r="H21" s="183"/>
      <c r="I21" s="183"/>
      <c r="J21" s="56"/>
      <c r="K21" s="184">
        <v>8</v>
      </c>
      <c r="L21" s="181"/>
      <c r="M21" s="184"/>
      <c r="N21" s="181"/>
      <c r="O21" s="184">
        <v>5.6</v>
      </c>
      <c r="P21" s="181"/>
      <c r="Q21" s="184"/>
      <c r="R21" s="181"/>
      <c r="S21" s="184">
        <v>1.2</v>
      </c>
      <c r="T21" s="181"/>
      <c r="U21" s="184">
        <v>1.2</v>
      </c>
      <c r="V21" s="181"/>
      <c r="W21" s="185">
        <f t="shared" si="0"/>
        <v>44.8</v>
      </c>
      <c r="X21" s="186"/>
      <c r="Y21" s="187"/>
      <c r="Z21" s="185">
        <f t="shared" si="1"/>
        <v>53.76</v>
      </c>
      <c r="AA21" s="186"/>
      <c r="AB21" s="187"/>
      <c r="AC21" s="44"/>
      <c r="AD21" s="45"/>
      <c r="AE21" s="46"/>
      <c r="AF21" s="44"/>
      <c r="AG21" s="45"/>
      <c r="AH21" s="47"/>
    </row>
    <row r="22" spans="1:34" ht="15.75" x14ac:dyDescent="0.25">
      <c r="A22" s="48"/>
      <c r="B22" s="49"/>
      <c r="C22" s="50"/>
      <c r="D22" s="182" t="s">
        <v>654</v>
      </c>
      <c r="E22" s="183"/>
      <c r="F22" s="183"/>
      <c r="G22" s="183"/>
      <c r="H22" s="183"/>
      <c r="I22" s="183"/>
      <c r="J22" s="56"/>
      <c r="K22" s="184">
        <v>8</v>
      </c>
      <c r="L22" s="181"/>
      <c r="M22" s="184"/>
      <c r="N22" s="181"/>
      <c r="O22" s="184">
        <v>5.6</v>
      </c>
      <c r="P22" s="181"/>
      <c r="Q22" s="184"/>
      <c r="R22" s="181"/>
      <c r="S22" s="184">
        <v>1.2</v>
      </c>
      <c r="T22" s="181"/>
      <c r="U22" s="184">
        <v>1.2</v>
      </c>
      <c r="V22" s="181"/>
      <c r="W22" s="185">
        <f t="shared" si="0"/>
        <v>44.8</v>
      </c>
      <c r="X22" s="186"/>
      <c r="Y22" s="187"/>
      <c r="Z22" s="185">
        <f t="shared" si="1"/>
        <v>53.76</v>
      </c>
      <c r="AA22" s="186"/>
      <c r="AB22" s="187"/>
      <c r="AC22" s="44"/>
      <c r="AD22" s="45"/>
      <c r="AE22" s="46"/>
      <c r="AF22" s="44"/>
      <c r="AG22" s="45"/>
      <c r="AH22" s="47"/>
    </row>
    <row r="23" spans="1:34" ht="15.75" x14ac:dyDescent="0.25">
      <c r="A23" s="48"/>
      <c r="B23" s="49"/>
      <c r="C23" s="50"/>
      <c r="D23" s="182" t="s">
        <v>655</v>
      </c>
      <c r="E23" s="183"/>
      <c r="F23" s="183"/>
      <c r="G23" s="183"/>
      <c r="H23" s="183"/>
      <c r="I23" s="183"/>
      <c r="J23" s="56"/>
      <c r="K23" s="184">
        <v>3</v>
      </c>
      <c r="L23" s="181"/>
      <c r="M23" s="184"/>
      <c r="N23" s="181"/>
      <c r="O23" s="184">
        <v>4</v>
      </c>
      <c r="P23" s="181"/>
      <c r="Q23" s="184"/>
      <c r="R23" s="181"/>
      <c r="S23" s="184">
        <v>1</v>
      </c>
      <c r="T23" s="181"/>
      <c r="U23" s="184">
        <v>1</v>
      </c>
      <c r="V23" s="181"/>
      <c r="W23" s="185">
        <f t="shared" si="0"/>
        <v>12</v>
      </c>
      <c r="X23" s="186"/>
      <c r="Y23" s="187"/>
      <c r="Z23" s="185">
        <f t="shared" si="1"/>
        <v>12</v>
      </c>
      <c r="AA23" s="186"/>
      <c r="AB23" s="187"/>
      <c r="AC23" s="44"/>
      <c r="AD23" s="45"/>
      <c r="AE23" s="46"/>
      <c r="AF23" s="44"/>
      <c r="AG23" s="45"/>
      <c r="AH23" s="47"/>
    </row>
    <row r="24" spans="1:34" ht="15.75" x14ac:dyDescent="0.25">
      <c r="A24" s="179"/>
      <c r="B24" s="180"/>
      <c r="C24" s="181"/>
      <c r="D24" s="182" t="s">
        <v>656</v>
      </c>
      <c r="E24" s="183"/>
      <c r="F24" s="183"/>
      <c r="G24" s="183"/>
      <c r="H24" s="183"/>
      <c r="I24" s="183"/>
      <c r="J24" s="56"/>
      <c r="K24" s="184">
        <v>4.8499999999999996</v>
      </c>
      <c r="L24" s="181"/>
      <c r="M24" s="184"/>
      <c r="N24" s="181"/>
      <c r="O24" s="184">
        <v>4</v>
      </c>
      <c r="P24" s="181"/>
      <c r="Q24" s="184"/>
      <c r="R24" s="181"/>
      <c r="S24" s="184">
        <v>1</v>
      </c>
      <c r="T24" s="181"/>
      <c r="U24" s="184">
        <v>1</v>
      </c>
      <c r="V24" s="181"/>
      <c r="W24" s="185">
        <f t="shared" si="0"/>
        <v>19.399999999999999</v>
      </c>
      <c r="X24" s="186"/>
      <c r="Y24" s="187"/>
      <c r="Z24" s="185">
        <f t="shared" si="1"/>
        <v>19.399999999999999</v>
      </c>
      <c r="AA24" s="186"/>
      <c r="AB24" s="187"/>
      <c r="AC24" s="44"/>
      <c r="AD24" s="45"/>
      <c r="AE24" s="46"/>
      <c r="AF24" s="44"/>
      <c r="AG24" s="45"/>
      <c r="AH24" s="47"/>
    </row>
    <row r="25" spans="1:34" ht="15.75" x14ac:dyDescent="0.25">
      <c r="A25" s="179"/>
      <c r="B25" s="180"/>
      <c r="C25" s="181"/>
      <c r="D25" s="182" t="s">
        <v>657</v>
      </c>
      <c r="E25" s="183"/>
      <c r="F25" s="183"/>
      <c r="G25" s="183"/>
      <c r="H25" s="183"/>
      <c r="I25" s="183"/>
      <c r="J25" s="56"/>
      <c r="K25" s="184">
        <v>1.41</v>
      </c>
      <c r="L25" s="181"/>
      <c r="M25" s="184"/>
      <c r="N25" s="181"/>
      <c r="O25" s="184">
        <v>1.7</v>
      </c>
      <c r="P25" s="181"/>
      <c r="Q25" s="184"/>
      <c r="R25" s="181"/>
      <c r="S25" s="184">
        <v>1</v>
      </c>
      <c r="T25" s="181"/>
      <c r="U25" s="184">
        <v>1</v>
      </c>
      <c r="V25" s="181"/>
      <c r="W25" s="185">
        <f t="shared" si="0"/>
        <v>2.4</v>
      </c>
      <c r="X25" s="186"/>
      <c r="Y25" s="187"/>
      <c r="Z25" s="185">
        <f t="shared" si="1"/>
        <v>2.4</v>
      </c>
      <c r="AA25" s="186"/>
      <c r="AB25" s="187"/>
      <c r="AC25" s="44"/>
      <c r="AD25" s="45"/>
      <c r="AE25" s="46"/>
      <c r="AF25" s="44"/>
      <c r="AG25" s="45"/>
      <c r="AH25" s="47"/>
    </row>
    <row r="26" spans="1:34" ht="15.75" x14ac:dyDescent="0.25">
      <c r="A26" s="179"/>
      <c r="B26" s="180"/>
      <c r="C26" s="181"/>
      <c r="D26" s="182" t="s">
        <v>658</v>
      </c>
      <c r="E26" s="183"/>
      <c r="F26" s="183"/>
      <c r="G26" s="183"/>
      <c r="H26" s="183"/>
      <c r="I26" s="183"/>
      <c r="J26" s="56"/>
      <c r="K26" s="184">
        <v>6.45</v>
      </c>
      <c r="L26" s="181"/>
      <c r="M26" s="184">
        <v>1.41</v>
      </c>
      <c r="N26" s="181"/>
      <c r="O26" s="184">
        <v>5.3</v>
      </c>
      <c r="P26" s="181"/>
      <c r="Q26" s="184">
        <v>1.67</v>
      </c>
      <c r="R26" s="181"/>
      <c r="S26" s="184">
        <v>1</v>
      </c>
      <c r="T26" s="181"/>
      <c r="U26" s="184">
        <v>1</v>
      </c>
      <c r="V26" s="181"/>
      <c r="W26" s="185">
        <f>ROUND(K26*O26,2)+(M26*Q26)</f>
        <v>36.544699999999999</v>
      </c>
      <c r="X26" s="186"/>
      <c r="Y26" s="187"/>
      <c r="Z26" s="185">
        <f t="shared" si="1"/>
        <v>36.544699999999999</v>
      </c>
      <c r="AA26" s="186"/>
      <c r="AB26" s="187"/>
      <c r="AC26" s="44"/>
      <c r="AD26" s="45"/>
      <c r="AE26" s="46"/>
      <c r="AF26" s="44"/>
      <c r="AG26" s="45"/>
      <c r="AH26" s="47"/>
    </row>
    <row r="27" spans="1:34" ht="15.75" x14ac:dyDescent="0.25">
      <c r="A27" s="179"/>
      <c r="B27" s="180"/>
      <c r="C27" s="181"/>
      <c r="D27" s="182" t="s">
        <v>659</v>
      </c>
      <c r="E27" s="183"/>
      <c r="F27" s="183"/>
      <c r="G27" s="183"/>
      <c r="H27" s="183"/>
      <c r="I27" s="183"/>
      <c r="J27" s="56"/>
      <c r="K27" s="184">
        <v>1.45</v>
      </c>
      <c r="L27" s="181"/>
      <c r="M27" s="184"/>
      <c r="N27" s="181"/>
      <c r="O27" s="184">
        <v>1.65</v>
      </c>
      <c r="P27" s="181"/>
      <c r="Q27" s="184"/>
      <c r="R27" s="181"/>
      <c r="S27" s="184">
        <v>1</v>
      </c>
      <c r="T27" s="181"/>
      <c r="U27" s="184">
        <v>1</v>
      </c>
      <c r="V27" s="181"/>
      <c r="W27" s="185">
        <f>ROUND(K27*O27,2)</f>
        <v>2.39</v>
      </c>
      <c r="X27" s="186"/>
      <c r="Y27" s="187"/>
      <c r="Z27" s="185">
        <f t="shared" si="1"/>
        <v>2.39</v>
      </c>
      <c r="AA27" s="186"/>
      <c r="AB27" s="187"/>
      <c r="AC27" s="44"/>
      <c r="AD27" s="45"/>
      <c r="AE27" s="46"/>
      <c r="AF27" s="44"/>
      <c r="AG27" s="45"/>
      <c r="AH27" s="47"/>
    </row>
    <row r="28" spans="1:34" ht="15.75" x14ac:dyDescent="0.25">
      <c r="A28" s="179"/>
      <c r="B28" s="180"/>
      <c r="C28" s="181"/>
      <c r="D28" s="182" t="s">
        <v>660</v>
      </c>
      <c r="E28" s="183"/>
      <c r="F28" s="183"/>
      <c r="G28" s="183"/>
      <c r="H28" s="183"/>
      <c r="I28" s="183"/>
      <c r="J28" s="56"/>
      <c r="K28" s="184">
        <v>8</v>
      </c>
      <c r="L28" s="181"/>
      <c r="M28" s="184"/>
      <c r="N28" s="181"/>
      <c r="O28" s="184">
        <v>5.7</v>
      </c>
      <c r="P28" s="181"/>
      <c r="Q28" s="184"/>
      <c r="R28" s="181"/>
      <c r="S28" s="184">
        <v>1</v>
      </c>
      <c r="T28" s="181"/>
      <c r="U28" s="184">
        <v>0.9</v>
      </c>
      <c r="V28" s="181"/>
      <c r="W28" s="185">
        <f>ROUND(K28*O28,2)</f>
        <v>45.6</v>
      </c>
      <c r="X28" s="186"/>
      <c r="Y28" s="187"/>
      <c r="Z28" s="185">
        <f t="shared" si="1"/>
        <v>43.32</v>
      </c>
      <c r="AA28" s="186"/>
      <c r="AB28" s="187"/>
      <c r="AC28" s="44"/>
      <c r="AD28" s="45"/>
      <c r="AE28" s="46"/>
      <c r="AF28" s="44"/>
      <c r="AG28" s="45"/>
      <c r="AH28" s="47"/>
    </row>
    <row r="29" spans="1:34" ht="15.75" x14ac:dyDescent="0.25">
      <c r="A29" s="48"/>
      <c r="B29" s="49"/>
      <c r="C29" s="50"/>
      <c r="D29" s="51" t="s">
        <v>661</v>
      </c>
      <c r="E29" s="52"/>
      <c r="F29" s="52"/>
      <c r="G29" s="52"/>
      <c r="H29" s="52"/>
      <c r="I29" s="52"/>
      <c r="J29" s="56"/>
      <c r="K29" s="184">
        <v>8.01</v>
      </c>
      <c r="L29" s="181"/>
      <c r="M29" s="184"/>
      <c r="N29" s="181"/>
      <c r="O29" s="184">
        <v>9</v>
      </c>
      <c r="P29" s="181"/>
      <c r="Q29" s="184"/>
      <c r="R29" s="181"/>
      <c r="S29" s="184">
        <v>1</v>
      </c>
      <c r="T29" s="181"/>
      <c r="U29" s="184">
        <v>0.9</v>
      </c>
      <c r="V29" s="181"/>
      <c r="W29" s="185">
        <f>ROUND(K29*O29,2)</f>
        <v>72.09</v>
      </c>
      <c r="X29" s="186"/>
      <c r="Y29" s="187"/>
      <c r="Z29" s="185">
        <f t="shared" si="1"/>
        <v>68.485500000000002</v>
      </c>
      <c r="AA29" s="186"/>
      <c r="AB29" s="187"/>
      <c r="AC29" s="44"/>
      <c r="AD29" s="45"/>
      <c r="AE29" s="46"/>
      <c r="AF29" s="44"/>
      <c r="AG29" s="45"/>
      <c r="AH29" s="47"/>
    </row>
    <row r="30" spans="1:34" ht="15.75" x14ac:dyDescent="0.25">
      <c r="A30" s="48"/>
      <c r="B30" s="49"/>
      <c r="C30" s="50"/>
      <c r="D30" s="51" t="s">
        <v>662</v>
      </c>
      <c r="E30" s="52"/>
      <c r="F30" s="52"/>
      <c r="G30" s="52"/>
      <c r="H30" s="52"/>
      <c r="I30" s="52"/>
      <c r="J30" s="56"/>
      <c r="K30" s="184">
        <v>4.5</v>
      </c>
      <c r="L30" s="181"/>
      <c r="M30" s="184">
        <v>1.54</v>
      </c>
      <c r="N30" s="181"/>
      <c r="O30" s="184">
        <v>3</v>
      </c>
      <c r="P30" s="181"/>
      <c r="Q30" s="184">
        <v>3</v>
      </c>
      <c r="R30" s="181"/>
      <c r="S30" s="184">
        <v>1</v>
      </c>
      <c r="T30" s="181"/>
      <c r="U30" s="184">
        <v>1</v>
      </c>
      <c r="V30" s="181"/>
      <c r="W30" s="185">
        <f>ROUND(K30*O30,2)+(M30*Q30)</f>
        <v>18.12</v>
      </c>
      <c r="X30" s="186"/>
      <c r="Y30" s="187"/>
      <c r="Z30" s="185">
        <f t="shared" si="1"/>
        <v>18.12</v>
      </c>
      <c r="AA30" s="186"/>
      <c r="AB30" s="187"/>
      <c r="AC30" s="44"/>
      <c r="AD30" s="45"/>
      <c r="AE30" s="46"/>
      <c r="AF30" s="44"/>
      <c r="AG30" s="45"/>
      <c r="AH30" s="47"/>
    </row>
    <row r="31" spans="1:34" ht="15.75" x14ac:dyDescent="0.25">
      <c r="A31" s="48"/>
      <c r="B31" s="49"/>
      <c r="C31" s="50"/>
      <c r="D31" s="51" t="s">
        <v>663</v>
      </c>
      <c r="E31" s="52"/>
      <c r="F31" s="52"/>
      <c r="G31" s="52"/>
      <c r="H31" s="52"/>
      <c r="I31" s="52"/>
      <c r="J31" s="56"/>
      <c r="K31" s="184">
        <v>4.5</v>
      </c>
      <c r="L31" s="181"/>
      <c r="M31" s="184">
        <v>1.54</v>
      </c>
      <c r="N31" s="181"/>
      <c r="O31" s="184">
        <v>3</v>
      </c>
      <c r="P31" s="181"/>
      <c r="Q31" s="184">
        <v>3</v>
      </c>
      <c r="R31" s="181"/>
      <c r="S31" s="184">
        <v>1</v>
      </c>
      <c r="T31" s="181"/>
      <c r="U31" s="184">
        <v>1</v>
      </c>
      <c r="V31" s="181"/>
      <c r="W31" s="185">
        <f>ROUND(K31*O31,2)+(M31*Q31)</f>
        <v>18.12</v>
      </c>
      <c r="X31" s="186"/>
      <c r="Y31" s="187"/>
      <c r="Z31" s="185">
        <f t="shared" si="1"/>
        <v>18.12</v>
      </c>
      <c r="AA31" s="186"/>
      <c r="AB31" s="187"/>
      <c r="AC31" s="44"/>
      <c r="AD31" s="45"/>
      <c r="AE31" s="46"/>
      <c r="AF31" s="44"/>
      <c r="AG31" s="45"/>
      <c r="AH31" s="47"/>
    </row>
    <row r="32" spans="1:34" ht="15.75" x14ac:dyDescent="0.25">
      <c r="A32" s="48"/>
      <c r="B32" s="49"/>
      <c r="C32" s="50"/>
      <c r="D32" s="51" t="s">
        <v>664</v>
      </c>
      <c r="E32" s="52"/>
      <c r="F32" s="52"/>
      <c r="G32" s="52"/>
      <c r="H32" s="52"/>
      <c r="I32" s="52"/>
      <c r="J32" s="56"/>
      <c r="K32" s="184">
        <v>1.5</v>
      </c>
      <c r="L32" s="181"/>
      <c r="M32" s="184"/>
      <c r="N32" s="181"/>
      <c r="O32" s="184">
        <v>3</v>
      </c>
      <c r="P32" s="181"/>
      <c r="Q32" s="184"/>
      <c r="R32" s="181"/>
      <c r="S32" s="184">
        <v>1.1000000000000001</v>
      </c>
      <c r="T32" s="181"/>
      <c r="U32" s="184">
        <v>1.1000000000000001</v>
      </c>
      <c r="V32" s="181"/>
      <c r="W32" s="185">
        <f>ROUND(K32*O32,2)</f>
        <v>4.5</v>
      </c>
      <c r="X32" s="186"/>
      <c r="Y32" s="187"/>
      <c r="Z32" s="185">
        <f t="shared" si="1"/>
        <v>4.95</v>
      </c>
      <c r="AA32" s="186"/>
      <c r="AB32" s="187"/>
      <c r="AC32" s="44"/>
      <c r="AD32" s="45"/>
      <c r="AE32" s="46"/>
      <c r="AF32" s="44"/>
      <c r="AG32" s="45"/>
      <c r="AH32" s="47"/>
    </row>
    <row r="33" spans="1:34" ht="15.75" x14ac:dyDescent="0.25">
      <c r="A33" s="48"/>
      <c r="B33" s="49"/>
      <c r="C33" s="50"/>
      <c r="D33" s="51" t="s">
        <v>665</v>
      </c>
      <c r="E33" s="52"/>
      <c r="F33" s="52"/>
      <c r="G33" s="52"/>
      <c r="H33" s="52"/>
      <c r="I33" s="52"/>
      <c r="J33" s="56"/>
      <c r="K33" s="184">
        <v>2.5</v>
      </c>
      <c r="L33" s="181"/>
      <c r="M33" s="184"/>
      <c r="N33" s="181"/>
      <c r="O33" s="184">
        <v>3.15</v>
      </c>
      <c r="P33" s="181"/>
      <c r="Q33" s="184"/>
      <c r="R33" s="181"/>
      <c r="S33" s="184">
        <v>1.1000000000000001</v>
      </c>
      <c r="T33" s="181"/>
      <c r="U33" s="184">
        <v>1.1000000000000001</v>
      </c>
      <c r="V33" s="181"/>
      <c r="W33" s="185">
        <f>ROUND(K33*O33,2)</f>
        <v>7.88</v>
      </c>
      <c r="X33" s="186"/>
      <c r="Y33" s="187"/>
      <c r="Z33" s="185">
        <f t="shared" si="1"/>
        <v>8.668000000000001</v>
      </c>
      <c r="AA33" s="186"/>
      <c r="AB33" s="187"/>
      <c r="AC33" s="44"/>
      <c r="AD33" s="45"/>
      <c r="AE33" s="46"/>
      <c r="AF33" s="44"/>
      <c r="AG33" s="45"/>
      <c r="AH33" s="47"/>
    </row>
    <row r="34" spans="1:34" ht="15.75" x14ac:dyDescent="0.25">
      <c r="A34" s="48"/>
      <c r="B34" s="49"/>
      <c r="C34" s="50"/>
      <c r="D34" s="51" t="s">
        <v>666</v>
      </c>
      <c r="E34" s="52"/>
      <c r="F34" s="52"/>
      <c r="G34" s="52"/>
      <c r="H34" s="52"/>
      <c r="I34" s="52"/>
      <c r="J34" s="56"/>
      <c r="K34" s="184">
        <v>7.85</v>
      </c>
      <c r="L34" s="181"/>
      <c r="M34" s="184"/>
      <c r="N34" s="181"/>
      <c r="O34" s="184">
        <v>3</v>
      </c>
      <c r="P34" s="181"/>
      <c r="Q34" s="184"/>
      <c r="R34" s="181"/>
      <c r="S34" s="184">
        <v>1.1000000000000001</v>
      </c>
      <c r="T34" s="181"/>
      <c r="U34" s="184">
        <v>1.1000000000000001</v>
      </c>
      <c r="V34" s="181"/>
      <c r="W34" s="185">
        <f>ROUND(K34*O34,2)</f>
        <v>23.55</v>
      </c>
      <c r="X34" s="186"/>
      <c r="Y34" s="187"/>
      <c r="Z34" s="185">
        <f t="shared" si="1"/>
        <v>25.905000000000001</v>
      </c>
      <c r="AA34" s="186"/>
      <c r="AB34" s="187"/>
      <c r="AC34" s="44"/>
      <c r="AD34" s="45"/>
      <c r="AE34" s="46"/>
      <c r="AF34" s="44"/>
      <c r="AG34" s="45"/>
      <c r="AH34" s="47"/>
    </row>
    <row r="35" spans="1:34" ht="15.75" x14ac:dyDescent="0.25">
      <c r="A35" s="48"/>
      <c r="B35" s="49"/>
      <c r="C35" s="50"/>
      <c r="D35" s="51" t="s">
        <v>667</v>
      </c>
      <c r="E35" s="52"/>
      <c r="F35" s="52"/>
      <c r="G35" s="52"/>
      <c r="H35" s="52"/>
      <c r="I35" s="52"/>
      <c r="J35" s="56"/>
      <c r="K35" s="184">
        <v>4.9000000000000004</v>
      </c>
      <c r="L35" s="181"/>
      <c r="M35" s="184"/>
      <c r="N35" s="181"/>
      <c r="O35" s="184">
        <v>3.15</v>
      </c>
      <c r="P35" s="181"/>
      <c r="Q35" s="184"/>
      <c r="R35" s="181"/>
      <c r="S35" s="184">
        <v>1.1000000000000001</v>
      </c>
      <c r="T35" s="181"/>
      <c r="U35" s="184">
        <v>1.1000000000000001</v>
      </c>
      <c r="V35" s="181"/>
      <c r="W35" s="185">
        <f>ROUND(K35*O35,2)</f>
        <v>15.44</v>
      </c>
      <c r="X35" s="186"/>
      <c r="Y35" s="187"/>
      <c r="Z35" s="185">
        <f t="shared" si="1"/>
        <v>16.984000000000002</v>
      </c>
      <c r="AA35" s="186"/>
      <c r="AB35" s="187"/>
      <c r="AC35" s="44"/>
      <c r="AD35" s="45"/>
      <c r="AE35" s="46"/>
      <c r="AF35" s="44"/>
      <c r="AG35" s="45"/>
      <c r="AH35" s="47"/>
    </row>
    <row r="36" spans="1:34" ht="15.75" x14ac:dyDescent="0.25">
      <c r="A36" s="48"/>
      <c r="B36" s="49"/>
      <c r="C36" s="50"/>
      <c r="D36" s="51" t="s">
        <v>668</v>
      </c>
      <c r="E36" s="52"/>
      <c r="F36" s="52"/>
      <c r="G36" s="52"/>
      <c r="H36" s="52"/>
      <c r="I36" s="52"/>
      <c r="J36" s="56"/>
      <c r="K36" s="184">
        <v>1.8</v>
      </c>
      <c r="L36" s="181"/>
      <c r="M36" s="184"/>
      <c r="N36" s="181"/>
      <c r="O36" s="184">
        <v>3</v>
      </c>
      <c r="P36" s="181"/>
      <c r="Q36" s="184"/>
      <c r="R36" s="181"/>
      <c r="S36" s="184">
        <v>1.1000000000000001</v>
      </c>
      <c r="T36" s="181"/>
      <c r="U36" s="184">
        <v>1.1000000000000001</v>
      </c>
      <c r="V36" s="181"/>
      <c r="W36" s="185">
        <f>ROUND(K36*O36,2)</f>
        <v>5.4</v>
      </c>
      <c r="X36" s="186"/>
      <c r="Y36" s="187"/>
      <c r="Z36" s="185">
        <f t="shared" si="1"/>
        <v>5.9400000000000013</v>
      </c>
      <c r="AA36" s="186"/>
      <c r="AB36" s="187"/>
      <c r="AC36" s="44"/>
      <c r="AD36" s="45"/>
      <c r="AE36" s="46"/>
      <c r="AF36" s="44"/>
      <c r="AG36" s="45"/>
      <c r="AH36" s="47"/>
    </row>
    <row r="37" spans="1:34" ht="15.75" x14ac:dyDescent="0.25">
      <c r="A37" s="53"/>
      <c r="B37" s="54"/>
      <c r="C37" s="55"/>
      <c r="D37" s="51" t="s">
        <v>669</v>
      </c>
      <c r="E37" s="52"/>
      <c r="F37" s="52"/>
      <c r="G37" s="52"/>
      <c r="H37" s="52"/>
      <c r="I37" s="52"/>
      <c r="J37" s="56"/>
      <c r="K37" s="184">
        <v>12.15</v>
      </c>
      <c r="L37" s="181"/>
      <c r="M37" s="184">
        <v>8</v>
      </c>
      <c r="N37" s="181"/>
      <c r="O37" s="184">
        <v>5</v>
      </c>
      <c r="P37" s="181"/>
      <c r="Q37" s="184">
        <v>5</v>
      </c>
      <c r="R37" s="181"/>
      <c r="S37" s="184">
        <v>1.1000000000000001</v>
      </c>
      <c r="T37" s="181"/>
      <c r="U37" s="184">
        <v>1</v>
      </c>
      <c r="V37" s="181"/>
      <c r="W37" s="185">
        <f>ROUND(K37*O37,2)+(M37*Q37)</f>
        <v>100.75</v>
      </c>
      <c r="X37" s="186"/>
      <c r="Y37" s="187"/>
      <c r="Z37" s="185">
        <f t="shared" si="1"/>
        <v>105.78750000000001</v>
      </c>
      <c r="AA37" s="186"/>
      <c r="AB37" s="187"/>
      <c r="AC37" s="44"/>
      <c r="AD37" s="45"/>
      <c r="AE37" s="46"/>
      <c r="AF37" s="44"/>
      <c r="AG37" s="45"/>
      <c r="AH37" s="47"/>
    </row>
    <row r="38" spans="1:34" ht="15.75" x14ac:dyDescent="0.25">
      <c r="A38" s="53"/>
      <c r="B38" s="54"/>
      <c r="C38" s="55"/>
      <c r="D38" s="51" t="s">
        <v>670</v>
      </c>
      <c r="E38" s="52"/>
      <c r="F38" s="52"/>
      <c r="G38" s="52"/>
      <c r="H38" s="52"/>
      <c r="I38" s="52"/>
      <c r="J38" s="56"/>
      <c r="K38" s="184">
        <v>8</v>
      </c>
      <c r="L38" s="181"/>
      <c r="M38" s="184"/>
      <c r="N38" s="181"/>
      <c r="O38" s="184">
        <v>5</v>
      </c>
      <c r="P38" s="181"/>
      <c r="Q38" s="184"/>
      <c r="R38" s="181"/>
      <c r="S38" s="184">
        <v>1.1000000000000001</v>
      </c>
      <c r="T38" s="181"/>
      <c r="U38" s="184">
        <v>1</v>
      </c>
      <c r="V38" s="181"/>
      <c r="W38" s="185">
        <f>ROUND(K38*O38,2)</f>
        <v>40</v>
      </c>
      <c r="X38" s="186"/>
      <c r="Y38" s="187"/>
      <c r="Z38" s="185">
        <f t="shared" si="1"/>
        <v>42</v>
      </c>
      <c r="AA38" s="186"/>
      <c r="AB38" s="187"/>
      <c r="AC38" s="44"/>
      <c r="AD38" s="45"/>
      <c r="AE38" s="46"/>
      <c r="AF38" s="44"/>
      <c r="AG38" s="45"/>
      <c r="AH38" s="47"/>
    </row>
    <row r="39" spans="1:34" ht="15.75" x14ac:dyDescent="0.25">
      <c r="A39" s="53"/>
      <c r="B39" s="54"/>
      <c r="C39" s="55"/>
      <c r="D39" s="51" t="s">
        <v>671</v>
      </c>
      <c r="E39" s="52"/>
      <c r="F39" s="52"/>
      <c r="G39" s="52"/>
      <c r="H39" s="52"/>
      <c r="I39" s="52"/>
      <c r="J39" s="56"/>
      <c r="K39" s="184">
        <v>2.2000000000000002</v>
      </c>
      <c r="L39" s="181"/>
      <c r="M39" s="184">
        <v>1.67</v>
      </c>
      <c r="N39" s="181"/>
      <c r="O39" s="184">
        <v>15</v>
      </c>
      <c r="P39" s="181"/>
      <c r="Q39" s="184">
        <v>6.15</v>
      </c>
      <c r="R39" s="181"/>
      <c r="S39" s="184">
        <v>1.1000000000000001</v>
      </c>
      <c r="T39" s="181"/>
      <c r="U39" s="184">
        <v>1</v>
      </c>
      <c r="V39" s="181"/>
      <c r="W39" s="185">
        <f>ROUND(K39*O39,2)+(M39*Q39)</f>
        <v>43.270499999999998</v>
      </c>
      <c r="X39" s="186"/>
      <c r="Y39" s="187"/>
      <c r="Z39" s="185">
        <f t="shared" si="1"/>
        <v>45.434024999999998</v>
      </c>
      <c r="AA39" s="186"/>
      <c r="AB39" s="187"/>
      <c r="AC39" s="44"/>
      <c r="AD39" s="45"/>
      <c r="AE39" s="46"/>
      <c r="AF39" s="44"/>
      <c r="AG39" s="45"/>
      <c r="AH39" s="47"/>
    </row>
    <row r="40" spans="1:34" ht="15.75" x14ac:dyDescent="0.25">
      <c r="A40" s="53"/>
      <c r="B40" s="54"/>
      <c r="C40" s="55"/>
      <c r="D40" s="51" t="s">
        <v>672</v>
      </c>
      <c r="E40" s="52"/>
      <c r="F40" s="52"/>
      <c r="G40" s="52"/>
      <c r="H40" s="52"/>
      <c r="I40" s="52"/>
      <c r="J40" s="56"/>
      <c r="K40" s="184">
        <v>2.2000000000000002</v>
      </c>
      <c r="L40" s="181"/>
      <c r="M40" s="184">
        <v>0</v>
      </c>
      <c r="N40" s="181"/>
      <c r="O40" s="184">
        <v>21.8</v>
      </c>
      <c r="P40" s="181"/>
      <c r="Q40" s="184">
        <v>0</v>
      </c>
      <c r="R40" s="181"/>
      <c r="S40" s="184">
        <v>1.1000000000000001</v>
      </c>
      <c r="T40" s="181"/>
      <c r="U40" s="184">
        <v>1</v>
      </c>
      <c r="V40" s="181"/>
      <c r="W40" s="185">
        <f>ROUND(K40*O40,2)</f>
        <v>47.96</v>
      </c>
      <c r="X40" s="186"/>
      <c r="Y40" s="187"/>
      <c r="Z40" s="185">
        <f t="shared" si="1"/>
        <v>50.358000000000004</v>
      </c>
      <c r="AA40" s="186"/>
      <c r="AB40" s="187"/>
      <c r="AC40" s="44"/>
      <c r="AD40" s="45"/>
      <c r="AE40" s="46"/>
      <c r="AF40" s="44"/>
      <c r="AG40" s="45"/>
      <c r="AH40" s="47"/>
    </row>
    <row r="42" spans="1:34" x14ac:dyDescent="0.25">
      <c r="AD42" s="63">
        <f>AC15</f>
        <v>1090.4227250000001</v>
      </c>
    </row>
  </sheetData>
  <protectedRanges>
    <protectedRange sqref="AC16:AC40 AB9:AC15" name="Intervalo1_1"/>
  </protectedRanges>
  <mergeCells count="243">
    <mergeCell ref="A1:I7"/>
    <mergeCell ref="J1:AH4"/>
    <mergeCell ref="J5:AH7"/>
    <mergeCell ref="Z39:AB39"/>
    <mergeCell ref="K40:L40"/>
    <mergeCell ref="M40:N40"/>
    <mergeCell ref="O40:P40"/>
    <mergeCell ref="Q40:R40"/>
    <mergeCell ref="S40:T40"/>
    <mergeCell ref="U40:V40"/>
    <mergeCell ref="W40:Y40"/>
    <mergeCell ref="Z40:AB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U37:V37"/>
    <mergeCell ref="W37:Y37"/>
    <mergeCell ref="Z37:AB37"/>
    <mergeCell ref="K38:L38"/>
    <mergeCell ref="M38:N38"/>
    <mergeCell ref="O38:P38"/>
    <mergeCell ref="Q38:R38"/>
    <mergeCell ref="S38:T38"/>
    <mergeCell ref="U38:V38"/>
    <mergeCell ref="K37:L37"/>
    <mergeCell ref="M37:N37"/>
    <mergeCell ref="O37:P37"/>
    <mergeCell ref="Q37:R37"/>
    <mergeCell ref="S37:T37"/>
    <mergeCell ref="K35:L35"/>
    <mergeCell ref="M35:N35"/>
    <mergeCell ref="O35:P35"/>
    <mergeCell ref="Q35:R35"/>
    <mergeCell ref="S35:T35"/>
    <mergeCell ref="U35:V35"/>
    <mergeCell ref="W35:Y35"/>
    <mergeCell ref="Z35:AB35"/>
    <mergeCell ref="K36:L36"/>
    <mergeCell ref="M36:N36"/>
    <mergeCell ref="O36:P36"/>
    <mergeCell ref="Q36:R36"/>
    <mergeCell ref="S36:T36"/>
    <mergeCell ref="U36:V36"/>
    <mergeCell ref="W36:Y36"/>
    <mergeCell ref="Z36:AB36"/>
    <mergeCell ref="U33:V33"/>
    <mergeCell ref="W33:Y33"/>
    <mergeCell ref="Z33:AB33"/>
    <mergeCell ref="K34:L34"/>
    <mergeCell ref="M34:N34"/>
    <mergeCell ref="O34:P34"/>
    <mergeCell ref="Q34:R34"/>
    <mergeCell ref="S34:T34"/>
    <mergeCell ref="U34:V34"/>
    <mergeCell ref="K33:L33"/>
    <mergeCell ref="M33:N33"/>
    <mergeCell ref="O33:P33"/>
    <mergeCell ref="Q33:R33"/>
    <mergeCell ref="S33:T33"/>
    <mergeCell ref="W34:Y34"/>
    <mergeCell ref="Z34:AB34"/>
    <mergeCell ref="K31:L31"/>
    <mergeCell ref="M31:N31"/>
    <mergeCell ref="O31:P31"/>
    <mergeCell ref="Q31:R31"/>
    <mergeCell ref="S31:T31"/>
    <mergeCell ref="U31:V31"/>
    <mergeCell ref="W31:Y31"/>
    <mergeCell ref="Z31:AB31"/>
    <mergeCell ref="K32:L32"/>
    <mergeCell ref="M32:N32"/>
    <mergeCell ref="O32:P32"/>
    <mergeCell ref="Q32:R32"/>
    <mergeCell ref="S32:T32"/>
    <mergeCell ref="U32:V32"/>
    <mergeCell ref="W32:Y32"/>
    <mergeCell ref="Z32:AB32"/>
    <mergeCell ref="U29:V29"/>
    <mergeCell ref="W29:Y29"/>
    <mergeCell ref="Z29:AB29"/>
    <mergeCell ref="K30:L30"/>
    <mergeCell ref="M30:N30"/>
    <mergeCell ref="O30:P30"/>
    <mergeCell ref="Q30:R30"/>
    <mergeCell ref="S30:T30"/>
    <mergeCell ref="U30:V30"/>
    <mergeCell ref="K29:L29"/>
    <mergeCell ref="M29:N29"/>
    <mergeCell ref="O29:P29"/>
    <mergeCell ref="Q29:R29"/>
    <mergeCell ref="S29:T29"/>
    <mergeCell ref="W30:Y30"/>
    <mergeCell ref="Z30:AB30"/>
    <mergeCell ref="Q28:R28"/>
    <mergeCell ref="S28:T28"/>
    <mergeCell ref="U28:V28"/>
    <mergeCell ref="W28:Y28"/>
    <mergeCell ref="Z28:AB28"/>
    <mergeCell ref="Q27:R27"/>
    <mergeCell ref="S27:T27"/>
    <mergeCell ref="U27:V27"/>
    <mergeCell ref="W27:Y27"/>
    <mergeCell ref="Z27:AB27"/>
    <mergeCell ref="A28:C28"/>
    <mergeCell ref="D28:I28"/>
    <mergeCell ref="K28:L28"/>
    <mergeCell ref="M28:N28"/>
    <mergeCell ref="A27:C27"/>
    <mergeCell ref="D27:I27"/>
    <mergeCell ref="K27:L27"/>
    <mergeCell ref="M27:N27"/>
    <mergeCell ref="O27:P27"/>
    <mergeCell ref="O28:P28"/>
    <mergeCell ref="Q26:R26"/>
    <mergeCell ref="S26:T26"/>
    <mergeCell ref="U26:V26"/>
    <mergeCell ref="W26:Y26"/>
    <mergeCell ref="Z26:AB26"/>
    <mergeCell ref="Q25:R25"/>
    <mergeCell ref="S25:T25"/>
    <mergeCell ref="U25:V25"/>
    <mergeCell ref="W25:Y25"/>
    <mergeCell ref="Z25:AB25"/>
    <mergeCell ref="A26:C26"/>
    <mergeCell ref="D26:I26"/>
    <mergeCell ref="K26:L26"/>
    <mergeCell ref="M26:N26"/>
    <mergeCell ref="A25:C25"/>
    <mergeCell ref="D25:I25"/>
    <mergeCell ref="K25:L25"/>
    <mergeCell ref="M25:N25"/>
    <mergeCell ref="O25:P25"/>
    <mergeCell ref="O26:P26"/>
    <mergeCell ref="S22:T22"/>
    <mergeCell ref="U22:V22"/>
    <mergeCell ref="W22:Y22"/>
    <mergeCell ref="Z22:AB22"/>
    <mergeCell ref="D23:I23"/>
    <mergeCell ref="K23:L23"/>
    <mergeCell ref="M23:N23"/>
    <mergeCell ref="O23:P23"/>
    <mergeCell ref="O24:P24"/>
    <mergeCell ref="Q24:R24"/>
    <mergeCell ref="S24:T24"/>
    <mergeCell ref="U24:V24"/>
    <mergeCell ref="W24:Y24"/>
    <mergeCell ref="Z24:AB24"/>
    <mergeCell ref="Q23:R23"/>
    <mergeCell ref="S23:T23"/>
    <mergeCell ref="U23:V23"/>
    <mergeCell ref="W23:Y23"/>
    <mergeCell ref="Z23:AB23"/>
    <mergeCell ref="D22:I22"/>
    <mergeCell ref="K22:L22"/>
    <mergeCell ref="M22:N22"/>
    <mergeCell ref="O22:P22"/>
    <mergeCell ref="A24:C24"/>
    <mergeCell ref="D24:I24"/>
    <mergeCell ref="K24:L24"/>
    <mergeCell ref="M24:N24"/>
    <mergeCell ref="Q22:R22"/>
    <mergeCell ref="D21:I21"/>
    <mergeCell ref="K21:L21"/>
    <mergeCell ref="M21:N21"/>
    <mergeCell ref="O21:P21"/>
    <mergeCell ref="Q21:R21"/>
    <mergeCell ref="S21:T21"/>
    <mergeCell ref="U21:V21"/>
    <mergeCell ref="W21:Y21"/>
    <mergeCell ref="Z21:AB21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A15:C15"/>
    <mergeCell ref="D15:AB15"/>
    <mergeCell ref="AC15:AE15"/>
    <mergeCell ref="AF15:AH15"/>
    <mergeCell ref="A16:C16"/>
    <mergeCell ref="D16:I16"/>
    <mergeCell ref="K16:L16"/>
    <mergeCell ref="M16:N16"/>
    <mergeCell ref="O16:P16"/>
    <mergeCell ref="Q16:R16"/>
    <mergeCell ref="S16:T16"/>
    <mergeCell ref="U16:V16"/>
    <mergeCell ref="W16:Y16"/>
    <mergeCell ref="Z16:AB16"/>
    <mergeCell ref="S10:T11"/>
    <mergeCell ref="U10:V11"/>
    <mergeCell ref="W10:Y11"/>
    <mergeCell ref="Z10:AB11"/>
    <mergeCell ref="AC10:AE11"/>
    <mergeCell ref="A13:C13"/>
    <mergeCell ref="D13:AH13"/>
    <mergeCell ref="A9:C11"/>
    <mergeCell ref="D9:I11"/>
    <mergeCell ref="J9:J11"/>
    <mergeCell ref="K9:V9"/>
    <mergeCell ref="W9:AE9"/>
    <mergeCell ref="AF9:AH11"/>
    <mergeCell ref="K10:L11"/>
    <mergeCell ref="M10:N11"/>
    <mergeCell ref="O10:P11"/>
    <mergeCell ref="Q10:R11"/>
  </mergeCells>
  <pageMargins left="0.511811024" right="0.511811024" top="0.78740157499999996" bottom="0.78740157499999996" header="0.31496062000000002" footer="0.31496062000000002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MEDIÇÃO 02</vt:lpstr>
      <vt:lpstr>RELATÓRIO FOTOGRÁFICO</vt:lpstr>
      <vt:lpstr>MEMORIA BM 02</vt:lpstr>
      <vt:lpstr>MEMORIA ATERRO</vt:lpstr>
      <vt:lpstr>'MEDIÇÃO 02'!Area_de_impressao</vt:lpstr>
      <vt:lpstr>'MEMORIA ATERRO'!Area_de_impressao</vt:lpstr>
      <vt:lpstr>'MEMORIA BM 02'!Area_de_impressao</vt:lpstr>
      <vt:lpstr>'RELATÓRIO FOTOGRÁFICO'!Area_de_impressao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2023-04-26T12:09:35Z</dcterms:created>
  <dcterms:modified xsi:type="dcterms:W3CDTF">2023-05-04T16:32:46Z</dcterms:modified>
</cp:coreProperties>
</file>