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C51261BB-6404-4B16-8D09-29A407002DC7}" xr6:coauthVersionLast="47" xr6:coauthVersionMax="47" xr10:uidLastSave="{00000000-0000-0000-0000-000000000000}"/>
  <bookViews>
    <workbookView minimized="1" xWindow="5805" yWindow="3735" windowWidth="15375" windowHeight="7875" firstSheet="3" activeTab="3" xr2:uid="{00000000-000D-0000-FFFF-FFFF00000000}"/>
  </bookViews>
  <sheets>
    <sheet name="MEMORIA COBERTA" sheetId="7" r:id="rId1"/>
    <sheet name="MEDIÇÃO 04" sheetId="1" r:id="rId2"/>
    <sheet name="VERGAS E CONTRAVERGAS" sheetId="8" r:id="rId3"/>
    <sheet name="MEMORIA BM 04" sheetId="2" r:id="rId4"/>
    <sheet name="MEMORIA ATERRO" sheetId="3" r:id="rId5"/>
    <sheet name="MEMÓRIA ALVENARIA" sheetId="4" r:id="rId6"/>
    <sheet name="MEMÓRIA PILARES" sheetId="5" r:id="rId7"/>
    <sheet name="MEMÓRIA VIGAS" sheetId="6" r:id="rId8"/>
  </sheets>
  <externalReferences>
    <externalReference r:id="rId9"/>
  </externalReferences>
  <definedNames>
    <definedName name="_xlnm.Print_Area" localSheetId="1">'MEDIÇÃO 04'!$A$1:$Q$232</definedName>
    <definedName name="_xlnm.Print_Area" localSheetId="4">'MEMORIA ATERRO'!$A$1:$AH$40</definedName>
    <definedName name="_xlnm.Print_Area" localSheetId="3">'MEMORIA BM 04'!$A$1:$F$216</definedName>
    <definedName name="_xlnm.Print_Area" localSheetId="6">'MEMÓRIA PILARES'!$A$1:$AH$491</definedName>
    <definedName name="_xlnm.Print_Area" localSheetId="7">'MEMÓRIA VIGAS'!$A$1:$AH$155</definedName>
    <definedName name="JR_PAGE_ANCHOR_0_1">'MEDIÇÃO 04'!$A$1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7" l="1"/>
  <c r="D8" i="7"/>
  <c r="D13" i="7"/>
  <c r="D19" i="7"/>
  <c r="D20" i="7" s="1"/>
  <c r="K55" i="1" l="1"/>
  <c r="K61" i="1"/>
  <c r="K62" i="1" s="1"/>
  <c r="K49" i="1"/>
  <c r="K53" i="1" s="1"/>
  <c r="E67" i="2"/>
  <c r="E66" i="2"/>
  <c r="K72" i="1" l="1"/>
  <c r="K71" i="1"/>
  <c r="E68" i="2"/>
  <c r="E51" i="2" l="1"/>
  <c r="E53" i="2" l="1"/>
  <c r="K17" i="1" l="1"/>
  <c r="K32" i="1"/>
  <c r="K31" i="1"/>
  <c r="E52" i="2" l="1"/>
  <c r="W155" i="6" l="1"/>
  <c r="Z155" i="6" s="1"/>
  <c r="S155" i="6"/>
  <c r="W154" i="6"/>
  <c r="S154" i="6"/>
  <c r="W153" i="6"/>
  <c r="S153" i="6"/>
  <c r="W152" i="6"/>
  <c r="Z152" i="6" s="1"/>
  <c r="W151" i="6"/>
  <c r="Z151" i="6" s="1"/>
  <c r="W150" i="6"/>
  <c r="S150" i="6"/>
  <c r="W149" i="6"/>
  <c r="S149" i="6"/>
  <c r="W148" i="6"/>
  <c r="Z148" i="6" s="1"/>
  <c r="S148" i="6"/>
  <c r="W147" i="6"/>
  <c r="S147" i="6"/>
  <c r="W146" i="6"/>
  <c r="Z146" i="6" s="1"/>
  <c r="S146" i="6"/>
  <c r="W145" i="6"/>
  <c r="Z145" i="6" s="1"/>
  <c r="W144" i="6"/>
  <c r="S144" i="6"/>
  <c r="W143" i="6"/>
  <c r="Z143" i="6" s="1"/>
  <c r="S143" i="6"/>
  <c r="W142" i="6"/>
  <c r="S142" i="6"/>
  <c r="W141" i="6"/>
  <c r="Z141" i="6" s="1"/>
  <c r="W140" i="6"/>
  <c r="Z140" i="6" s="1"/>
  <c r="Z139" i="6"/>
  <c r="W139" i="6"/>
  <c r="S139" i="6"/>
  <c r="W138" i="6"/>
  <c r="Z138" i="6" s="1"/>
  <c r="W137" i="6"/>
  <c r="Z137" i="6" s="1"/>
  <c r="W136" i="6"/>
  <c r="Z136" i="6" s="1"/>
  <c r="S136" i="6"/>
  <c r="W135" i="6"/>
  <c r="Z135" i="6" s="1"/>
  <c r="Z134" i="6"/>
  <c r="W134" i="6"/>
  <c r="W133" i="6"/>
  <c r="Z133" i="6" s="1"/>
  <c r="W132" i="6"/>
  <c r="Z132" i="6" s="1"/>
  <c r="W131" i="6"/>
  <c r="Z131" i="6" s="1"/>
  <c r="W130" i="6"/>
  <c r="Z130" i="6" s="1"/>
  <c r="S130" i="6"/>
  <c r="S128" i="6"/>
  <c r="S127" i="6"/>
  <c r="S126" i="6"/>
  <c r="S123" i="6"/>
  <c r="S122" i="6"/>
  <c r="S121" i="6"/>
  <c r="S120" i="6"/>
  <c r="S119" i="6"/>
  <c r="S117" i="6"/>
  <c r="S116" i="6"/>
  <c r="S115" i="6"/>
  <c r="S112" i="6"/>
  <c r="S109" i="6"/>
  <c r="S103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4" i="6"/>
  <c r="K73" i="6"/>
  <c r="K44" i="6"/>
  <c r="W44" i="6" s="1"/>
  <c r="Z44" i="6" s="1"/>
  <c r="K43" i="6"/>
  <c r="W43" i="6"/>
  <c r="Z43" i="6" s="1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S41" i="6"/>
  <c r="S40" i="6"/>
  <c r="Z149" i="6" l="1"/>
  <c r="Z154" i="6"/>
  <c r="Z142" i="6"/>
  <c r="Z144" i="6"/>
  <c r="Z150" i="6"/>
  <c r="Z147" i="6"/>
  <c r="Z153" i="6"/>
  <c r="AC42" i="6"/>
  <c r="S39" i="6"/>
  <c r="S36" i="6"/>
  <c r="Z36" i="6" s="1"/>
  <c r="S35" i="6"/>
  <c r="Z35" i="6" s="1"/>
  <c r="S34" i="6"/>
  <c r="S33" i="6"/>
  <c r="Z33" i="6" s="1"/>
  <c r="S32" i="6"/>
  <c r="Z32" i="6" s="1"/>
  <c r="S30" i="6"/>
  <c r="Z30" i="6" s="1"/>
  <c r="S29" i="6"/>
  <c r="S28" i="6"/>
  <c r="S25" i="6"/>
  <c r="Z25" i="6" s="1"/>
  <c r="S22" i="6"/>
  <c r="Z22" i="6" s="1"/>
  <c r="Z17" i="6"/>
  <c r="Z18" i="6"/>
  <c r="Z19" i="6"/>
  <c r="Z20" i="6"/>
  <c r="Z21" i="6"/>
  <c r="Z23" i="6"/>
  <c r="Z24" i="6"/>
  <c r="Z26" i="6"/>
  <c r="Z27" i="6"/>
  <c r="Z28" i="6"/>
  <c r="Z29" i="6"/>
  <c r="Z31" i="6"/>
  <c r="Z34" i="6"/>
  <c r="Z37" i="6"/>
  <c r="Z38" i="6"/>
  <c r="Z39" i="6"/>
  <c r="Z40" i="6"/>
  <c r="Z41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S16" i="6"/>
  <c r="Z16" i="6" s="1"/>
  <c r="W128" i="6"/>
  <c r="Z128" i="6" s="1"/>
  <c r="W127" i="6"/>
  <c r="Z127" i="6" s="1"/>
  <c r="W126" i="6"/>
  <c r="Z126" i="6" s="1"/>
  <c r="W125" i="6"/>
  <c r="Z125" i="6" s="1"/>
  <c r="W124" i="6"/>
  <c r="Z124" i="6" s="1"/>
  <c r="W123" i="6"/>
  <c r="Z123" i="6" s="1"/>
  <c r="W122" i="6"/>
  <c r="Z122" i="6" s="1"/>
  <c r="W121" i="6"/>
  <c r="Z121" i="6" s="1"/>
  <c r="W120" i="6"/>
  <c r="Z120" i="6" s="1"/>
  <c r="W119" i="6"/>
  <c r="Z119" i="6" s="1"/>
  <c r="W118" i="6"/>
  <c r="Z118" i="6" s="1"/>
  <c r="W117" i="6"/>
  <c r="Z117" i="6" s="1"/>
  <c r="W116" i="6"/>
  <c r="Z116" i="6" s="1"/>
  <c r="W115" i="6"/>
  <c r="Z115" i="6" s="1"/>
  <c r="W114" i="6"/>
  <c r="Z114" i="6" s="1"/>
  <c r="W113" i="6"/>
  <c r="Z113" i="6" s="1"/>
  <c r="W112" i="6"/>
  <c r="Z112" i="6" s="1"/>
  <c r="W111" i="6"/>
  <c r="Z111" i="6" s="1"/>
  <c r="W110" i="6"/>
  <c r="Z110" i="6" s="1"/>
  <c r="W109" i="6"/>
  <c r="Z109" i="6" s="1"/>
  <c r="W108" i="6"/>
  <c r="Z108" i="6" s="1"/>
  <c r="W107" i="6"/>
  <c r="Z107" i="6" s="1"/>
  <c r="W106" i="6"/>
  <c r="Z106" i="6" s="1"/>
  <c r="W105" i="6"/>
  <c r="Z105" i="6" s="1"/>
  <c r="W104" i="6"/>
  <c r="Z104" i="6" s="1"/>
  <c r="W103" i="6"/>
  <c r="W101" i="6"/>
  <c r="Z101" i="6" s="1"/>
  <c r="W100" i="6"/>
  <c r="Z100" i="6" s="1"/>
  <c r="W99" i="6"/>
  <c r="Z99" i="6" s="1"/>
  <c r="W98" i="6"/>
  <c r="Z98" i="6" s="1"/>
  <c r="W97" i="6"/>
  <c r="Z97" i="6" s="1"/>
  <c r="W96" i="6"/>
  <c r="Z96" i="6" s="1"/>
  <c r="W95" i="6"/>
  <c r="Z95" i="6" s="1"/>
  <c r="W94" i="6"/>
  <c r="Z94" i="6" s="1"/>
  <c r="W93" i="6"/>
  <c r="Z93" i="6" s="1"/>
  <c r="W92" i="6"/>
  <c r="Z92" i="6" s="1"/>
  <c r="W91" i="6"/>
  <c r="Z91" i="6" s="1"/>
  <c r="W90" i="6"/>
  <c r="Z90" i="6" s="1"/>
  <c r="W89" i="6"/>
  <c r="Z89" i="6" s="1"/>
  <c r="W88" i="6"/>
  <c r="Z88" i="6" s="1"/>
  <c r="W87" i="6"/>
  <c r="Z87" i="6" s="1"/>
  <c r="W86" i="6"/>
  <c r="Z86" i="6" s="1"/>
  <c r="W85" i="6"/>
  <c r="Z85" i="6" s="1"/>
  <c r="W84" i="6"/>
  <c r="Z84" i="6" s="1"/>
  <c r="W83" i="6"/>
  <c r="Z83" i="6" s="1"/>
  <c r="W82" i="6"/>
  <c r="Z82" i="6" s="1"/>
  <c r="W81" i="6"/>
  <c r="Z81" i="6" s="1"/>
  <c r="W80" i="6"/>
  <c r="Z80" i="6" s="1"/>
  <c r="W79" i="6"/>
  <c r="Z79" i="6" s="1"/>
  <c r="W78" i="6"/>
  <c r="Z78" i="6" s="1"/>
  <c r="W77" i="6"/>
  <c r="Z77" i="6" s="1"/>
  <c r="W76" i="6"/>
  <c r="Z76" i="6" s="1"/>
  <c r="W74" i="6"/>
  <c r="Z74" i="6" s="1"/>
  <c r="W73" i="6"/>
  <c r="Z73" i="6" s="1"/>
  <c r="W71" i="6"/>
  <c r="Z71" i="6" s="1"/>
  <c r="W70" i="6"/>
  <c r="Z70" i="6" s="1"/>
  <c r="W69" i="6"/>
  <c r="Z69" i="6" s="1"/>
  <c r="W68" i="6"/>
  <c r="Z68" i="6" s="1"/>
  <c r="W67" i="6"/>
  <c r="Z67" i="6" s="1"/>
  <c r="W66" i="6"/>
  <c r="Z66" i="6" s="1"/>
  <c r="W65" i="6"/>
  <c r="Z65" i="6" s="1"/>
  <c r="W64" i="6"/>
  <c r="Z64" i="6" s="1"/>
  <c r="W63" i="6"/>
  <c r="Z63" i="6" s="1"/>
  <c r="W62" i="6"/>
  <c r="Z62" i="6" s="1"/>
  <c r="W61" i="6"/>
  <c r="Z61" i="6" s="1"/>
  <c r="W60" i="6"/>
  <c r="Z60" i="6" s="1"/>
  <c r="W59" i="6"/>
  <c r="Z59" i="6" s="1"/>
  <c r="W58" i="6"/>
  <c r="Z58" i="6" s="1"/>
  <c r="W57" i="6"/>
  <c r="Z57" i="6" s="1"/>
  <c r="W56" i="6"/>
  <c r="Z56" i="6" s="1"/>
  <c r="W55" i="6"/>
  <c r="Z55" i="6" s="1"/>
  <c r="W54" i="6"/>
  <c r="Z54" i="6" s="1"/>
  <c r="W53" i="6"/>
  <c r="Z53" i="6" s="1"/>
  <c r="W52" i="6"/>
  <c r="Z52" i="6" s="1"/>
  <c r="W51" i="6"/>
  <c r="Z51" i="6" s="1"/>
  <c r="W50" i="6"/>
  <c r="Z50" i="6" s="1"/>
  <c r="W49" i="6"/>
  <c r="Z49" i="6" s="1"/>
  <c r="W48" i="6"/>
  <c r="Z48" i="6" s="1"/>
  <c r="W47" i="6"/>
  <c r="Z47" i="6" s="1"/>
  <c r="W46" i="6"/>
  <c r="Z46" i="6" s="1"/>
  <c r="W16" i="6"/>
  <c r="D13" i="6"/>
  <c r="W491" i="5"/>
  <c r="Z491" i="5" s="1"/>
  <c r="W490" i="5"/>
  <c r="Z490" i="5" s="1"/>
  <c r="W489" i="5"/>
  <c r="Z489" i="5" s="1"/>
  <c r="W488" i="5"/>
  <c r="Z488" i="5" s="1"/>
  <c r="W487" i="5"/>
  <c r="Z487" i="5" s="1"/>
  <c r="W486" i="5"/>
  <c r="Z486" i="5" s="1"/>
  <c r="W485" i="5"/>
  <c r="Z485" i="5" s="1"/>
  <c r="W484" i="5"/>
  <c r="Z484" i="5" s="1"/>
  <c r="W483" i="5"/>
  <c r="Z483" i="5" s="1"/>
  <c r="W482" i="5"/>
  <c r="Z482" i="5" s="1"/>
  <c r="W481" i="5"/>
  <c r="Z481" i="5" s="1"/>
  <c r="W480" i="5"/>
  <c r="Z480" i="5" s="1"/>
  <c r="W479" i="5"/>
  <c r="Z479" i="5" s="1"/>
  <c r="W478" i="5"/>
  <c r="Z478" i="5" s="1"/>
  <c r="W477" i="5"/>
  <c r="Z477" i="5" s="1"/>
  <c r="W476" i="5"/>
  <c r="Z476" i="5" s="1"/>
  <c r="W475" i="5"/>
  <c r="Z475" i="5" s="1"/>
  <c r="W474" i="5"/>
  <c r="Z474" i="5" s="1"/>
  <c r="W473" i="5"/>
  <c r="Z473" i="5" s="1"/>
  <c r="W472" i="5"/>
  <c r="Z472" i="5" s="1"/>
  <c r="W471" i="5"/>
  <c r="Z471" i="5" s="1"/>
  <c r="W470" i="5"/>
  <c r="Z470" i="5" s="1"/>
  <c r="W469" i="5"/>
  <c r="Z469" i="5" s="1"/>
  <c r="W468" i="5"/>
  <c r="Z468" i="5" s="1"/>
  <c r="W467" i="5"/>
  <c r="Z467" i="5" s="1"/>
  <c r="W466" i="5"/>
  <c r="Z466" i="5" s="1"/>
  <c r="W465" i="5"/>
  <c r="Z465" i="5" s="1"/>
  <c r="W464" i="5"/>
  <c r="Z464" i="5" s="1"/>
  <c r="W463" i="5"/>
  <c r="Z463" i="5" s="1"/>
  <c r="W462" i="5"/>
  <c r="Z462" i="5" s="1"/>
  <c r="W461" i="5"/>
  <c r="Z461" i="5" s="1"/>
  <c r="W460" i="5"/>
  <c r="Z460" i="5" s="1"/>
  <c r="W459" i="5"/>
  <c r="Z459" i="5" s="1"/>
  <c r="W458" i="5"/>
  <c r="Z458" i="5" s="1"/>
  <c r="W457" i="5"/>
  <c r="Z457" i="5" s="1"/>
  <c r="W456" i="5"/>
  <c r="Z456" i="5" s="1"/>
  <c r="W455" i="5"/>
  <c r="Z455" i="5" s="1"/>
  <c r="W454" i="5"/>
  <c r="Z454" i="5" s="1"/>
  <c r="W453" i="5"/>
  <c r="Z453" i="5" s="1"/>
  <c r="W452" i="5"/>
  <c r="Z452" i="5" s="1"/>
  <c r="W451" i="5"/>
  <c r="Z451" i="5" s="1"/>
  <c r="W450" i="5"/>
  <c r="Z450" i="5" s="1"/>
  <c r="W449" i="5"/>
  <c r="Z449" i="5" s="1"/>
  <c r="W448" i="5"/>
  <c r="Z448" i="5" s="1"/>
  <c r="W447" i="5"/>
  <c r="Z447" i="5" s="1"/>
  <c r="W446" i="5"/>
  <c r="Z446" i="5" s="1"/>
  <c r="W445" i="5"/>
  <c r="Z445" i="5" s="1"/>
  <c r="W444" i="5"/>
  <c r="Z444" i="5" s="1"/>
  <c r="W443" i="5"/>
  <c r="Z443" i="5" s="1"/>
  <c r="W442" i="5"/>
  <c r="Z442" i="5" s="1"/>
  <c r="W441" i="5"/>
  <c r="Z441" i="5" s="1"/>
  <c r="W440" i="5"/>
  <c r="Z440" i="5" s="1"/>
  <c r="W439" i="5"/>
  <c r="Z439" i="5" s="1"/>
  <c r="W438" i="5"/>
  <c r="Z438" i="5" s="1"/>
  <c r="W437" i="5"/>
  <c r="Z437" i="5" s="1"/>
  <c r="W436" i="5"/>
  <c r="Z436" i="5" s="1"/>
  <c r="W435" i="5"/>
  <c r="Z435" i="5" s="1"/>
  <c r="W434" i="5"/>
  <c r="Z434" i="5" s="1"/>
  <c r="W433" i="5"/>
  <c r="Z433" i="5" s="1"/>
  <c r="W432" i="5"/>
  <c r="Z432" i="5" s="1"/>
  <c r="W431" i="5"/>
  <c r="Z431" i="5" s="1"/>
  <c r="W430" i="5"/>
  <c r="Z430" i="5" s="1"/>
  <c r="W429" i="5"/>
  <c r="Z429" i="5" s="1"/>
  <c r="W428" i="5"/>
  <c r="Z428" i="5" s="1"/>
  <c r="W427" i="5"/>
  <c r="Z427" i="5" s="1"/>
  <c r="W426" i="5"/>
  <c r="Z426" i="5" s="1"/>
  <c r="W425" i="5"/>
  <c r="Z425" i="5" s="1"/>
  <c r="W424" i="5"/>
  <c r="Z424" i="5" s="1"/>
  <c r="W423" i="5"/>
  <c r="Z423" i="5" s="1"/>
  <c r="W422" i="5"/>
  <c r="Z422" i="5" s="1"/>
  <c r="W421" i="5"/>
  <c r="Z421" i="5" s="1"/>
  <c r="W420" i="5"/>
  <c r="Z420" i="5" s="1"/>
  <c r="W419" i="5"/>
  <c r="Z419" i="5" s="1"/>
  <c r="W418" i="5"/>
  <c r="Z418" i="5" s="1"/>
  <c r="W417" i="5"/>
  <c r="Z417" i="5" s="1"/>
  <c r="W416" i="5"/>
  <c r="Z416" i="5" s="1"/>
  <c r="W415" i="5"/>
  <c r="Z415" i="5" s="1"/>
  <c r="W414" i="5"/>
  <c r="Z414" i="5" s="1"/>
  <c r="W413" i="5"/>
  <c r="Z413" i="5" s="1"/>
  <c r="W412" i="5"/>
  <c r="Z412" i="5" s="1"/>
  <c r="W411" i="5"/>
  <c r="Z411" i="5" s="1"/>
  <c r="W410" i="5"/>
  <c r="Z410" i="5" s="1"/>
  <c r="W409" i="5"/>
  <c r="Z409" i="5" s="1"/>
  <c r="W408" i="5"/>
  <c r="Z408" i="5" s="1"/>
  <c r="W407" i="5"/>
  <c r="Z407" i="5" s="1"/>
  <c r="W406" i="5"/>
  <c r="S406" i="5"/>
  <c r="W405" i="5"/>
  <c r="S405" i="5"/>
  <c r="W404" i="5"/>
  <c r="S404" i="5"/>
  <c r="Z403" i="5"/>
  <c r="W403" i="5"/>
  <c r="S403" i="5"/>
  <c r="W402" i="5"/>
  <c r="S402" i="5"/>
  <c r="W401" i="5"/>
  <c r="S401" i="5"/>
  <c r="Z401" i="5" s="1"/>
  <c r="W400" i="5"/>
  <c r="S400" i="5"/>
  <c r="W399" i="5"/>
  <c r="Z399" i="5" s="1"/>
  <c r="S399" i="5"/>
  <c r="Z306" i="5"/>
  <c r="Z310" i="5"/>
  <c r="Z314" i="5"/>
  <c r="Z318" i="5"/>
  <c r="Z322" i="5"/>
  <c r="Z326" i="5"/>
  <c r="Z330" i="5"/>
  <c r="Z334" i="5"/>
  <c r="Z338" i="5"/>
  <c r="Z342" i="5"/>
  <c r="Z346" i="5"/>
  <c r="Z350" i="5"/>
  <c r="Z354" i="5"/>
  <c r="Z358" i="5"/>
  <c r="Z362" i="5"/>
  <c r="Z366" i="5"/>
  <c r="Z370" i="5"/>
  <c r="Z374" i="5"/>
  <c r="Z378" i="5"/>
  <c r="Z382" i="5"/>
  <c r="Z386" i="5"/>
  <c r="Z390" i="5"/>
  <c r="Z394" i="5"/>
  <c r="S312" i="5"/>
  <c r="S311" i="5"/>
  <c r="S310" i="5"/>
  <c r="S309" i="5"/>
  <c r="S308" i="5"/>
  <c r="S307" i="5"/>
  <c r="S306" i="5"/>
  <c r="S305" i="5"/>
  <c r="W305" i="5"/>
  <c r="Z305" i="5" s="1"/>
  <c r="W397" i="5"/>
  <c r="Z397" i="5" s="1"/>
  <c r="W396" i="5"/>
  <c r="Z396" i="5" s="1"/>
  <c r="W395" i="5"/>
  <c r="Z395" i="5" s="1"/>
  <c r="W394" i="5"/>
  <c r="W393" i="5"/>
  <c r="Z393" i="5" s="1"/>
  <c r="W392" i="5"/>
  <c r="Z392" i="5" s="1"/>
  <c r="W391" i="5"/>
  <c r="Z391" i="5" s="1"/>
  <c r="W390" i="5"/>
  <c r="W389" i="5"/>
  <c r="Z389" i="5" s="1"/>
  <c r="W388" i="5"/>
  <c r="Z388" i="5" s="1"/>
  <c r="W387" i="5"/>
  <c r="Z387" i="5" s="1"/>
  <c r="W386" i="5"/>
  <c r="W385" i="5"/>
  <c r="Z385" i="5" s="1"/>
  <c r="W384" i="5"/>
  <c r="Z384" i="5" s="1"/>
  <c r="W383" i="5"/>
  <c r="Z383" i="5" s="1"/>
  <c r="W382" i="5"/>
  <c r="W381" i="5"/>
  <c r="Z381" i="5" s="1"/>
  <c r="W380" i="5"/>
  <c r="Z380" i="5" s="1"/>
  <c r="W379" i="5"/>
  <c r="Z379" i="5" s="1"/>
  <c r="W378" i="5"/>
  <c r="W377" i="5"/>
  <c r="Z377" i="5" s="1"/>
  <c r="W376" i="5"/>
  <c r="Z376" i="5" s="1"/>
  <c r="W375" i="5"/>
  <c r="Z375" i="5" s="1"/>
  <c r="W374" i="5"/>
  <c r="W373" i="5"/>
  <c r="Z373" i="5" s="1"/>
  <c r="W372" i="5"/>
  <c r="Z372" i="5" s="1"/>
  <c r="W371" i="5"/>
  <c r="Z371" i="5" s="1"/>
  <c r="W370" i="5"/>
  <c r="W369" i="5"/>
  <c r="Z369" i="5" s="1"/>
  <c r="W368" i="5"/>
  <c r="Z368" i="5" s="1"/>
  <c r="W367" i="5"/>
  <c r="Z367" i="5" s="1"/>
  <c r="W366" i="5"/>
  <c r="W365" i="5"/>
  <c r="Z365" i="5" s="1"/>
  <c r="W364" i="5"/>
  <c r="Z364" i="5" s="1"/>
  <c r="W363" i="5"/>
  <c r="Z363" i="5" s="1"/>
  <c r="W362" i="5"/>
  <c r="W361" i="5"/>
  <c r="Z361" i="5" s="1"/>
  <c r="W360" i="5"/>
  <c r="Z360" i="5" s="1"/>
  <c r="W359" i="5"/>
  <c r="Z359" i="5" s="1"/>
  <c r="W358" i="5"/>
  <c r="W357" i="5"/>
  <c r="Z357" i="5" s="1"/>
  <c r="W356" i="5"/>
  <c r="Z356" i="5" s="1"/>
  <c r="W355" i="5"/>
  <c r="Z355" i="5" s="1"/>
  <c r="W354" i="5"/>
  <c r="W353" i="5"/>
  <c r="Z353" i="5" s="1"/>
  <c r="W352" i="5"/>
  <c r="Z352" i="5" s="1"/>
  <c r="W351" i="5"/>
  <c r="Z351" i="5" s="1"/>
  <c r="W350" i="5"/>
  <c r="W349" i="5"/>
  <c r="Z349" i="5" s="1"/>
  <c r="W348" i="5"/>
  <c r="Z348" i="5" s="1"/>
  <c r="W347" i="5"/>
  <c r="Z347" i="5" s="1"/>
  <c r="W346" i="5"/>
  <c r="W345" i="5"/>
  <c r="Z345" i="5" s="1"/>
  <c r="W344" i="5"/>
  <c r="Z344" i="5" s="1"/>
  <c r="W343" i="5"/>
  <c r="Z343" i="5" s="1"/>
  <c r="W342" i="5"/>
  <c r="W341" i="5"/>
  <c r="Z341" i="5" s="1"/>
  <c r="W340" i="5"/>
  <c r="Z340" i="5" s="1"/>
  <c r="W339" i="5"/>
  <c r="Z339" i="5" s="1"/>
  <c r="W338" i="5"/>
  <c r="W337" i="5"/>
  <c r="Z337" i="5" s="1"/>
  <c r="W336" i="5"/>
  <c r="Z336" i="5" s="1"/>
  <c r="W335" i="5"/>
  <c r="Z335" i="5" s="1"/>
  <c r="W334" i="5"/>
  <c r="W333" i="5"/>
  <c r="Z333" i="5" s="1"/>
  <c r="W332" i="5"/>
  <c r="Z332" i="5" s="1"/>
  <c r="W331" i="5"/>
  <c r="Z331" i="5" s="1"/>
  <c r="W330" i="5"/>
  <c r="W329" i="5"/>
  <c r="Z329" i="5" s="1"/>
  <c r="W328" i="5"/>
  <c r="Z328" i="5" s="1"/>
  <c r="W327" i="5"/>
  <c r="Z327" i="5" s="1"/>
  <c r="W326" i="5"/>
  <c r="W325" i="5"/>
  <c r="Z325" i="5" s="1"/>
  <c r="W324" i="5"/>
  <c r="Z324" i="5" s="1"/>
  <c r="W323" i="5"/>
  <c r="Z323" i="5" s="1"/>
  <c r="W322" i="5"/>
  <c r="W321" i="5"/>
  <c r="Z321" i="5" s="1"/>
  <c r="W320" i="5"/>
  <c r="Z320" i="5" s="1"/>
  <c r="W319" i="5"/>
  <c r="Z319" i="5" s="1"/>
  <c r="W318" i="5"/>
  <c r="W317" i="5"/>
  <c r="Z317" i="5" s="1"/>
  <c r="W316" i="5"/>
  <c r="Z316" i="5" s="1"/>
  <c r="W315" i="5"/>
  <c r="Z315" i="5" s="1"/>
  <c r="W314" i="5"/>
  <c r="W313" i="5"/>
  <c r="Z313" i="5" s="1"/>
  <c r="W312" i="5"/>
  <c r="Z312" i="5" s="1"/>
  <c r="W311" i="5"/>
  <c r="Z311" i="5" s="1"/>
  <c r="W310" i="5"/>
  <c r="W309" i="5"/>
  <c r="Z309" i="5" s="1"/>
  <c r="W308" i="5"/>
  <c r="Z308" i="5" s="1"/>
  <c r="W307" i="5"/>
  <c r="Z307" i="5" s="1"/>
  <c r="W306" i="5"/>
  <c r="Z224" i="5"/>
  <c r="Z228" i="5"/>
  <c r="Z232" i="5"/>
  <c r="Z236" i="5"/>
  <c r="Z240" i="5"/>
  <c r="Z244" i="5"/>
  <c r="Z248" i="5"/>
  <c r="Z252" i="5"/>
  <c r="Z256" i="5"/>
  <c r="Z260" i="5"/>
  <c r="Z264" i="5"/>
  <c r="Z268" i="5"/>
  <c r="Z272" i="5"/>
  <c r="Z276" i="5"/>
  <c r="Z280" i="5"/>
  <c r="Z284" i="5"/>
  <c r="Z288" i="5"/>
  <c r="Z292" i="5"/>
  <c r="Z296" i="5"/>
  <c r="Z300" i="5"/>
  <c r="K303" i="5"/>
  <c r="K302" i="5"/>
  <c r="K301" i="5"/>
  <c r="K300" i="5"/>
  <c r="K299" i="5"/>
  <c r="K298" i="5"/>
  <c r="K296" i="5"/>
  <c r="K295" i="5"/>
  <c r="K294" i="5"/>
  <c r="W294" i="5" s="1"/>
  <c r="Z294" i="5" s="1"/>
  <c r="K293" i="5"/>
  <c r="K297" i="5"/>
  <c r="K292" i="5"/>
  <c r="K291" i="5"/>
  <c r="K290" i="5"/>
  <c r="K289" i="5"/>
  <c r="K288" i="5"/>
  <c r="K285" i="5"/>
  <c r="W285" i="5" s="1"/>
  <c r="Z285" i="5" s="1"/>
  <c r="K286" i="5"/>
  <c r="K287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W261" i="5" s="1"/>
  <c r="Z261" i="5" s="1"/>
  <c r="K260" i="5"/>
  <c r="K259" i="5"/>
  <c r="W259" i="5" s="1"/>
  <c r="Z259" i="5" s="1"/>
  <c r="K258" i="5"/>
  <c r="K257" i="5"/>
  <c r="K256" i="5"/>
  <c r="K255" i="5"/>
  <c r="W255" i="5" s="1"/>
  <c r="Z255" i="5" s="1"/>
  <c r="K254" i="5"/>
  <c r="K253" i="5"/>
  <c r="K252" i="5"/>
  <c r="K251" i="5"/>
  <c r="W251" i="5" s="1"/>
  <c r="Z251" i="5" s="1"/>
  <c r="K234" i="5"/>
  <c r="K235" i="5"/>
  <c r="K236" i="5"/>
  <c r="K237" i="5"/>
  <c r="W237" i="5" s="1"/>
  <c r="Z237" i="5" s="1"/>
  <c r="K238" i="5"/>
  <c r="K239" i="5"/>
  <c r="K240" i="5"/>
  <c r="K241" i="5"/>
  <c r="W241" i="5" s="1"/>
  <c r="Z241" i="5" s="1"/>
  <c r="K242" i="5"/>
  <c r="K243" i="5"/>
  <c r="K244" i="5"/>
  <c r="K245" i="5"/>
  <c r="W245" i="5" s="1"/>
  <c r="Z245" i="5" s="1"/>
  <c r="K246" i="5"/>
  <c r="K247" i="5"/>
  <c r="K248" i="5"/>
  <c r="K249" i="5"/>
  <c r="W249" i="5" s="1"/>
  <c r="Z249" i="5" s="1"/>
  <c r="K250" i="5"/>
  <c r="K233" i="5"/>
  <c r="K232" i="5"/>
  <c r="K231" i="5"/>
  <c r="W231" i="5" s="1"/>
  <c r="Z231" i="5" s="1"/>
  <c r="K230" i="5"/>
  <c r="K229" i="5"/>
  <c r="K228" i="5"/>
  <c r="K227" i="5"/>
  <c r="W227" i="5" s="1"/>
  <c r="Z227" i="5" s="1"/>
  <c r="K226" i="5"/>
  <c r="K225" i="5"/>
  <c r="K224" i="5"/>
  <c r="K223" i="5"/>
  <c r="W223" i="5" s="1"/>
  <c r="Z223" i="5" s="1"/>
  <c r="K222" i="5"/>
  <c r="K221" i="5"/>
  <c r="K220" i="5"/>
  <c r="W220" i="5" s="1"/>
  <c r="Z220" i="5" s="1"/>
  <c r="K219" i="5"/>
  <c r="W219" i="5" s="1"/>
  <c r="Z219" i="5" s="1"/>
  <c r="K218" i="5"/>
  <c r="W218" i="5" s="1"/>
  <c r="Z218" i="5" s="1"/>
  <c r="K217" i="5"/>
  <c r="K216" i="5"/>
  <c r="W216" i="5" s="1"/>
  <c r="Z216" i="5" s="1"/>
  <c r="K215" i="5"/>
  <c r="W215" i="5" s="1"/>
  <c r="Z215" i="5" s="1"/>
  <c r="K214" i="5"/>
  <c r="K213" i="5"/>
  <c r="K212" i="5"/>
  <c r="W212" i="5" s="1"/>
  <c r="Z212" i="5" s="1"/>
  <c r="K211" i="5"/>
  <c r="W211" i="5" s="1"/>
  <c r="Z211" i="5" s="1"/>
  <c r="W303" i="5"/>
  <c r="Z303" i="5" s="1"/>
  <c r="W302" i="5"/>
  <c r="Z302" i="5" s="1"/>
  <c r="W301" i="5"/>
  <c r="Z301" i="5" s="1"/>
  <c r="W300" i="5"/>
  <c r="W299" i="5"/>
  <c r="Z299" i="5" s="1"/>
  <c r="W298" i="5"/>
  <c r="Z298" i="5" s="1"/>
  <c r="W297" i="5"/>
  <c r="Z297" i="5" s="1"/>
  <c r="W296" i="5"/>
  <c r="W295" i="5"/>
  <c r="Z295" i="5" s="1"/>
  <c r="W293" i="5"/>
  <c r="Z293" i="5" s="1"/>
  <c r="W292" i="5"/>
  <c r="W291" i="5"/>
  <c r="Z291" i="5" s="1"/>
  <c r="W290" i="5"/>
  <c r="Z290" i="5" s="1"/>
  <c r="W289" i="5"/>
  <c r="Z289" i="5" s="1"/>
  <c r="W288" i="5"/>
  <c r="W287" i="5"/>
  <c r="Z287" i="5" s="1"/>
  <c r="W286" i="5"/>
  <c r="Z286" i="5" s="1"/>
  <c r="W284" i="5"/>
  <c r="W283" i="5"/>
  <c r="Z283" i="5" s="1"/>
  <c r="W282" i="5"/>
  <c r="Z282" i="5" s="1"/>
  <c r="W281" i="5"/>
  <c r="Z281" i="5" s="1"/>
  <c r="W280" i="5"/>
  <c r="W279" i="5"/>
  <c r="Z279" i="5" s="1"/>
  <c r="W278" i="5"/>
  <c r="Z278" i="5" s="1"/>
  <c r="W277" i="5"/>
  <c r="Z277" i="5" s="1"/>
  <c r="W276" i="5"/>
  <c r="W275" i="5"/>
  <c r="Z275" i="5" s="1"/>
  <c r="W274" i="5"/>
  <c r="Z274" i="5" s="1"/>
  <c r="W273" i="5"/>
  <c r="Z273" i="5" s="1"/>
  <c r="W272" i="5"/>
  <c r="W271" i="5"/>
  <c r="Z271" i="5" s="1"/>
  <c r="W270" i="5"/>
  <c r="Z270" i="5" s="1"/>
  <c r="W269" i="5"/>
  <c r="Z269" i="5" s="1"/>
  <c r="W268" i="5"/>
  <c r="W267" i="5"/>
  <c r="Z267" i="5" s="1"/>
  <c r="W266" i="5"/>
  <c r="Z266" i="5" s="1"/>
  <c r="W265" i="5"/>
  <c r="Z265" i="5" s="1"/>
  <c r="W264" i="5"/>
  <c r="W263" i="5"/>
  <c r="Z263" i="5" s="1"/>
  <c r="W262" i="5"/>
  <c r="Z262" i="5" s="1"/>
  <c r="W260" i="5"/>
  <c r="W258" i="5"/>
  <c r="Z258" i="5" s="1"/>
  <c r="W257" i="5"/>
  <c r="Z257" i="5" s="1"/>
  <c r="W256" i="5"/>
  <c r="W254" i="5"/>
  <c r="Z254" i="5" s="1"/>
  <c r="W253" i="5"/>
  <c r="Z253" i="5" s="1"/>
  <c r="W252" i="5"/>
  <c r="W250" i="5"/>
  <c r="Z250" i="5" s="1"/>
  <c r="W248" i="5"/>
  <c r="W247" i="5"/>
  <c r="Z247" i="5" s="1"/>
  <c r="W246" i="5"/>
  <c r="Z246" i="5" s="1"/>
  <c r="W244" i="5"/>
  <c r="W243" i="5"/>
  <c r="Z243" i="5" s="1"/>
  <c r="W242" i="5"/>
  <c r="Z242" i="5" s="1"/>
  <c r="W240" i="5"/>
  <c r="W239" i="5"/>
  <c r="Z239" i="5" s="1"/>
  <c r="W238" i="5"/>
  <c r="Z238" i="5" s="1"/>
  <c r="W236" i="5"/>
  <c r="W235" i="5"/>
  <c r="Z235" i="5" s="1"/>
  <c r="W234" i="5"/>
  <c r="Z234" i="5" s="1"/>
  <c r="W233" i="5"/>
  <c r="Z233" i="5" s="1"/>
  <c r="W232" i="5"/>
  <c r="W230" i="5"/>
  <c r="Z230" i="5" s="1"/>
  <c r="W229" i="5"/>
  <c r="Z229" i="5" s="1"/>
  <c r="W228" i="5"/>
  <c r="W226" i="5"/>
  <c r="Z226" i="5" s="1"/>
  <c r="W225" i="5"/>
  <c r="Z225" i="5" s="1"/>
  <c r="W224" i="5"/>
  <c r="W222" i="5"/>
  <c r="Z222" i="5" s="1"/>
  <c r="W221" i="5"/>
  <c r="Z221" i="5" s="1"/>
  <c r="W217" i="5"/>
  <c r="Z217" i="5" s="1"/>
  <c r="W214" i="5"/>
  <c r="Z214" i="5" s="1"/>
  <c r="W213" i="5"/>
  <c r="Z213" i="5" s="1"/>
  <c r="Z204" i="5"/>
  <c r="K209" i="5"/>
  <c r="K208" i="5"/>
  <c r="K207" i="5"/>
  <c r="K206" i="5"/>
  <c r="K205" i="5"/>
  <c r="K204" i="5"/>
  <c r="W209" i="5"/>
  <c r="Z209" i="5" s="1"/>
  <c r="W208" i="5"/>
  <c r="Z208" i="5" s="1"/>
  <c r="W207" i="5"/>
  <c r="Z207" i="5" s="1"/>
  <c r="W206" i="5"/>
  <c r="Z206" i="5" s="1"/>
  <c r="W205" i="5"/>
  <c r="Z205" i="5" s="1"/>
  <c r="W204" i="5"/>
  <c r="K202" i="5"/>
  <c r="W202" i="5" s="1"/>
  <c r="Z202" i="5" s="1"/>
  <c r="K201" i="5"/>
  <c r="W201" i="5" s="1"/>
  <c r="Z201" i="5" s="1"/>
  <c r="K200" i="5"/>
  <c r="W200" i="5" s="1"/>
  <c r="Z200" i="5" s="1"/>
  <c r="K199" i="5"/>
  <c r="K198" i="5"/>
  <c r="K197" i="5"/>
  <c r="W197" i="5" s="1"/>
  <c r="Z197" i="5" s="1"/>
  <c r="K196" i="5"/>
  <c r="W196" i="5" s="1"/>
  <c r="Z196" i="5" s="1"/>
  <c r="K195" i="5"/>
  <c r="K194" i="5"/>
  <c r="K193" i="5"/>
  <c r="W193" i="5" s="1"/>
  <c r="Z193" i="5" s="1"/>
  <c r="K191" i="5"/>
  <c r="K192" i="5"/>
  <c r="W192" i="5" s="1"/>
  <c r="Z192" i="5" s="1"/>
  <c r="K190" i="5"/>
  <c r="W190" i="5" s="1"/>
  <c r="Z190" i="5" s="1"/>
  <c r="K189" i="5"/>
  <c r="W189" i="5" s="1"/>
  <c r="Z189" i="5" s="1"/>
  <c r="K188" i="5"/>
  <c r="W188" i="5" s="1"/>
  <c r="Z188" i="5" s="1"/>
  <c r="K187" i="5"/>
  <c r="W187" i="5" s="1"/>
  <c r="Z187" i="5" s="1"/>
  <c r="K186" i="5"/>
  <c r="W186" i="5" s="1"/>
  <c r="Z186" i="5" s="1"/>
  <c r="K185" i="5"/>
  <c r="W185" i="5" s="1"/>
  <c r="Z185" i="5" s="1"/>
  <c r="K184" i="5"/>
  <c r="W184" i="5" s="1"/>
  <c r="Z184" i="5" s="1"/>
  <c r="K183" i="5"/>
  <c r="K182" i="5"/>
  <c r="W182" i="5" s="1"/>
  <c r="Z182" i="5" s="1"/>
  <c r="K181" i="5"/>
  <c r="W181" i="5" s="1"/>
  <c r="Z181" i="5" s="1"/>
  <c r="K180" i="5"/>
  <c r="W180" i="5" s="1"/>
  <c r="Z180" i="5" s="1"/>
  <c r="K179" i="5"/>
  <c r="K178" i="5"/>
  <c r="W178" i="5" s="1"/>
  <c r="Z178" i="5" s="1"/>
  <c r="K177" i="5"/>
  <c r="K173" i="5"/>
  <c r="K172" i="5"/>
  <c r="K171" i="5"/>
  <c r="W171" i="5" s="1"/>
  <c r="Z171" i="5" s="1"/>
  <c r="K170" i="5"/>
  <c r="W170" i="5" s="1"/>
  <c r="Z170" i="5" s="1"/>
  <c r="K169" i="5"/>
  <c r="W169" i="5" s="1"/>
  <c r="Z169" i="5" s="1"/>
  <c r="K168" i="5"/>
  <c r="W168" i="5" s="1"/>
  <c r="Z168" i="5" s="1"/>
  <c r="K167" i="5"/>
  <c r="W167" i="5" s="1"/>
  <c r="Z167" i="5" s="1"/>
  <c r="K166" i="5"/>
  <c r="W166" i="5" s="1"/>
  <c r="Z166" i="5" s="1"/>
  <c r="K165" i="5"/>
  <c r="W165" i="5" s="1"/>
  <c r="Z165" i="5" s="1"/>
  <c r="K164" i="5"/>
  <c r="K163" i="5"/>
  <c r="W163" i="5" s="1"/>
  <c r="Z163" i="5" s="1"/>
  <c r="K162" i="5"/>
  <c r="W162" i="5" s="1"/>
  <c r="Z162" i="5" s="1"/>
  <c r="K161" i="5"/>
  <c r="W161" i="5" s="1"/>
  <c r="Z161" i="5" s="1"/>
  <c r="K160" i="5"/>
  <c r="K159" i="5"/>
  <c r="W159" i="5" s="1"/>
  <c r="Z159" i="5" s="1"/>
  <c r="K158" i="5"/>
  <c r="W158" i="5" s="1"/>
  <c r="Z158" i="5" s="1"/>
  <c r="K156" i="5"/>
  <c r="W156" i="5" s="1"/>
  <c r="Z156" i="5" s="1"/>
  <c r="K155" i="5"/>
  <c r="W155" i="5" s="1"/>
  <c r="Z155" i="5" s="1"/>
  <c r="K154" i="5"/>
  <c r="W154" i="5" s="1"/>
  <c r="Z154" i="5" s="1"/>
  <c r="K153" i="5"/>
  <c r="W153" i="5" s="1"/>
  <c r="Z153" i="5" s="1"/>
  <c r="K152" i="5"/>
  <c r="W152" i="5" s="1"/>
  <c r="Z152" i="5" s="1"/>
  <c r="K151" i="5"/>
  <c r="W151" i="5" s="1"/>
  <c r="Z151" i="5" s="1"/>
  <c r="K150" i="5"/>
  <c r="W150" i="5" s="1"/>
  <c r="Z150" i="5" s="1"/>
  <c r="K149" i="5"/>
  <c r="W149" i="5" s="1"/>
  <c r="Z149" i="5" s="1"/>
  <c r="K148" i="5"/>
  <c r="K147" i="5"/>
  <c r="W147" i="5" s="1"/>
  <c r="Z147" i="5" s="1"/>
  <c r="K146" i="5"/>
  <c r="W146" i="5" s="1"/>
  <c r="Z146" i="5" s="1"/>
  <c r="K145" i="5"/>
  <c r="W145" i="5" s="1"/>
  <c r="Z145" i="5" s="1"/>
  <c r="K144" i="5"/>
  <c r="K143" i="5"/>
  <c r="K142" i="5"/>
  <c r="W142" i="5" s="1"/>
  <c r="Z142" i="5" s="1"/>
  <c r="K141" i="5"/>
  <c r="K140" i="5"/>
  <c r="W140" i="5" s="1"/>
  <c r="Z140" i="5" s="1"/>
  <c r="K139" i="5"/>
  <c r="K138" i="5"/>
  <c r="W138" i="5" s="1"/>
  <c r="Z138" i="5" s="1"/>
  <c r="K137" i="5"/>
  <c r="W137" i="5" s="1"/>
  <c r="Z137" i="5" s="1"/>
  <c r="K136" i="5"/>
  <c r="W136" i="5" s="1"/>
  <c r="Z136" i="5" s="1"/>
  <c r="K135" i="5"/>
  <c r="K134" i="5"/>
  <c r="W134" i="5" s="1"/>
  <c r="Z134" i="5" s="1"/>
  <c r="K133" i="5"/>
  <c r="W133" i="5" s="1"/>
  <c r="Z133" i="5" s="1"/>
  <c r="K132" i="5"/>
  <c r="W132" i="5" s="1"/>
  <c r="Z132" i="5" s="1"/>
  <c r="K130" i="5"/>
  <c r="W130" i="5" s="1"/>
  <c r="Z130" i="5" s="1"/>
  <c r="K129" i="5"/>
  <c r="W129" i="5" s="1"/>
  <c r="Z129" i="5" s="1"/>
  <c r="K128" i="5"/>
  <c r="W128" i="5" s="1"/>
  <c r="Z128" i="5" s="1"/>
  <c r="K127" i="5"/>
  <c r="W127" i="5" s="1"/>
  <c r="Z127" i="5" s="1"/>
  <c r="K126" i="5"/>
  <c r="W126" i="5" s="1"/>
  <c r="Z126" i="5" s="1"/>
  <c r="K125" i="5"/>
  <c r="W125" i="5" s="1"/>
  <c r="Z125" i="5" s="1"/>
  <c r="K124" i="5"/>
  <c r="W124" i="5" s="1"/>
  <c r="Z124" i="5" s="1"/>
  <c r="K123" i="5"/>
  <c r="K122" i="5"/>
  <c r="W122" i="5" s="1"/>
  <c r="Z122" i="5" s="1"/>
  <c r="K121" i="5"/>
  <c r="W121" i="5" s="1"/>
  <c r="Z121" i="5" s="1"/>
  <c r="K120" i="5"/>
  <c r="W120" i="5" s="1"/>
  <c r="Z120" i="5" s="1"/>
  <c r="K119" i="5"/>
  <c r="W119" i="5" s="1"/>
  <c r="Z119" i="5" s="1"/>
  <c r="K118" i="5"/>
  <c r="W118" i="5" s="1"/>
  <c r="Z118" i="5" s="1"/>
  <c r="K117" i="5"/>
  <c r="W117" i="5" s="1"/>
  <c r="Z117" i="5" s="1"/>
  <c r="K116" i="5"/>
  <c r="W116" i="5" s="1"/>
  <c r="Z116" i="5" s="1"/>
  <c r="K115" i="5"/>
  <c r="K114" i="5"/>
  <c r="K113" i="5"/>
  <c r="W113" i="5" s="1"/>
  <c r="Z113" i="5" s="1"/>
  <c r="K112" i="5"/>
  <c r="W112" i="5" s="1"/>
  <c r="Z112" i="5" s="1"/>
  <c r="K111" i="5"/>
  <c r="W111" i="5" s="1"/>
  <c r="Z111" i="5" s="1"/>
  <c r="K110" i="5"/>
  <c r="W110" i="5" s="1"/>
  <c r="Z110" i="5" s="1"/>
  <c r="W144" i="5"/>
  <c r="Z144" i="5" s="1"/>
  <c r="W160" i="5"/>
  <c r="Z160" i="5" s="1"/>
  <c r="W164" i="5"/>
  <c r="Z164" i="5" s="1"/>
  <c r="W172" i="5"/>
  <c r="Z172" i="5" s="1"/>
  <c r="W174" i="5"/>
  <c r="Z174" i="5" s="1"/>
  <c r="W176" i="5"/>
  <c r="Z176" i="5" s="1"/>
  <c r="W198" i="5"/>
  <c r="Z198" i="5" s="1"/>
  <c r="W131" i="5"/>
  <c r="Z131" i="5" s="1"/>
  <c r="W139" i="5"/>
  <c r="Z139" i="5" s="1"/>
  <c r="W143" i="5"/>
  <c r="Z143" i="5" s="1"/>
  <c r="W175" i="5"/>
  <c r="Z175" i="5" s="1"/>
  <c r="W179" i="5"/>
  <c r="Z179" i="5" s="1"/>
  <c r="W183" i="5"/>
  <c r="Z183" i="5" s="1"/>
  <c r="W191" i="5"/>
  <c r="Z191" i="5" s="1"/>
  <c r="W195" i="5"/>
  <c r="Z195" i="5" s="1"/>
  <c r="W199" i="5"/>
  <c r="Z199" i="5" s="1"/>
  <c r="W177" i="5"/>
  <c r="Z177" i="5" s="1"/>
  <c r="W173" i="5"/>
  <c r="Z173" i="5" s="1"/>
  <c r="W157" i="5"/>
  <c r="Z157" i="5" s="1"/>
  <c r="W141" i="5"/>
  <c r="Z141" i="5" s="1"/>
  <c r="W135" i="5"/>
  <c r="Z135" i="5" s="1"/>
  <c r="W115" i="5"/>
  <c r="Z115" i="5" s="1"/>
  <c r="W114" i="5"/>
  <c r="Z114" i="5" s="1"/>
  <c r="W123" i="5"/>
  <c r="Z123" i="5" s="1"/>
  <c r="W148" i="5"/>
  <c r="Z148" i="5" s="1"/>
  <c r="W194" i="5"/>
  <c r="Z194" i="5" s="1"/>
  <c r="AC210" i="5" l="1"/>
  <c r="Z404" i="5"/>
  <c r="Z406" i="5"/>
  <c r="Z405" i="5"/>
  <c r="Z400" i="5"/>
  <c r="Z402" i="5"/>
  <c r="Z103" i="6"/>
  <c r="AC45" i="6"/>
  <c r="AC15" i="6"/>
  <c r="AC72" i="6"/>
  <c r="AC75" i="6"/>
  <c r="AC398" i="5"/>
  <c r="AC304" i="5"/>
  <c r="AC203" i="5"/>
  <c r="AC102" i="6" l="1"/>
  <c r="AC129" i="6"/>
  <c r="S108" i="5" l="1"/>
  <c r="S107" i="5"/>
  <c r="S106" i="5"/>
  <c r="S105" i="5"/>
  <c r="S104" i="5"/>
  <c r="S103" i="5"/>
  <c r="S102" i="5"/>
  <c r="S101" i="5"/>
  <c r="S100" i="5"/>
  <c r="S99" i="5"/>
  <c r="S98" i="5"/>
  <c r="S97" i="5"/>
  <c r="S93" i="5"/>
  <c r="S87" i="5"/>
  <c r="S86" i="5"/>
  <c r="S83" i="5"/>
  <c r="W108" i="5"/>
  <c r="Z108" i="5" s="1"/>
  <c r="W107" i="5"/>
  <c r="Z107" i="5" s="1"/>
  <c r="W106" i="5"/>
  <c r="Z106" i="5" s="1"/>
  <c r="W105" i="5"/>
  <c r="Z105" i="5" s="1"/>
  <c r="W104" i="5"/>
  <c r="Z104" i="5" s="1"/>
  <c r="W103" i="5"/>
  <c r="Z103" i="5" s="1"/>
  <c r="W102" i="5"/>
  <c r="Z102" i="5" s="1"/>
  <c r="W101" i="5"/>
  <c r="Z101" i="5" s="1"/>
  <c r="W100" i="5"/>
  <c r="Z100" i="5" s="1"/>
  <c r="W99" i="5"/>
  <c r="Z99" i="5" s="1"/>
  <c r="W98" i="5"/>
  <c r="Z98" i="5" s="1"/>
  <c r="W97" i="5"/>
  <c r="Z97" i="5" s="1"/>
  <c r="W96" i="5"/>
  <c r="Z96" i="5" s="1"/>
  <c r="W95" i="5"/>
  <c r="Z95" i="5" s="1"/>
  <c r="W94" i="5"/>
  <c r="Z94" i="5" s="1"/>
  <c r="W93" i="5"/>
  <c r="Z93" i="5" s="1"/>
  <c r="S82" i="5"/>
  <c r="S81" i="5"/>
  <c r="S74" i="5"/>
  <c r="S73" i="5"/>
  <c r="S71" i="5"/>
  <c r="S64" i="5"/>
  <c r="S63" i="5"/>
  <c r="W92" i="5"/>
  <c r="Z92" i="5" s="1"/>
  <c r="W91" i="5"/>
  <c r="Z91" i="5" s="1"/>
  <c r="W90" i="5"/>
  <c r="Z90" i="5" s="1"/>
  <c r="W89" i="5"/>
  <c r="Z89" i="5" s="1"/>
  <c r="W88" i="5"/>
  <c r="Z88" i="5" s="1"/>
  <c r="W87" i="5"/>
  <c r="W86" i="5"/>
  <c r="W85" i="5"/>
  <c r="Z85" i="5" s="1"/>
  <c r="W84" i="5"/>
  <c r="Z84" i="5" s="1"/>
  <c r="W83" i="5"/>
  <c r="W82" i="5"/>
  <c r="Z82" i="5" s="1"/>
  <c r="W81" i="5"/>
  <c r="W80" i="5"/>
  <c r="Z80" i="5" s="1"/>
  <c r="W79" i="5"/>
  <c r="Z79" i="5" s="1"/>
  <c r="W78" i="5"/>
  <c r="Z78" i="5" s="1"/>
  <c r="W77" i="5"/>
  <c r="Z77" i="5" s="1"/>
  <c r="W76" i="5"/>
  <c r="Z76" i="5" s="1"/>
  <c r="W75" i="5"/>
  <c r="Z75" i="5" s="1"/>
  <c r="W74" i="5"/>
  <c r="W73" i="5"/>
  <c r="W72" i="5"/>
  <c r="Z72" i="5" s="1"/>
  <c r="W71" i="5"/>
  <c r="Z71" i="5" s="1"/>
  <c r="W70" i="5"/>
  <c r="Z70" i="5" s="1"/>
  <c r="W67" i="5"/>
  <c r="Z67" i="5" s="1"/>
  <c r="W68" i="5"/>
  <c r="Z68" i="5" s="1"/>
  <c r="W69" i="5"/>
  <c r="Z69" i="5" s="1"/>
  <c r="S62" i="5"/>
  <c r="S61" i="5"/>
  <c r="S54" i="5"/>
  <c r="S53" i="5"/>
  <c r="S52" i="5"/>
  <c r="S51" i="5"/>
  <c r="S50" i="5"/>
  <c r="S49" i="5"/>
  <c r="S48" i="5"/>
  <c r="S47" i="5"/>
  <c r="S46" i="5"/>
  <c r="S45" i="5"/>
  <c r="S44" i="5"/>
  <c r="W66" i="5"/>
  <c r="Z66" i="5" s="1"/>
  <c r="W65" i="5"/>
  <c r="Z65" i="5" s="1"/>
  <c r="W64" i="5"/>
  <c r="W63" i="5"/>
  <c r="W62" i="5"/>
  <c r="Z62" i="5" s="1"/>
  <c r="W61" i="5"/>
  <c r="W60" i="5"/>
  <c r="Z60" i="5" s="1"/>
  <c r="W59" i="5"/>
  <c r="Z59" i="5" s="1"/>
  <c r="W58" i="5"/>
  <c r="Z58" i="5" s="1"/>
  <c r="W57" i="5"/>
  <c r="Z57" i="5" s="1"/>
  <c r="W56" i="5"/>
  <c r="Z56" i="5" s="1"/>
  <c r="S43" i="5"/>
  <c r="S42" i="5"/>
  <c r="S41" i="5"/>
  <c r="S40" i="5"/>
  <c r="S39" i="5"/>
  <c r="S38" i="5"/>
  <c r="S36" i="5"/>
  <c r="S35" i="5"/>
  <c r="W41" i="5"/>
  <c r="W42" i="5"/>
  <c r="Z42" i="5" s="1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Z55" i="5" s="1"/>
  <c r="S33" i="5"/>
  <c r="S31" i="5"/>
  <c r="S26" i="5"/>
  <c r="S25" i="5"/>
  <c r="S23" i="5"/>
  <c r="S22" i="5"/>
  <c r="S21" i="5"/>
  <c r="W21" i="5"/>
  <c r="W22" i="5"/>
  <c r="W23" i="5"/>
  <c r="W24" i="5"/>
  <c r="Z24" i="5" s="1"/>
  <c r="W25" i="5"/>
  <c r="Z25" i="5" s="1"/>
  <c r="W26" i="5"/>
  <c r="W27" i="5"/>
  <c r="Z27" i="5" s="1"/>
  <c r="W28" i="5"/>
  <c r="Z28" i="5" s="1"/>
  <c r="W29" i="5"/>
  <c r="Z29" i="5" s="1"/>
  <c r="W30" i="5"/>
  <c r="Z30" i="5" s="1"/>
  <c r="W31" i="5"/>
  <c r="Z31" i="5" s="1"/>
  <c r="W32" i="5"/>
  <c r="Z32" i="5" s="1"/>
  <c r="W33" i="5"/>
  <c r="W34" i="5"/>
  <c r="Z34" i="5" s="1"/>
  <c r="W35" i="5"/>
  <c r="W36" i="5"/>
  <c r="W37" i="5"/>
  <c r="Z37" i="5" s="1"/>
  <c r="W38" i="5"/>
  <c r="W39" i="5"/>
  <c r="Z39" i="5" s="1"/>
  <c r="W40" i="5"/>
  <c r="S20" i="5"/>
  <c r="W20" i="5"/>
  <c r="W19" i="5"/>
  <c r="S19" i="5"/>
  <c r="W18" i="5"/>
  <c r="S18" i="5"/>
  <c r="W17" i="5"/>
  <c r="S17" i="5"/>
  <c r="W16" i="5"/>
  <c r="S16" i="5"/>
  <c r="Z54" i="5" l="1"/>
  <c r="Z50" i="5"/>
  <c r="Z46" i="5"/>
  <c r="Z73" i="5"/>
  <c r="Z41" i="5"/>
  <c r="Z36" i="5"/>
  <c r="Z20" i="5"/>
  <c r="Z83" i="5"/>
  <c r="Z16" i="5"/>
  <c r="Z17" i="5"/>
  <c r="Z63" i="5"/>
  <c r="Z86" i="5"/>
  <c r="Z38" i="5"/>
  <c r="Z26" i="5"/>
  <c r="Z22" i="5"/>
  <c r="Z52" i="5"/>
  <c r="Z48" i="5"/>
  <c r="Z44" i="5"/>
  <c r="Z64" i="5"/>
  <c r="Z19" i="5"/>
  <c r="Z74" i="5"/>
  <c r="Z18" i="5"/>
  <c r="Z51" i="5"/>
  <c r="Z47" i="5"/>
  <c r="Z43" i="5"/>
  <c r="Z33" i="5"/>
  <c r="Z21" i="5"/>
  <c r="Z61" i="5"/>
  <c r="Z87" i="5"/>
  <c r="Z40" i="5"/>
  <c r="Z35" i="5"/>
  <c r="Z23" i="5"/>
  <c r="Z53" i="5"/>
  <c r="Z49" i="5"/>
  <c r="Z45" i="5"/>
  <c r="Z81" i="5"/>
  <c r="AC109" i="5"/>
  <c r="D13" i="5"/>
  <c r="AC15" i="5" l="1"/>
  <c r="F17" i="2" l="1"/>
  <c r="F20" i="2"/>
  <c r="F33" i="2"/>
  <c r="W40" i="3"/>
  <c r="Z40" i="3" s="1"/>
  <c r="W39" i="3"/>
  <c r="Z39" i="3" s="1"/>
  <c r="W38" i="3"/>
  <c r="Z38" i="3" s="1"/>
  <c r="W37" i="3"/>
  <c r="Z37" i="3" s="1"/>
  <c r="W36" i="3"/>
  <c r="Z36" i="3" s="1"/>
  <c r="W35" i="3"/>
  <c r="Z35" i="3" s="1"/>
  <c r="W34" i="3"/>
  <c r="Z34" i="3" s="1"/>
  <c r="W33" i="3"/>
  <c r="Z33" i="3" s="1"/>
  <c r="W32" i="3"/>
  <c r="Z32" i="3" s="1"/>
  <c r="W31" i="3"/>
  <c r="Z31" i="3" s="1"/>
  <c r="W30" i="3"/>
  <c r="Z30" i="3" s="1"/>
  <c r="W29" i="3"/>
  <c r="Z29" i="3" s="1"/>
  <c r="W28" i="3"/>
  <c r="Z28" i="3" s="1"/>
  <c r="W27" i="3"/>
  <c r="Z27" i="3" s="1"/>
  <c r="W26" i="3"/>
  <c r="Z26" i="3" s="1"/>
  <c r="W25" i="3"/>
  <c r="Z25" i="3" s="1"/>
  <c r="W24" i="3"/>
  <c r="Z24" i="3" s="1"/>
  <c r="W23" i="3"/>
  <c r="Z23" i="3" s="1"/>
  <c r="W22" i="3"/>
  <c r="Z22" i="3" s="1"/>
  <c r="W21" i="3"/>
  <c r="Z21" i="3" s="1"/>
  <c r="W20" i="3"/>
  <c r="Z20" i="3" s="1"/>
  <c r="W19" i="3"/>
  <c r="Z19" i="3" s="1"/>
  <c r="W18" i="3"/>
  <c r="Z18" i="3" s="1"/>
  <c r="W17" i="3"/>
  <c r="Z17" i="3" s="1"/>
  <c r="W16" i="3"/>
  <c r="Z16" i="3" s="1"/>
  <c r="AC15" i="3" l="1"/>
  <c r="AD42" i="3" s="1"/>
  <c r="E87" i="2" l="1"/>
  <c r="K21" i="1" l="1"/>
  <c r="K22" i="1"/>
  <c r="K23" i="1"/>
  <c r="K24" i="1"/>
  <c r="K25" i="1"/>
  <c r="K26" i="1"/>
  <c r="K27" i="1"/>
  <c r="K15" i="1" l="1"/>
  <c r="K9" i="1"/>
  <c r="K10" i="1"/>
  <c r="K11" i="1"/>
  <c r="B222" i="2" l="1"/>
  <c r="B224" i="2"/>
  <c r="B221" i="2"/>
  <c r="B223" i="2" l="1"/>
  <c r="B219" i="2" s="1"/>
  <c r="N125" i="1"/>
  <c r="N38" i="1"/>
  <c r="N24" i="1"/>
  <c r="K20" i="1"/>
  <c r="K16" i="1"/>
  <c r="A216" i="2"/>
  <c r="B216" i="2"/>
  <c r="C216" i="2"/>
  <c r="C215" i="2"/>
  <c r="B215" i="2"/>
  <c r="A215" i="2"/>
  <c r="B214" i="2"/>
  <c r="A214" i="2"/>
  <c r="A213" i="2"/>
  <c r="B213" i="2"/>
  <c r="C213" i="2"/>
  <c r="A210" i="2"/>
  <c r="B210" i="2"/>
  <c r="C210" i="2"/>
  <c r="A211" i="2"/>
  <c r="B211" i="2"/>
  <c r="C211" i="2"/>
  <c r="A212" i="2"/>
  <c r="B212" i="2"/>
  <c r="C212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C205" i="2"/>
  <c r="B205" i="2"/>
  <c r="A205" i="2"/>
  <c r="B204" i="2"/>
  <c r="A204" i="2"/>
  <c r="A202" i="2"/>
  <c r="B202" i="2"/>
  <c r="C202" i="2"/>
  <c r="A203" i="2"/>
  <c r="B203" i="2"/>
  <c r="C203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C144" i="2"/>
  <c r="B144" i="2"/>
  <c r="A144" i="2"/>
  <c r="B143" i="2"/>
  <c r="A143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B126" i="2"/>
  <c r="C126" i="2"/>
  <c r="C96" i="2"/>
  <c r="B96" i="2"/>
  <c r="A96" i="2"/>
  <c r="B95" i="2"/>
  <c r="A95" i="2"/>
  <c r="A91" i="2"/>
  <c r="B91" i="2"/>
  <c r="C91" i="2"/>
  <c r="A92" i="2"/>
  <c r="B92" i="2"/>
  <c r="C92" i="2"/>
  <c r="A93" i="2"/>
  <c r="B93" i="2"/>
  <c r="C93" i="2"/>
  <c r="A94" i="2"/>
  <c r="B94" i="2"/>
  <c r="C94" i="2"/>
  <c r="C90" i="2"/>
  <c r="B90" i="2"/>
  <c r="A90" i="2"/>
  <c r="B89" i="2"/>
  <c r="A89" i="2"/>
  <c r="A88" i="2"/>
  <c r="B88" i="2"/>
  <c r="C88" i="2"/>
  <c r="C87" i="2"/>
  <c r="B87" i="2"/>
  <c r="A87" i="2"/>
  <c r="B86" i="2"/>
  <c r="A86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C72" i="2"/>
  <c r="B72" i="2"/>
  <c r="A72" i="2"/>
  <c r="B71" i="2"/>
  <c r="A71" i="2"/>
  <c r="A69" i="2"/>
  <c r="B69" i="2"/>
  <c r="C69" i="2"/>
  <c r="A70" i="2"/>
  <c r="B70" i="2"/>
  <c r="C70" i="2"/>
  <c r="A67" i="2"/>
  <c r="B67" i="2"/>
  <c r="C67" i="2"/>
  <c r="A68" i="2"/>
  <c r="B68" i="2"/>
  <c r="C68" i="2"/>
  <c r="C66" i="2"/>
  <c r="B66" i="2"/>
  <c r="A66" i="2"/>
  <c r="B65" i="2"/>
  <c r="A65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C57" i="2"/>
  <c r="B57" i="2"/>
  <c r="A57" i="2"/>
  <c r="B56" i="2"/>
  <c r="A5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C46" i="2"/>
  <c r="B46" i="2"/>
  <c r="A46" i="2"/>
  <c r="B45" i="2"/>
  <c r="A45" i="2"/>
  <c r="B43" i="2"/>
  <c r="A43" i="2"/>
  <c r="A44" i="2"/>
  <c r="B44" i="2"/>
  <c r="C44" i="2"/>
  <c r="A34" i="2"/>
  <c r="A42" i="6" s="1"/>
  <c r="B34" i="2"/>
  <c r="D42" i="6" s="1"/>
  <c r="C34" i="2"/>
  <c r="AF42" i="6" s="1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C33" i="2"/>
  <c r="B33" i="2"/>
  <c r="A33" i="2"/>
  <c r="B32" i="2"/>
  <c r="A32" i="2"/>
  <c r="A30" i="2"/>
  <c r="B30" i="2"/>
  <c r="C30" i="2"/>
  <c r="A31" i="2"/>
  <c r="B31" i="2"/>
  <c r="C31" i="2"/>
  <c r="C29" i="2"/>
  <c r="B29" i="2"/>
  <c r="A29" i="2"/>
  <c r="B28" i="2"/>
  <c r="A28" i="2"/>
  <c r="C21" i="2"/>
  <c r="C22" i="2"/>
  <c r="C23" i="2"/>
  <c r="C24" i="2"/>
  <c r="C25" i="2"/>
  <c r="C26" i="2"/>
  <c r="C27" i="2"/>
  <c r="C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B20" i="2"/>
  <c r="A20" i="2"/>
  <c r="B19" i="2"/>
  <c r="A19" i="2"/>
  <c r="C17" i="2"/>
  <c r="C18" i="2"/>
  <c r="C16" i="2"/>
  <c r="A17" i="2"/>
  <c r="B17" i="2"/>
  <c r="A18" i="2"/>
  <c r="B18" i="2"/>
  <c r="B16" i="2"/>
  <c r="A16" i="2"/>
  <c r="B15" i="2"/>
  <c r="A15" i="2"/>
  <c r="N11" i="1"/>
  <c r="K12" i="1"/>
  <c r="C12" i="2"/>
  <c r="C13" i="2"/>
  <c r="C14" i="2"/>
  <c r="C11" i="2"/>
  <c r="A13" i="2"/>
  <c r="A14" i="2"/>
  <c r="B12" i="2"/>
  <c r="B13" i="2"/>
  <c r="B14" i="2"/>
  <c r="B11" i="2"/>
  <c r="B10" i="2"/>
  <c r="A12" i="2"/>
  <c r="A11" i="2"/>
  <c r="A10" i="2"/>
  <c r="M217" i="1"/>
  <c r="M221" i="1"/>
  <c r="N221" i="1"/>
  <c r="M223" i="1"/>
  <c r="N223" i="1"/>
  <c r="N216" i="1"/>
  <c r="M159" i="1"/>
  <c r="N159" i="1"/>
  <c r="M165" i="1"/>
  <c r="N165" i="1"/>
  <c r="N167" i="1"/>
  <c r="M168" i="1"/>
  <c r="N168" i="1"/>
  <c r="M170" i="1"/>
  <c r="M175" i="1"/>
  <c r="M181" i="1"/>
  <c r="N183" i="1"/>
  <c r="M184" i="1"/>
  <c r="M186" i="1"/>
  <c r="M189" i="1"/>
  <c r="N191" i="1"/>
  <c r="M197" i="1"/>
  <c r="N199" i="1"/>
  <c r="M207" i="1"/>
  <c r="N207" i="1"/>
  <c r="M210" i="1"/>
  <c r="N107" i="1"/>
  <c r="N110" i="1"/>
  <c r="M117" i="1"/>
  <c r="N119" i="1"/>
  <c r="M123" i="1"/>
  <c r="N123" i="1"/>
  <c r="M135" i="1"/>
  <c r="N135" i="1"/>
  <c r="M139" i="1"/>
  <c r="M141" i="1"/>
  <c r="M147" i="1"/>
  <c r="M151" i="1"/>
  <c r="N98" i="1"/>
  <c r="N80" i="1"/>
  <c r="M87" i="1"/>
  <c r="N87" i="1"/>
  <c r="M90" i="1"/>
  <c r="N72" i="1"/>
  <c r="M75" i="1"/>
  <c r="N62" i="1"/>
  <c r="M63" i="1"/>
  <c r="M65" i="1"/>
  <c r="M68" i="1"/>
  <c r="N68" i="1"/>
  <c r="M51" i="1"/>
  <c r="M54" i="1"/>
  <c r="M56" i="1"/>
  <c r="N56" i="1"/>
  <c r="N49" i="1"/>
  <c r="M38" i="1"/>
  <c r="N40" i="1"/>
  <c r="M41" i="1"/>
  <c r="M43" i="1"/>
  <c r="N43" i="1"/>
  <c r="N31" i="1"/>
  <c r="M31" i="1"/>
  <c r="M21" i="1"/>
  <c r="M22" i="1"/>
  <c r="M24" i="1"/>
  <c r="N27" i="1"/>
  <c r="M16" i="1"/>
  <c r="M11" i="1"/>
  <c r="H228" i="1"/>
  <c r="H227" i="1"/>
  <c r="N227" i="1" s="1"/>
  <c r="H217" i="1"/>
  <c r="N217" i="1" s="1"/>
  <c r="I217" i="1"/>
  <c r="H218" i="1"/>
  <c r="M218" i="1" s="1"/>
  <c r="H219" i="1"/>
  <c r="N219" i="1" s="1"/>
  <c r="I219" i="1"/>
  <c r="H220" i="1"/>
  <c r="I220" i="1" s="1"/>
  <c r="H221" i="1"/>
  <c r="I221" i="1"/>
  <c r="H222" i="1"/>
  <c r="I222" i="1" s="1"/>
  <c r="H223" i="1"/>
  <c r="I223" i="1"/>
  <c r="H224" i="1"/>
  <c r="I224" i="1" s="1"/>
  <c r="H216" i="1"/>
  <c r="I216" i="1" s="1"/>
  <c r="H155" i="1"/>
  <c r="N155" i="1" s="1"/>
  <c r="I155" i="1"/>
  <c r="H156" i="1"/>
  <c r="N156" i="1" s="1"/>
  <c r="H157" i="1"/>
  <c r="H158" i="1"/>
  <c r="I158" i="1"/>
  <c r="H159" i="1"/>
  <c r="I159" i="1" s="1"/>
  <c r="H160" i="1"/>
  <c r="M160" i="1" s="1"/>
  <c r="I160" i="1"/>
  <c r="H161" i="1"/>
  <c r="H162" i="1"/>
  <c r="I162" i="1"/>
  <c r="H163" i="1"/>
  <c r="H164" i="1"/>
  <c r="H165" i="1"/>
  <c r="I165" i="1" s="1"/>
  <c r="H166" i="1"/>
  <c r="I166" i="1"/>
  <c r="H167" i="1"/>
  <c r="H168" i="1"/>
  <c r="I168" i="1"/>
  <c r="H169" i="1"/>
  <c r="H170" i="1"/>
  <c r="N170" i="1" s="1"/>
  <c r="I170" i="1"/>
  <c r="H171" i="1"/>
  <c r="H172" i="1"/>
  <c r="H173" i="1"/>
  <c r="H174" i="1"/>
  <c r="I174" i="1" s="1"/>
  <c r="H175" i="1"/>
  <c r="I175" i="1" s="1"/>
  <c r="H176" i="1"/>
  <c r="M176" i="1" s="1"/>
  <c r="I176" i="1"/>
  <c r="H177" i="1"/>
  <c r="H178" i="1"/>
  <c r="I178" i="1"/>
  <c r="H179" i="1"/>
  <c r="H180" i="1"/>
  <c r="H181" i="1"/>
  <c r="I181" i="1" s="1"/>
  <c r="H182" i="1"/>
  <c r="I182" i="1" s="1"/>
  <c r="H183" i="1"/>
  <c r="H184" i="1"/>
  <c r="N184" i="1" s="1"/>
  <c r="I184" i="1"/>
  <c r="H185" i="1"/>
  <c r="H186" i="1"/>
  <c r="N186" i="1" s="1"/>
  <c r="I186" i="1"/>
  <c r="H187" i="1"/>
  <c r="M187" i="1" s="1"/>
  <c r="H188" i="1"/>
  <c r="H189" i="1"/>
  <c r="H190" i="1"/>
  <c r="N190" i="1" s="1"/>
  <c r="I190" i="1"/>
  <c r="H191" i="1"/>
  <c r="I191" i="1" s="1"/>
  <c r="H192" i="1"/>
  <c r="I192" i="1"/>
  <c r="H193" i="1"/>
  <c r="N193" i="1" s="1"/>
  <c r="H194" i="1"/>
  <c r="N194" i="1" s="1"/>
  <c r="I194" i="1"/>
  <c r="H195" i="1"/>
  <c r="H196" i="1"/>
  <c r="H197" i="1"/>
  <c r="H198" i="1"/>
  <c r="I198" i="1"/>
  <c r="H199" i="1"/>
  <c r="I199" i="1" s="1"/>
  <c r="H200" i="1"/>
  <c r="I200" i="1"/>
  <c r="H201" i="1"/>
  <c r="H202" i="1"/>
  <c r="N202" i="1" s="1"/>
  <c r="I202" i="1"/>
  <c r="H203" i="1"/>
  <c r="H204" i="1"/>
  <c r="H205" i="1"/>
  <c r="H206" i="1"/>
  <c r="I206" i="1" s="1"/>
  <c r="H207" i="1"/>
  <c r="I207" i="1" s="1"/>
  <c r="H208" i="1"/>
  <c r="I208" i="1"/>
  <c r="H209" i="1"/>
  <c r="H210" i="1"/>
  <c r="N210" i="1" s="1"/>
  <c r="I210" i="1"/>
  <c r="H211" i="1"/>
  <c r="N211" i="1" s="1"/>
  <c r="H212" i="1"/>
  <c r="H213" i="1"/>
  <c r="H154" i="1"/>
  <c r="H106" i="1"/>
  <c r="H107" i="1"/>
  <c r="M107" i="1" s="1"/>
  <c r="I107" i="1"/>
  <c r="H108" i="1"/>
  <c r="M108" i="1" s="1"/>
  <c r="H109" i="1"/>
  <c r="H110" i="1"/>
  <c r="I110" i="1" s="1"/>
  <c r="H111" i="1"/>
  <c r="M111" i="1" s="1"/>
  <c r="I111" i="1"/>
  <c r="H112" i="1"/>
  <c r="I112" i="1" s="1"/>
  <c r="H113" i="1"/>
  <c r="I113" i="1"/>
  <c r="H114" i="1"/>
  <c r="N114" i="1" s="1"/>
  <c r="H115" i="1"/>
  <c r="N115" i="1" s="1"/>
  <c r="I115" i="1"/>
  <c r="H116" i="1"/>
  <c r="I116" i="1"/>
  <c r="H117" i="1"/>
  <c r="N117" i="1" s="1"/>
  <c r="I117" i="1"/>
  <c r="H118" i="1"/>
  <c r="I118" i="1"/>
  <c r="H119" i="1"/>
  <c r="M119" i="1" s="1"/>
  <c r="I119" i="1"/>
  <c r="H120" i="1"/>
  <c r="M120" i="1" s="1"/>
  <c r="I120" i="1"/>
  <c r="H121" i="1"/>
  <c r="N121" i="1" s="1"/>
  <c r="I121" i="1"/>
  <c r="H122" i="1"/>
  <c r="I122" i="1"/>
  <c r="H123" i="1"/>
  <c r="I123" i="1"/>
  <c r="H124" i="1"/>
  <c r="I124" i="1"/>
  <c r="H125" i="1"/>
  <c r="M125" i="1" s="1"/>
  <c r="I125" i="1"/>
  <c r="H126" i="1"/>
  <c r="M126" i="1" s="1"/>
  <c r="I126" i="1"/>
  <c r="H127" i="1"/>
  <c r="M127" i="1" s="1"/>
  <c r="I127" i="1"/>
  <c r="H128" i="1"/>
  <c r="I128" i="1"/>
  <c r="H129" i="1"/>
  <c r="I129" i="1"/>
  <c r="H130" i="1"/>
  <c r="N130" i="1" s="1"/>
  <c r="I130" i="1"/>
  <c r="H131" i="1"/>
  <c r="N131" i="1" s="1"/>
  <c r="I131" i="1"/>
  <c r="H132" i="1"/>
  <c r="M132" i="1" s="1"/>
  <c r="I132" i="1"/>
  <c r="H133" i="1"/>
  <c r="N133" i="1" s="1"/>
  <c r="I133" i="1"/>
  <c r="H134" i="1"/>
  <c r="I134" i="1"/>
  <c r="H135" i="1"/>
  <c r="I135" i="1"/>
  <c r="H136" i="1"/>
  <c r="I136" i="1"/>
  <c r="H137" i="1"/>
  <c r="N137" i="1" s="1"/>
  <c r="I137" i="1"/>
  <c r="H138" i="1"/>
  <c r="I138" i="1"/>
  <c r="H139" i="1"/>
  <c r="N139" i="1" s="1"/>
  <c r="I139" i="1"/>
  <c r="H140" i="1"/>
  <c r="I140" i="1"/>
  <c r="H141" i="1"/>
  <c r="N141" i="1" s="1"/>
  <c r="I141" i="1"/>
  <c r="H142" i="1"/>
  <c r="N142" i="1" s="1"/>
  <c r="I142" i="1"/>
  <c r="H143" i="1"/>
  <c r="M143" i="1" s="1"/>
  <c r="I143" i="1"/>
  <c r="H144" i="1"/>
  <c r="M144" i="1" s="1"/>
  <c r="I144" i="1"/>
  <c r="H145" i="1"/>
  <c r="I145" i="1"/>
  <c r="H146" i="1"/>
  <c r="H147" i="1"/>
  <c r="N147" i="1" s="1"/>
  <c r="I147" i="1"/>
  <c r="H148" i="1"/>
  <c r="N148" i="1" s="1"/>
  <c r="I148" i="1"/>
  <c r="H149" i="1"/>
  <c r="N149" i="1" s="1"/>
  <c r="I149" i="1"/>
  <c r="H150" i="1"/>
  <c r="I150" i="1"/>
  <c r="H151" i="1"/>
  <c r="N151" i="1" s="1"/>
  <c r="I151" i="1"/>
  <c r="H105" i="1"/>
  <c r="H99" i="1"/>
  <c r="N99" i="1" s="1"/>
  <c r="H100" i="1"/>
  <c r="M100" i="1" s="1"/>
  <c r="I100" i="1"/>
  <c r="H101" i="1"/>
  <c r="H102" i="1"/>
  <c r="H98" i="1"/>
  <c r="I98" i="1" s="1"/>
  <c r="H95" i="1"/>
  <c r="H94" i="1"/>
  <c r="H79" i="1"/>
  <c r="H80" i="1"/>
  <c r="M80" i="1" s="1"/>
  <c r="I80" i="1"/>
  <c r="H81" i="1"/>
  <c r="H82" i="1"/>
  <c r="M82" i="1" s="1"/>
  <c r="I82" i="1"/>
  <c r="H83" i="1"/>
  <c r="H84" i="1"/>
  <c r="H85" i="1"/>
  <c r="I85" i="1" s="1"/>
  <c r="H86" i="1"/>
  <c r="I86" i="1" s="1"/>
  <c r="H87" i="1"/>
  <c r="I87" i="1" s="1"/>
  <c r="H88" i="1"/>
  <c r="N88" i="1" s="1"/>
  <c r="I88" i="1"/>
  <c r="H89" i="1"/>
  <c r="H90" i="1"/>
  <c r="N90" i="1" s="1"/>
  <c r="I90" i="1"/>
  <c r="H91" i="1"/>
  <c r="H78" i="1"/>
  <c r="H72" i="1"/>
  <c r="H73" i="1"/>
  <c r="M73" i="1" s="1"/>
  <c r="I73" i="1"/>
  <c r="H74" i="1"/>
  <c r="H75" i="1"/>
  <c r="N75" i="1" s="1"/>
  <c r="I75" i="1"/>
  <c r="H71" i="1"/>
  <c r="H62" i="1"/>
  <c r="I62" i="1" s="1"/>
  <c r="H63" i="1"/>
  <c r="N63" i="1" s="1"/>
  <c r="I63" i="1"/>
  <c r="H64" i="1"/>
  <c r="H65" i="1"/>
  <c r="N65" i="1" s="1"/>
  <c r="I65" i="1"/>
  <c r="H66" i="1"/>
  <c r="H67" i="1"/>
  <c r="H68" i="1"/>
  <c r="I68" i="1" s="1"/>
  <c r="H61" i="1"/>
  <c r="H50" i="1"/>
  <c r="H51" i="1"/>
  <c r="N51" i="1" s="1"/>
  <c r="I51" i="1"/>
  <c r="H52" i="1"/>
  <c r="H53" i="1"/>
  <c r="H54" i="1"/>
  <c r="I54" i="1" s="1"/>
  <c r="H55" i="1"/>
  <c r="I55" i="1"/>
  <c r="H56" i="1"/>
  <c r="I56" i="1" s="1"/>
  <c r="H57" i="1"/>
  <c r="N57" i="1" s="1"/>
  <c r="I57" i="1"/>
  <c r="H58" i="1"/>
  <c r="H49" i="1"/>
  <c r="H46" i="1"/>
  <c r="I46" i="1" s="1"/>
  <c r="H36" i="1"/>
  <c r="I36" i="1" s="1"/>
  <c r="H37" i="1"/>
  <c r="H38" i="1"/>
  <c r="I38" i="1" s="1"/>
  <c r="H39" i="1"/>
  <c r="N39" i="1" s="1"/>
  <c r="H40" i="1"/>
  <c r="I40" i="1" s="1"/>
  <c r="H41" i="1"/>
  <c r="N41" i="1" s="1"/>
  <c r="I41" i="1"/>
  <c r="H42" i="1"/>
  <c r="H43" i="1"/>
  <c r="I43" i="1"/>
  <c r="H44" i="1"/>
  <c r="H35" i="1"/>
  <c r="I35" i="1" s="1"/>
  <c r="H31" i="1"/>
  <c r="I31" i="1" s="1"/>
  <c r="H32" i="1"/>
  <c r="M32" i="1" s="1"/>
  <c r="I32" i="1"/>
  <c r="H30" i="1"/>
  <c r="H21" i="1"/>
  <c r="H22" i="1"/>
  <c r="N22" i="1" s="1"/>
  <c r="I22" i="1"/>
  <c r="H23" i="1"/>
  <c r="H24" i="1"/>
  <c r="I24" i="1"/>
  <c r="H25" i="1"/>
  <c r="H26" i="1"/>
  <c r="H27" i="1"/>
  <c r="I27" i="1" s="1"/>
  <c r="H20" i="1"/>
  <c r="I20" i="1" s="1"/>
  <c r="I16" i="1"/>
  <c r="H16" i="1"/>
  <c r="H17" i="1"/>
  <c r="H15" i="1"/>
  <c r="H11" i="1"/>
  <c r="G12" i="1"/>
  <c r="H12" i="1" s="1"/>
  <c r="G11" i="1"/>
  <c r="G10" i="1"/>
  <c r="H10" i="1" s="1"/>
  <c r="G9" i="1"/>
  <c r="H9" i="1" s="1"/>
  <c r="I11" i="1"/>
  <c r="I12" i="1" l="1"/>
  <c r="M12" i="1"/>
  <c r="N9" i="1"/>
  <c r="M9" i="1"/>
  <c r="I9" i="1"/>
  <c r="I50" i="1"/>
  <c r="M50" i="1"/>
  <c r="I66" i="1"/>
  <c r="I69" i="1" s="1"/>
  <c r="N66" i="1"/>
  <c r="N17" i="1"/>
  <c r="I17" i="1"/>
  <c r="M17" i="1"/>
  <c r="O17" i="1" s="1"/>
  <c r="I58" i="1"/>
  <c r="M58" i="1"/>
  <c r="I61" i="1"/>
  <c r="M61" i="1"/>
  <c r="O61" i="1" s="1"/>
  <c r="P61" i="1" s="1"/>
  <c r="N61" i="1"/>
  <c r="I81" i="1"/>
  <c r="N81" i="1"/>
  <c r="I101" i="1"/>
  <c r="I103" i="1" s="1"/>
  <c r="N101" i="1"/>
  <c r="M101" i="1"/>
  <c r="M150" i="1"/>
  <c r="N150" i="1"/>
  <c r="O150" i="1" s="1"/>
  <c r="P150" i="1" s="1"/>
  <c r="N140" i="1"/>
  <c r="M140" i="1"/>
  <c r="N138" i="1"/>
  <c r="M138" i="1"/>
  <c r="O138" i="1" s="1"/>
  <c r="P138" i="1" s="1"/>
  <c r="M136" i="1"/>
  <c r="N136" i="1"/>
  <c r="M134" i="1"/>
  <c r="N134" i="1"/>
  <c r="O134" i="1" s="1"/>
  <c r="P134" i="1" s="1"/>
  <c r="M128" i="1"/>
  <c r="N128" i="1"/>
  <c r="N124" i="1"/>
  <c r="M124" i="1"/>
  <c r="O124" i="1" s="1"/>
  <c r="P124" i="1" s="1"/>
  <c r="N122" i="1"/>
  <c r="M122" i="1"/>
  <c r="M118" i="1"/>
  <c r="N118" i="1"/>
  <c r="O118" i="1" s="1"/>
  <c r="P118" i="1" s="1"/>
  <c r="M116" i="1"/>
  <c r="N116" i="1"/>
  <c r="N204" i="1"/>
  <c r="I204" i="1"/>
  <c r="I201" i="1"/>
  <c r="N201" i="1"/>
  <c r="I195" i="1"/>
  <c r="M195" i="1"/>
  <c r="O195" i="1" s="1"/>
  <c r="P195" i="1" s="1"/>
  <c r="N195" i="1"/>
  <c r="N172" i="1"/>
  <c r="I172" i="1"/>
  <c r="I169" i="1"/>
  <c r="M169" i="1"/>
  <c r="N169" i="1"/>
  <c r="I163" i="1"/>
  <c r="N163" i="1"/>
  <c r="O163" i="1" s="1"/>
  <c r="P163" i="1" s="1"/>
  <c r="N158" i="1"/>
  <c r="M158" i="1"/>
  <c r="M20" i="1"/>
  <c r="M35" i="1"/>
  <c r="O35" i="1" s="1"/>
  <c r="P35" i="1" s="1"/>
  <c r="N36" i="1"/>
  <c r="M66" i="1"/>
  <c r="M81" i="1"/>
  <c r="N144" i="1"/>
  <c r="O144" i="1" s="1"/>
  <c r="P144" i="1" s="1"/>
  <c r="N126" i="1"/>
  <c r="M204" i="1"/>
  <c r="I15" i="1"/>
  <c r="M15" i="1"/>
  <c r="M37" i="1"/>
  <c r="I37" i="1"/>
  <c r="N37" i="1"/>
  <c r="I52" i="1"/>
  <c r="I59" i="1" s="1"/>
  <c r="M52" i="1"/>
  <c r="N52" i="1"/>
  <c r="M84" i="1"/>
  <c r="I84" i="1"/>
  <c r="I92" i="1" s="1"/>
  <c r="I94" i="1"/>
  <c r="N94" i="1"/>
  <c r="I105" i="1"/>
  <c r="N105" i="1"/>
  <c r="N152" i="1" s="1"/>
  <c r="M105" i="1"/>
  <c r="M146" i="1"/>
  <c r="N146" i="1"/>
  <c r="M26" i="1"/>
  <c r="M28" i="1" s="1"/>
  <c r="N26" i="1"/>
  <c r="I26" i="1"/>
  <c r="I23" i="1"/>
  <c r="N23" i="1"/>
  <c r="O23" i="1" s="1"/>
  <c r="P23" i="1" s="1"/>
  <c r="M23" i="1"/>
  <c r="I30" i="1"/>
  <c r="N30" i="1"/>
  <c r="M30" i="1"/>
  <c r="O30" i="1" s="1"/>
  <c r="P30" i="1" s="1"/>
  <c r="I42" i="1"/>
  <c r="N42" i="1"/>
  <c r="M42" i="1"/>
  <c r="I39" i="1"/>
  <c r="N55" i="1"/>
  <c r="M55" i="1"/>
  <c r="M74" i="1"/>
  <c r="I74" i="1"/>
  <c r="I78" i="1"/>
  <c r="N78" i="1"/>
  <c r="I89" i="1"/>
  <c r="M89" i="1"/>
  <c r="O89" i="1" s="1"/>
  <c r="P89" i="1" s="1"/>
  <c r="N89" i="1"/>
  <c r="I83" i="1"/>
  <c r="M83" i="1"/>
  <c r="N83" i="1"/>
  <c r="N92" i="1" s="1"/>
  <c r="I95" i="1"/>
  <c r="M95" i="1"/>
  <c r="N95" i="1"/>
  <c r="N212" i="1"/>
  <c r="M212" i="1"/>
  <c r="I212" i="1"/>
  <c r="I209" i="1"/>
  <c r="M209" i="1"/>
  <c r="O209" i="1" s="1"/>
  <c r="P209" i="1" s="1"/>
  <c r="N209" i="1"/>
  <c r="I203" i="1"/>
  <c r="M203" i="1"/>
  <c r="N203" i="1"/>
  <c r="O203" i="1" s="1"/>
  <c r="P203" i="1" s="1"/>
  <c r="N198" i="1"/>
  <c r="M198" i="1"/>
  <c r="N180" i="1"/>
  <c r="I180" i="1"/>
  <c r="M180" i="1"/>
  <c r="I177" i="1"/>
  <c r="M177" i="1"/>
  <c r="I171" i="1"/>
  <c r="N171" i="1"/>
  <c r="M171" i="1"/>
  <c r="N166" i="1"/>
  <c r="M166" i="1"/>
  <c r="O166" i="1" s="1"/>
  <c r="P166" i="1" s="1"/>
  <c r="N35" i="1"/>
  <c r="M36" i="1"/>
  <c r="N50" i="1"/>
  <c r="N74" i="1"/>
  <c r="O74" i="1" s="1"/>
  <c r="P74" i="1" s="1"/>
  <c r="M142" i="1"/>
  <c r="M201" i="1"/>
  <c r="N177" i="1"/>
  <c r="I10" i="1"/>
  <c r="N10" i="1"/>
  <c r="M10" i="1"/>
  <c r="I25" i="1"/>
  <c r="N25" i="1"/>
  <c r="O25" i="1" s="1"/>
  <c r="P25" i="1" s="1"/>
  <c r="I44" i="1"/>
  <c r="M44" i="1"/>
  <c r="N44" i="1"/>
  <c r="N67" i="1"/>
  <c r="O67" i="1" s="1"/>
  <c r="P67" i="1" s="1"/>
  <c r="I67" i="1"/>
  <c r="M67" i="1"/>
  <c r="I64" i="1"/>
  <c r="M64" i="1"/>
  <c r="O64" i="1" s="1"/>
  <c r="P64" i="1" s="1"/>
  <c r="N64" i="1"/>
  <c r="I71" i="1"/>
  <c r="M71" i="1"/>
  <c r="N71" i="1"/>
  <c r="O71" i="1" s="1"/>
  <c r="P71" i="1" s="1"/>
  <c r="I91" i="1"/>
  <c r="M91" i="1"/>
  <c r="N91" i="1"/>
  <c r="N86" i="1"/>
  <c r="O86" i="1" s="1"/>
  <c r="P86" i="1" s="1"/>
  <c r="M86" i="1"/>
  <c r="M109" i="1"/>
  <c r="I109" i="1"/>
  <c r="N109" i="1"/>
  <c r="O109" i="1" s="1"/>
  <c r="P109" i="1" s="1"/>
  <c r="I106" i="1"/>
  <c r="N106" i="1"/>
  <c r="M106" i="1"/>
  <c r="I211" i="1"/>
  <c r="M211" i="1"/>
  <c r="N206" i="1"/>
  <c r="M206" i="1"/>
  <c r="M188" i="1"/>
  <c r="O188" i="1" s="1"/>
  <c r="P188" i="1" s="1"/>
  <c r="I188" i="1"/>
  <c r="N188" i="1"/>
  <c r="I185" i="1"/>
  <c r="M185" i="1"/>
  <c r="O185" i="1" s="1"/>
  <c r="P185" i="1" s="1"/>
  <c r="N185" i="1"/>
  <c r="I179" i="1"/>
  <c r="M179" i="1"/>
  <c r="N179" i="1"/>
  <c r="O179" i="1" s="1"/>
  <c r="P179" i="1" s="1"/>
  <c r="N174" i="1"/>
  <c r="M174" i="1"/>
  <c r="I156" i="1"/>
  <c r="M156" i="1"/>
  <c r="O156" i="1" s="1"/>
  <c r="P156" i="1" s="1"/>
  <c r="I218" i="1"/>
  <c r="I227" i="1"/>
  <c r="M227" i="1"/>
  <c r="N15" i="1"/>
  <c r="M25" i="1"/>
  <c r="M39" i="1"/>
  <c r="M94" i="1"/>
  <c r="M148" i="1"/>
  <c r="O148" i="1" s="1"/>
  <c r="P148" i="1" s="1"/>
  <c r="N132" i="1"/>
  <c r="M190" i="1"/>
  <c r="M163" i="1"/>
  <c r="N53" i="1"/>
  <c r="O53" i="1" s="1"/>
  <c r="P53" i="1" s="1"/>
  <c r="I53" i="1"/>
  <c r="M102" i="1"/>
  <c r="N102" i="1"/>
  <c r="I102" i="1"/>
  <c r="I99" i="1"/>
  <c r="M99" i="1"/>
  <c r="I146" i="1"/>
  <c r="I114" i="1"/>
  <c r="I152" i="1" s="1"/>
  <c r="M114" i="1"/>
  <c r="I108" i="1"/>
  <c r="N108" i="1"/>
  <c r="I154" i="1"/>
  <c r="I214" i="1" s="1"/>
  <c r="N154" i="1"/>
  <c r="N196" i="1"/>
  <c r="I196" i="1"/>
  <c r="M196" i="1"/>
  <c r="O196" i="1" s="1"/>
  <c r="P196" i="1" s="1"/>
  <c r="I193" i="1"/>
  <c r="M193" i="1"/>
  <c r="I187" i="1"/>
  <c r="N187" i="1"/>
  <c r="N182" i="1"/>
  <c r="M182" i="1"/>
  <c r="N164" i="1"/>
  <c r="I164" i="1"/>
  <c r="M164" i="1"/>
  <c r="I161" i="1"/>
  <c r="M161" i="1"/>
  <c r="N161" i="1"/>
  <c r="O161" i="1" s="1"/>
  <c r="P161" i="1" s="1"/>
  <c r="M224" i="1"/>
  <c r="N224" i="1"/>
  <c r="M222" i="1"/>
  <c r="N222" i="1"/>
  <c r="N225" i="1" s="1"/>
  <c r="N220" i="1"/>
  <c r="M220" i="1"/>
  <c r="I228" i="1"/>
  <c r="M228" i="1"/>
  <c r="O228" i="1" s="1"/>
  <c r="P228" i="1" s="1"/>
  <c r="N228" i="1"/>
  <c r="N229" i="1" s="1"/>
  <c r="N58" i="1"/>
  <c r="M53" i="1"/>
  <c r="M78" i="1"/>
  <c r="N84" i="1"/>
  <c r="M130" i="1"/>
  <c r="N120" i="1"/>
  <c r="N111" i="1"/>
  <c r="O111" i="1" s="1"/>
  <c r="P111" i="1" s="1"/>
  <c r="M154" i="1"/>
  <c r="M172" i="1"/>
  <c r="N218" i="1"/>
  <c r="D304" i="5"/>
  <c r="D102" i="6"/>
  <c r="A75" i="6"/>
  <c r="A210" i="5"/>
  <c r="N113" i="1"/>
  <c r="O113" i="1" s="1"/>
  <c r="P113" i="1" s="1"/>
  <c r="M113" i="1"/>
  <c r="I213" i="1"/>
  <c r="N213" i="1"/>
  <c r="N208" i="1"/>
  <c r="M208" i="1"/>
  <c r="I205" i="1"/>
  <c r="N205" i="1"/>
  <c r="N200" i="1"/>
  <c r="O200" i="1" s="1"/>
  <c r="P200" i="1" s="1"/>
  <c r="M200" i="1"/>
  <c r="I197" i="1"/>
  <c r="N197" i="1"/>
  <c r="N192" i="1"/>
  <c r="O192" i="1" s="1"/>
  <c r="P192" i="1" s="1"/>
  <c r="M192" i="1"/>
  <c r="I189" i="1"/>
  <c r="N189" i="1"/>
  <c r="I173" i="1"/>
  <c r="N173" i="1"/>
  <c r="O173" i="1" s="1"/>
  <c r="P173" i="1" s="1"/>
  <c r="I157" i="1"/>
  <c r="N157" i="1"/>
  <c r="M27" i="1"/>
  <c r="O27" i="1" s="1"/>
  <c r="P27" i="1" s="1"/>
  <c r="N32" i="1"/>
  <c r="M40" i="1"/>
  <c r="M46" i="1"/>
  <c r="M62" i="1"/>
  <c r="O62" i="1" s="1"/>
  <c r="P62" i="1" s="1"/>
  <c r="N73" i="1"/>
  <c r="N85" i="1"/>
  <c r="M149" i="1"/>
  <c r="N143" i="1"/>
  <c r="M137" i="1"/>
  <c r="M131" i="1"/>
  <c r="N112" i="1"/>
  <c r="M110" i="1"/>
  <c r="O110" i="1" s="1"/>
  <c r="P110" i="1" s="1"/>
  <c r="M213" i="1"/>
  <c r="M202" i="1"/>
  <c r="M199" i="1"/>
  <c r="N176" i="1"/>
  <c r="O176" i="1" s="1"/>
  <c r="P176" i="1" s="1"/>
  <c r="M173" i="1"/>
  <c r="M155" i="1"/>
  <c r="O155" i="1" s="1"/>
  <c r="P155" i="1" s="1"/>
  <c r="D15" i="6"/>
  <c r="D15" i="5"/>
  <c r="D398" i="5"/>
  <c r="D129" i="6"/>
  <c r="A102" i="6"/>
  <c r="A304" i="5"/>
  <c r="D45" i="6"/>
  <c r="D109" i="5"/>
  <c r="N82" i="1"/>
  <c r="A15" i="6"/>
  <c r="A15" i="5"/>
  <c r="AF129" i="6"/>
  <c r="AF398" i="5"/>
  <c r="I21" i="1"/>
  <c r="N21" i="1"/>
  <c r="I49" i="1"/>
  <c r="M49" i="1"/>
  <c r="I72" i="1"/>
  <c r="M72" i="1"/>
  <c r="I79" i="1"/>
  <c r="N79" i="1"/>
  <c r="N145" i="1"/>
  <c r="M145" i="1"/>
  <c r="N129" i="1"/>
  <c r="M129" i="1"/>
  <c r="I183" i="1"/>
  <c r="M183" i="1"/>
  <c r="O183" i="1" s="1"/>
  <c r="P183" i="1" s="1"/>
  <c r="N178" i="1"/>
  <c r="M178" i="1"/>
  <c r="I167" i="1"/>
  <c r="M167" i="1"/>
  <c r="O167" i="1" s="1"/>
  <c r="P167" i="1" s="1"/>
  <c r="N162" i="1"/>
  <c r="M162" i="1"/>
  <c r="N46" i="1"/>
  <c r="O46" i="1" s="1"/>
  <c r="P46" i="1" s="1"/>
  <c r="M57" i="1"/>
  <c r="N54" i="1"/>
  <c r="O54" i="1" s="1"/>
  <c r="P54" i="1" s="1"/>
  <c r="M88" i="1"/>
  <c r="M85" i="1"/>
  <c r="O85" i="1" s="1"/>
  <c r="P85" i="1" s="1"/>
  <c r="M79" i="1"/>
  <c r="M98" i="1"/>
  <c r="N100" i="1"/>
  <c r="M133" i="1"/>
  <c r="N127" i="1"/>
  <c r="M121" i="1"/>
  <c r="M115" i="1"/>
  <c r="M112" i="1"/>
  <c r="O112" i="1" s="1"/>
  <c r="P112" i="1" s="1"/>
  <c r="M205" i="1"/>
  <c r="M194" i="1"/>
  <c r="O194" i="1" s="1"/>
  <c r="P194" i="1" s="1"/>
  <c r="M191" i="1"/>
  <c r="N181" i="1"/>
  <c r="O181" i="1" s="1"/>
  <c r="P181" i="1" s="1"/>
  <c r="N175" i="1"/>
  <c r="O175" i="1" s="1"/>
  <c r="P175" i="1" s="1"/>
  <c r="N160" i="1"/>
  <c r="N214" i="1" s="1"/>
  <c r="M157" i="1"/>
  <c r="M216" i="1"/>
  <c r="O216" i="1" s="1"/>
  <c r="P216" i="1" s="1"/>
  <c r="M219" i="1"/>
  <c r="N16" i="1"/>
  <c r="A13" i="6"/>
  <c r="A13" i="5"/>
  <c r="AF15" i="6"/>
  <c r="AF15" i="5"/>
  <c r="A129" i="6"/>
  <c r="A398" i="5"/>
  <c r="AF75" i="6"/>
  <c r="AF210" i="5"/>
  <c r="D72" i="6"/>
  <c r="D203" i="5"/>
  <c r="A45" i="6"/>
  <c r="A109" i="5"/>
  <c r="N20" i="1"/>
  <c r="N12" i="1"/>
  <c r="AF102" i="6"/>
  <c r="AF304" i="5"/>
  <c r="D75" i="6"/>
  <c r="D210" i="5"/>
  <c r="A72" i="6"/>
  <c r="A203" i="5"/>
  <c r="M229" i="1"/>
  <c r="I229" i="1"/>
  <c r="L228" i="1"/>
  <c r="O227" i="1"/>
  <c r="P227" i="1" s="1"/>
  <c r="L227" i="1"/>
  <c r="I225" i="1"/>
  <c r="L217" i="1"/>
  <c r="O217" i="1"/>
  <c r="P217" i="1" s="1"/>
  <c r="L218" i="1"/>
  <c r="O218" i="1"/>
  <c r="P218" i="1" s="1"/>
  <c r="L219" i="1"/>
  <c r="O219" i="1"/>
  <c r="P219" i="1" s="1"/>
  <c r="L220" i="1"/>
  <c r="O220" i="1"/>
  <c r="P220" i="1" s="1"/>
  <c r="L221" i="1"/>
  <c r="O221" i="1"/>
  <c r="P221" i="1" s="1"/>
  <c r="L222" i="1"/>
  <c r="O222" i="1"/>
  <c r="P222" i="1" s="1"/>
  <c r="L223" i="1"/>
  <c r="O223" i="1"/>
  <c r="P223" i="1" s="1"/>
  <c r="L224" i="1"/>
  <c r="O224" i="1"/>
  <c r="P224" i="1" s="1"/>
  <c r="L216" i="1"/>
  <c r="M214" i="1"/>
  <c r="L155" i="1"/>
  <c r="L156" i="1"/>
  <c r="L157" i="1"/>
  <c r="O157" i="1"/>
  <c r="L158" i="1"/>
  <c r="O158" i="1"/>
  <c r="P158" i="1" s="1"/>
  <c r="L159" i="1"/>
  <c r="O159" i="1"/>
  <c r="P159" i="1" s="1"/>
  <c r="L160" i="1"/>
  <c r="O160" i="1"/>
  <c r="P160" i="1" s="1"/>
  <c r="L161" i="1"/>
  <c r="L162" i="1"/>
  <c r="O162" i="1"/>
  <c r="P162" i="1" s="1"/>
  <c r="L163" i="1"/>
  <c r="L164" i="1"/>
  <c r="O164" i="1"/>
  <c r="L165" i="1"/>
  <c r="O165" i="1"/>
  <c r="P165" i="1" s="1"/>
  <c r="L166" i="1"/>
  <c r="L167" i="1"/>
  <c r="L168" i="1"/>
  <c r="O168" i="1"/>
  <c r="P168" i="1" s="1"/>
  <c r="L169" i="1"/>
  <c r="O169" i="1"/>
  <c r="L170" i="1"/>
  <c r="O170" i="1"/>
  <c r="P170" i="1" s="1"/>
  <c r="L171" i="1"/>
  <c r="O171" i="1"/>
  <c r="L172" i="1"/>
  <c r="O172" i="1"/>
  <c r="P172" i="1" s="1"/>
  <c r="L173" i="1"/>
  <c r="L174" i="1"/>
  <c r="O174" i="1"/>
  <c r="P174" i="1" s="1"/>
  <c r="L175" i="1"/>
  <c r="L176" i="1"/>
  <c r="L177" i="1"/>
  <c r="O177" i="1"/>
  <c r="P177" i="1" s="1"/>
  <c r="L178" i="1"/>
  <c r="O178" i="1"/>
  <c r="P178" i="1" s="1"/>
  <c r="L179" i="1"/>
  <c r="L180" i="1"/>
  <c r="O180" i="1"/>
  <c r="L181" i="1"/>
  <c r="L182" i="1"/>
  <c r="O182" i="1"/>
  <c r="P182" i="1" s="1"/>
  <c r="L183" i="1"/>
  <c r="L184" i="1"/>
  <c r="O184" i="1"/>
  <c r="P184" i="1" s="1"/>
  <c r="L185" i="1"/>
  <c r="L186" i="1"/>
  <c r="O186" i="1"/>
  <c r="P186" i="1" s="1"/>
  <c r="L187" i="1"/>
  <c r="O187" i="1"/>
  <c r="P187" i="1" s="1"/>
  <c r="L188" i="1"/>
  <c r="L189" i="1"/>
  <c r="O189" i="1"/>
  <c r="P189" i="1" s="1"/>
  <c r="L190" i="1"/>
  <c r="O190" i="1"/>
  <c r="P190" i="1" s="1"/>
  <c r="L191" i="1"/>
  <c r="O191" i="1"/>
  <c r="P191" i="1" s="1"/>
  <c r="L192" i="1"/>
  <c r="L193" i="1"/>
  <c r="O193" i="1"/>
  <c r="P193" i="1" s="1"/>
  <c r="L194" i="1"/>
  <c r="L195" i="1"/>
  <c r="L196" i="1"/>
  <c r="L197" i="1"/>
  <c r="O197" i="1"/>
  <c r="P197" i="1" s="1"/>
  <c r="L198" i="1"/>
  <c r="O198" i="1"/>
  <c r="P198" i="1" s="1"/>
  <c r="L199" i="1"/>
  <c r="O199" i="1"/>
  <c r="P199" i="1" s="1"/>
  <c r="L200" i="1"/>
  <c r="L201" i="1"/>
  <c r="O201" i="1"/>
  <c r="P201" i="1" s="1"/>
  <c r="L202" i="1"/>
  <c r="O202" i="1"/>
  <c r="P202" i="1" s="1"/>
  <c r="L203" i="1"/>
  <c r="L204" i="1"/>
  <c r="O204" i="1"/>
  <c r="L205" i="1"/>
  <c r="O205" i="1"/>
  <c r="P205" i="1" s="1"/>
  <c r="L206" i="1"/>
  <c r="O206" i="1"/>
  <c r="P206" i="1"/>
  <c r="L207" i="1"/>
  <c r="O207" i="1"/>
  <c r="P207" i="1" s="1"/>
  <c r="L208" i="1"/>
  <c r="O208" i="1"/>
  <c r="P208" i="1" s="1"/>
  <c r="L209" i="1"/>
  <c r="L210" i="1"/>
  <c r="O210" i="1"/>
  <c r="P210" i="1" s="1"/>
  <c r="L211" i="1"/>
  <c r="O211" i="1"/>
  <c r="L212" i="1"/>
  <c r="O212" i="1"/>
  <c r="P212" i="1" s="1"/>
  <c r="L213" i="1"/>
  <c r="O213" i="1"/>
  <c r="P213" i="1" s="1"/>
  <c r="O154" i="1"/>
  <c r="L154" i="1"/>
  <c r="L106" i="1"/>
  <c r="O106" i="1"/>
  <c r="P106" i="1" s="1"/>
  <c r="L107" i="1"/>
  <c r="O107" i="1"/>
  <c r="P107" i="1" s="1"/>
  <c r="L108" i="1"/>
  <c r="O108" i="1"/>
  <c r="P108" i="1" s="1"/>
  <c r="L109" i="1"/>
  <c r="L110" i="1"/>
  <c r="L111" i="1"/>
  <c r="L112" i="1"/>
  <c r="L113" i="1"/>
  <c r="L114" i="1"/>
  <c r="O114" i="1"/>
  <c r="L115" i="1"/>
  <c r="O115" i="1"/>
  <c r="P115" i="1" s="1"/>
  <c r="L116" i="1"/>
  <c r="O116" i="1"/>
  <c r="P116" i="1" s="1"/>
  <c r="L117" i="1"/>
  <c r="O117" i="1"/>
  <c r="P117" i="1" s="1"/>
  <c r="L118" i="1"/>
  <c r="L119" i="1"/>
  <c r="O119" i="1"/>
  <c r="P119" i="1" s="1"/>
  <c r="L120" i="1"/>
  <c r="O120" i="1"/>
  <c r="P120" i="1" s="1"/>
  <c r="L121" i="1"/>
  <c r="O121" i="1"/>
  <c r="P121" i="1" s="1"/>
  <c r="L122" i="1"/>
  <c r="O122" i="1"/>
  <c r="P122" i="1" s="1"/>
  <c r="L123" i="1"/>
  <c r="O123" i="1"/>
  <c r="P123" i="1" s="1"/>
  <c r="L124" i="1"/>
  <c r="L125" i="1"/>
  <c r="O125" i="1"/>
  <c r="P125" i="1" s="1"/>
  <c r="L126" i="1"/>
  <c r="O126" i="1"/>
  <c r="P126" i="1" s="1"/>
  <c r="L127" i="1"/>
  <c r="O127" i="1"/>
  <c r="P127" i="1" s="1"/>
  <c r="L128" i="1"/>
  <c r="O128" i="1"/>
  <c r="P128" i="1" s="1"/>
  <c r="L129" i="1"/>
  <c r="O129" i="1"/>
  <c r="P129" i="1"/>
  <c r="L130" i="1"/>
  <c r="O130" i="1"/>
  <c r="P130" i="1" s="1"/>
  <c r="L131" i="1"/>
  <c r="O131" i="1"/>
  <c r="P131" i="1" s="1"/>
  <c r="L132" i="1"/>
  <c r="O132" i="1"/>
  <c r="P132" i="1" s="1"/>
  <c r="L133" i="1"/>
  <c r="O133" i="1"/>
  <c r="P133" i="1" s="1"/>
  <c r="L134" i="1"/>
  <c r="L135" i="1"/>
  <c r="O135" i="1"/>
  <c r="P135" i="1" s="1"/>
  <c r="L136" i="1"/>
  <c r="O136" i="1"/>
  <c r="P136" i="1" s="1"/>
  <c r="L137" i="1"/>
  <c r="O137" i="1"/>
  <c r="P137" i="1" s="1"/>
  <c r="L138" i="1"/>
  <c r="L139" i="1"/>
  <c r="O139" i="1"/>
  <c r="P139" i="1" s="1"/>
  <c r="L140" i="1"/>
  <c r="O140" i="1"/>
  <c r="P140" i="1" s="1"/>
  <c r="L141" i="1"/>
  <c r="O141" i="1"/>
  <c r="P141" i="1" s="1"/>
  <c r="L142" i="1"/>
  <c r="O142" i="1"/>
  <c r="P142" i="1" s="1"/>
  <c r="L143" i="1"/>
  <c r="O143" i="1"/>
  <c r="P143" i="1" s="1"/>
  <c r="L144" i="1"/>
  <c r="L145" i="1"/>
  <c r="O145" i="1"/>
  <c r="P145" i="1" s="1"/>
  <c r="L146" i="1"/>
  <c r="O146" i="1"/>
  <c r="P146" i="1" s="1"/>
  <c r="L147" i="1"/>
  <c r="O147" i="1"/>
  <c r="P147" i="1" s="1"/>
  <c r="L148" i="1"/>
  <c r="L149" i="1"/>
  <c r="O149" i="1"/>
  <c r="P149" i="1" s="1"/>
  <c r="L150" i="1"/>
  <c r="L151" i="1"/>
  <c r="O151" i="1"/>
  <c r="P151" i="1" s="1"/>
  <c r="L105" i="1"/>
  <c r="N103" i="1"/>
  <c r="M103" i="1"/>
  <c r="L99" i="1"/>
  <c r="O99" i="1"/>
  <c r="P99" i="1" s="1"/>
  <c r="L100" i="1"/>
  <c r="O100" i="1"/>
  <c r="P100" i="1" s="1"/>
  <c r="L101" i="1"/>
  <c r="O101" i="1"/>
  <c r="L102" i="1"/>
  <c r="O102" i="1"/>
  <c r="O98" i="1"/>
  <c r="P98" i="1" s="1"/>
  <c r="L98" i="1"/>
  <c r="N96" i="1"/>
  <c r="M96" i="1"/>
  <c r="I96" i="1"/>
  <c r="L95" i="1"/>
  <c r="O95" i="1"/>
  <c r="P95" i="1" s="1"/>
  <c r="O94" i="1"/>
  <c r="P94" i="1" s="1"/>
  <c r="L94" i="1"/>
  <c r="M92" i="1"/>
  <c r="L79" i="1"/>
  <c r="O79" i="1"/>
  <c r="P79" i="1" s="1"/>
  <c r="L80" i="1"/>
  <c r="O80" i="1"/>
  <c r="P80" i="1" s="1"/>
  <c r="L81" i="1"/>
  <c r="O81" i="1"/>
  <c r="P81" i="1" s="1"/>
  <c r="L82" i="1"/>
  <c r="O82" i="1"/>
  <c r="P82" i="1" s="1"/>
  <c r="L83" i="1"/>
  <c r="L84" i="1"/>
  <c r="O84" i="1"/>
  <c r="L85" i="1"/>
  <c r="L86" i="1"/>
  <c r="L87" i="1"/>
  <c r="O87" i="1"/>
  <c r="P87" i="1" s="1"/>
  <c r="L88" i="1"/>
  <c r="O88" i="1"/>
  <c r="P88" i="1" s="1"/>
  <c r="L89" i="1"/>
  <c r="L90" i="1"/>
  <c r="O90" i="1"/>
  <c r="P90" i="1" s="1"/>
  <c r="L91" i="1"/>
  <c r="O91" i="1"/>
  <c r="P91" i="1" s="1"/>
  <c r="O78" i="1"/>
  <c r="P78" i="1" s="1"/>
  <c r="L78" i="1"/>
  <c r="M76" i="1"/>
  <c r="I76" i="1"/>
  <c r="L72" i="1"/>
  <c r="O72" i="1"/>
  <c r="L73" i="1"/>
  <c r="O73" i="1"/>
  <c r="P73" i="1" s="1"/>
  <c r="L74" i="1"/>
  <c r="L75" i="1"/>
  <c r="O75" i="1"/>
  <c r="P75" i="1" s="1"/>
  <c r="L71" i="1"/>
  <c r="M69" i="1"/>
  <c r="L62" i="1"/>
  <c r="L63" i="1"/>
  <c r="O63" i="1"/>
  <c r="P63" i="1" s="1"/>
  <c r="L64" i="1"/>
  <c r="L65" i="1"/>
  <c r="O65" i="1"/>
  <c r="P65" i="1" s="1"/>
  <c r="L66" i="1"/>
  <c r="O66" i="1"/>
  <c r="P66" i="1" s="1"/>
  <c r="L67" i="1"/>
  <c r="L68" i="1"/>
  <c r="O68" i="1"/>
  <c r="P68" i="1" s="1"/>
  <c r="L61" i="1"/>
  <c r="M59" i="1"/>
  <c r="L50" i="1"/>
  <c r="O50" i="1"/>
  <c r="P50" i="1" s="1"/>
  <c r="L51" i="1"/>
  <c r="O51" i="1"/>
  <c r="P51" i="1" s="1"/>
  <c r="L52" i="1"/>
  <c r="O52" i="1"/>
  <c r="L53" i="1"/>
  <c r="L54" i="1"/>
  <c r="L55" i="1"/>
  <c r="O55" i="1"/>
  <c r="P55" i="1" s="1"/>
  <c r="L56" i="1"/>
  <c r="O56" i="1"/>
  <c r="P56" i="1" s="1"/>
  <c r="L57" i="1"/>
  <c r="O57" i="1"/>
  <c r="P57" i="1" s="1"/>
  <c r="L58" i="1"/>
  <c r="O58" i="1"/>
  <c r="P58" i="1" s="1"/>
  <c r="O49" i="1"/>
  <c r="P49" i="1" s="1"/>
  <c r="L49" i="1"/>
  <c r="I47" i="1"/>
  <c r="L46" i="1"/>
  <c r="L36" i="1"/>
  <c r="O36" i="1"/>
  <c r="P36" i="1" s="1"/>
  <c r="L37" i="1"/>
  <c r="O37" i="1"/>
  <c r="P37" i="1" s="1"/>
  <c r="L38" i="1"/>
  <c r="O38" i="1"/>
  <c r="P38" i="1" s="1"/>
  <c r="L39" i="1"/>
  <c r="O39" i="1"/>
  <c r="L40" i="1"/>
  <c r="O40" i="1"/>
  <c r="P40" i="1" s="1"/>
  <c r="L41" i="1"/>
  <c r="O41" i="1"/>
  <c r="P41" i="1" s="1"/>
  <c r="L42" i="1"/>
  <c r="O42" i="1"/>
  <c r="P42" i="1" s="1"/>
  <c r="L43" i="1"/>
  <c r="O43" i="1"/>
  <c r="P43" i="1" s="1"/>
  <c r="L44" i="1"/>
  <c r="O44" i="1"/>
  <c r="P44" i="1" s="1"/>
  <c r="L35" i="1"/>
  <c r="N33" i="1"/>
  <c r="M33" i="1"/>
  <c r="I33" i="1"/>
  <c r="L31" i="1"/>
  <c r="O31" i="1"/>
  <c r="P31" i="1" s="1"/>
  <c r="L32" i="1"/>
  <c r="O32" i="1"/>
  <c r="P32" i="1" s="1"/>
  <c r="L30" i="1"/>
  <c r="L21" i="1"/>
  <c r="O21" i="1"/>
  <c r="L22" i="1"/>
  <c r="O22" i="1"/>
  <c r="P22" i="1" s="1"/>
  <c r="L23" i="1"/>
  <c r="L24" i="1"/>
  <c r="O24" i="1"/>
  <c r="P24" i="1" s="1"/>
  <c r="L25" i="1"/>
  <c r="L26" i="1"/>
  <c r="L27" i="1"/>
  <c r="L20" i="1"/>
  <c r="L16" i="1"/>
  <c r="O16" i="1"/>
  <c r="L17" i="1"/>
  <c r="L15" i="1"/>
  <c r="L10" i="1"/>
  <c r="L11" i="1"/>
  <c r="L12" i="1"/>
  <c r="L9" i="1"/>
  <c r="O26" i="1" l="1"/>
  <c r="P26" i="1" s="1"/>
  <c r="M47" i="1"/>
  <c r="P52" i="1"/>
  <c r="N59" i="1"/>
  <c r="N69" i="1"/>
  <c r="O83" i="1"/>
  <c r="P83" i="1" s="1"/>
  <c r="P101" i="1"/>
  <c r="P154" i="1"/>
  <c r="P204" i="1"/>
  <c r="P171" i="1"/>
  <c r="P169" i="1"/>
  <c r="P157" i="1"/>
  <c r="M225" i="1"/>
  <c r="P39" i="1"/>
  <c r="N47" i="1"/>
  <c r="P72" i="1"/>
  <c r="N76" i="1"/>
  <c r="M152" i="1"/>
  <c r="P211" i="1"/>
  <c r="P21" i="1"/>
  <c r="P84" i="1"/>
  <c r="P102" i="1"/>
  <c r="O105" i="1"/>
  <c r="P105" i="1" s="1"/>
  <c r="P114" i="1"/>
  <c r="P180" i="1"/>
  <c r="P164" i="1"/>
  <c r="O33" i="1"/>
  <c r="P33" i="1" s="1"/>
  <c r="O229" i="1"/>
  <c r="P229" i="1" s="1"/>
  <c r="O225" i="1"/>
  <c r="P225" i="1" s="1"/>
  <c r="O214" i="1"/>
  <c r="P214" i="1" s="1"/>
  <c r="O152" i="1"/>
  <c r="P152" i="1" s="1"/>
  <c r="O103" i="1"/>
  <c r="P103" i="1"/>
  <c r="O96" i="1"/>
  <c r="P96" i="1" s="1"/>
  <c r="O76" i="1"/>
  <c r="P76" i="1" s="1"/>
  <c r="O69" i="1"/>
  <c r="P69" i="1" s="1"/>
  <c r="O59" i="1"/>
  <c r="P59" i="1" s="1"/>
  <c r="O47" i="1"/>
  <c r="P47" i="1" s="1"/>
  <c r="O9" i="1"/>
  <c r="O12" i="1"/>
  <c r="P12" i="1" s="1"/>
  <c r="O20" i="1"/>
  <c r="N28" i="1"/>
  <c r="M18" i="1"/>
  <c r="N18" i="1"/>
  <c r="O15" i="1"/>
  <c r="O10" i="1"/>
  <c r="P10" i="1" s="1"/>
  <c r="M13" i="1"/>
  <c r="O11" i="1"/>
  <c r="P11" i="1" s="1"/>
  <c r="N13" i="1"/>
  <c r="I28" i="1"/>
  <c r="P17" i="1"/>
  <c r="P16" i="1"/>
  <c r="I18" i="1"/>
  <c r="M230" i="1" l="1"/>
  <c r="O92" i="1"/>
  <c r="P92" i="1" s="1"/>
  <c r="O13" i="1"/>
  <c r="P20" i="1"/>
  <c r="O28" i="1"/>
  <c r="P28" i="1" s="1"/>
  <c r="N230" i="1"/>
  <c r="N4" i="1" s="1"/>
  <c r="P15" i="1"/>
  <c r="O18" i="1"/>
  <c r="P18" i="1" s="1"/>
  <c r="I13" i="1"/>
  <c r="P9" i="1"/>
  <c r="O230" i="1" l="1"/>
  <c r="J230" i="1"/>
  <c r="P13" i="1"/>
  <c r="P230" i="1" s="1"/>
</calcChain>
</file>

<file path=xl/sharedStrings.xml><?xml version="1.0" encoding="utf-8"?>
<sst xmlns="http://schemas.openxmlformats.org/spreadsheetml/2006/main" count="1762" uniqueCount="825">
  <si>
    <t>ITEM</t>
  </si>
  <si>
    <t>CÓDIGO</t>
  </si>
  <si>
    <t>DESCRIÇÃO</t>
  </si>
  <si>
    <t>FONTE</t>
  </si>
  <si>
    <t>UND</t>
  </si>
  <si>
    <t>QUANTIDADE</t>
  </si>
  <si>
    <t>PREÇO
UNITÁRIO R$</t>
  </si>
  <si>
    <t>PREÇO
TOTAL R$</t>
  </si>
  <si>
    <t>SERVIÇOS PRELIMINARES</t>
  </si>
  <si>
    <t>1.1</t>
  </si>
  <si>
    <t>S00051</t>
  </si>
  <si>
    <t>Placa de obra em chapa aço galvanizado, instalada</t>
  </si>
  <si>
    <t>ORSE</t>
  </si>
  <si>
    <t>m2</t>
  </si>
  <si>
    <t>1.2</t>
  </si>
  <si>
    <t>S00056</t>
  </si>
  <si>
    <t>Barracão para escritório de obra porte pequeno s=25,41m2 com materiais novos</t>
  </si>
  <si>
    <t>un</t>
  </si>
  <si>
    <t>1.3</t>
  </si>
  <si>
    <t>99059</t>
  </si>
  <si>
    <t>LOCACAO CONVENCIONAL DE OBRA, UTILIZANDO GABARITO DE TÁBUAS CORRIDAS PONTALETADAS A CADA 2,00M -  2 UTILIZAÇÕES. AF_10/2018</t>
  </si>
  <si>
    <t>SINAPI</t>
  </si>
  <si>
    <t>M</t>
  </si>
  <si>
    <t>1.4</t>
  </si>
  <si>
    <t>S09416</t>
  </si>
  <si>
    <t>Instalação provisória de energia elétrica, aerea, trifasica, em poste galvanizado, exclusive fornecimento do medidor</t>
  </si>
  <si>
    <t>2</t>
  </si>
  <si>
    <t>MOVIMENTO DE TERRA</t>
  </si>
  <si>
    <t>2.1</t>
  </si>
  <si>
    <t>94319</t>
  </si>
  <si>
    <t>ATERRO MANUAL DE VALAS COM SOLO ARGILO-ARENOSO E COMPACTAÇÃO MECANIZADA. AF_05/2016</t>
  </si>
  <si>
    <t>M3</t>
  </si>
  <si>
    <t>2.2</t>
  </si>
  <si>
    <t>96523</t>
  </si>
  <si>
    <t>ESCAVAÇÃO MANUAL PARA BLOCO DE COROAMENTO OU SAPATA (INCLUINDO ESCAVAÇÃO PARA COLOCAÇÃO DE FÔRMAS). AF_06/2017</t>
  </si>
  <si>
    <t>2.3</t>
  </si>
  <si>
    <t>3</t>
  </si>
  <si>
    <t>FUNDAÇÃO</t>
  </si>
  <si>
    <t>3.1</t>
  </si>
  <si>
    <t>94962</t>
  </si>
  <si>
    <t>CONCRETO MAGRO PARA LASTRO, TRAÇO 1:4,5:4,5 (EM MASSA SECA DE CIMENTO/ AREIA MÉDIA/ BRITA 1) - PREPARO MECÂNICO COM BETONEIRA 400 L. AF_05/2021</t>
  </si>
  <si>
    <t>3.2</t>
  </si>
  <si>
    <t>S00090</t>
  </si>
  <si>
    <t>Forma plana para fundações, em tábuas de pinho, 07 usos</t>
  </si>
  <si>
    <t>m²</t>
  </si>
  <si>
    <t>3.3</t>
  </si>
  <si>
    <t>96544</t>
  </si>
  <si>
    <t>ARMAÇÃO DE BLOCO, VIGA BALDRAME OU SAPATA UTILIZANDO AÇO CA-50 DE 6,3 MM - MONTAGEM. AF_06/2017</t>
  </si>
  <si>
    <t>KG</t>
  </si>
  <si>
    <t>3.4</t>
  </si>
  <si>
    <t>96546</t>
  </si>
  <si>
    <t>ARMAÇÃO DE BLOCO, VIGA BALDRAME OU SAPATA UTILIZANDO AÇO CA-50 DE 10 MM - MONTAGEM. AF_06/2017</t>
  </si>
  <si>
    <t>3.5</t>
  </si>
  <si>
    <t>96547</t>
  </si>
  <si>
    <t>ARMAÇÃO DE BLOCO, VIGA BALDRAME OU SAPATA UTILIZANDO AÇO CA-50 DE 12,5 MM - MONTAGEM. AF_06/2017</t>
  </si>
  <si>
    <t>3.6</t>
  </si>
  <si>
    <t>96543</t>
  </si>
  <si>
    <t>ARMAÇÃO DE BLOCO, VIGA BALDRAME E SAPATA UTILIZANDO AÇO CA-60 DE 5 MM - MONTAGEM. AF_06/2017</t>
  </si>
  <si>
    <t>3.7</t>
  </si>
  <si>
    <t>94965</t>
  </si>
  <si>
    <t>CONCRETO FCK = 25MPA, TRAÇO 1:2,3:2,7 (EM MASSA SECA DE CIMENTO/ AREIA MÉDIA/ BRITA 1) - PREPARO MECÂNICO COM BETONEIRA 400 L. AF_05/2021</t>
  </si>
  <si>
    <t>3.8</t>
  </si>
  <si>
    <t>92874</t>
  </si>
  <si>
    <t>LANÇAMENTO COM USO DE BOMBA, ADENSAMENTO E ACABAMENTO DE CONCRETO EM ESTRUTURAS. AF_12/2015</t>
  </si>
  <si>
    <t>4</t>
  </si>
  <si>
    <t>ELEMENTO VAZADO</t>
  </si>
  <si>
    <t>4.1</t>
  </si>
  <si>
    <t>87503</t>
  </si>
  <si>
    <t>ALVENARIA DE VEDAÇÃO DE BLOCOS CERÂMICOS FURADOS NA HORIZONTAL DE 9X19X19CM (ESPESSURA 9CM) DE PAREDES COM ÁREA LÍQUIDA MAIOR OU IGUAL A 6M² SEM VÃOS E ARGAMASSA DE ASSENTAMENTO COM PREPARO EM BETONEIRA. AF_06/2014</t>
  </si>
  <si>
    <t>M2</t>
  </si>
  <si>
    <t>4.2</t>
  </si>
  <si>
    <t>101161</t>
  </si>
  <si>
    <t>ALVENARIA DE VEDAÇÃO COM ELEMENTO VAZADO DE CONCRETO (COBOGÓ) DE 7X50X50CM E ARGAMASSA DE ASSENTAMENTO COM PREPARO EM BETONEIRA. AF_05/2020</t>
  </si>
  <si>
    <t>4.3</t>
  </si>
  <si>
    <t>5</t>
  </si>
  <si>
    <t>ESTRUTURA</t>
  </si>
  <si>
    <t>5.1</t>
  </si>
  <si>
    <t>S03366</t>
  </si>
  <si>
    <t>Forma plana para estruturas, em compensado plastificado de 12mm, 07 usos, inclusive escoramento - Revisada 07.2015</t>
  </si>
  <si>
    <t>5.2</t>
  </si>
  <si>
    <t>92776</t>
  </si>
  <si>
    <t>ARMAÇÃO DE PILAR OU VIGA DE UMA ESTRUTURA CONVENCIONAL DE CONCRETO ARMADO EM UMA EDIFICAÇÃO TÉRREA OU SOBRADO UTILIZANDO AÇO CA-50 DE 6,3 MM - MONTAGEM. AF_12/2015</t>
  </si>
  <si>
    <t>5.3</t>
  </si>
  <si>
    <t>92778</t>
  </si>
  <si>
    <t>ARMAÇÃO DE PILAR OU VIGA DE UMA ESTRUTURA CONVENCIONAL DE CONCRETO ARMADO EM UMA EDIFICAÇÃO TÉRREA OU SOBRADO UTILIZANDO AÇO CA-50 DE 10,0 MM - MONTAGEM. AF_12/2015</t>
  </si>
  <si>
    <t>5.4</t>
  </si>
  <si>
    <t>92779</t>
  </si>
  <si>
    <t>ARMAÇÃO DE PILAR OU VIGA DE UMA ESTRUTURA CONVENCIONAL DE CONCRETO ARMADO EM UMA EDIFICAÇÃO TÉRREA OU SOBRADO UTILIZANDO AÇO CA-50 DE 12,5 MM - MONTAGEM. AF_12/2015</t>
  </si>
  <si>
    <t>5.5</t>
  </si>
  <si>
    <t>92775</t>
  </si>
  <si>
    <t>ARMAÇÃO DE PILAR OU VIGA DE UMA ESTRUTURA CONVENCIONAL DE CONCRETO ARMADO EM UMA EDIFICAÇÃO TÉRREA OU SOBRADO UTILIZANDO AÇO CA-60 DE 5,0 MM - MONTAGEM. AF_12/2015</t>
  </si>
  <si>
    <t>5.6</t>
  </si>
  <si>
    <t>94971</t>
  </si>
  <si>
    <t>CONCRETO FCK = 25MPA, TRAÇO 1:2,3:2,7 (EM MASSA SECA DE CIMENTO/ AREIA MÉDIA/ BRITA 1) - PREPARO MECÂNICO COM BETONEIRA 600 L. AF_05/2021</t>
  </si>
  <si>
    <t>5.7</t>
  </si>
  <si>
    <t>5.8</t>
  </si>
  <si>
    <t>101963</t>
  </si>
  <si>
    <t>LAJE PRÉ-MOLDADA UNIDIRECIONAL, BIAPOIADA, PARA PISO, ENCHIMENTO EM CERÂMICA, VIGOTA CONVENCIONAL, ALTURA TOTAL DA LAJE (ENCHIMENTO+CAPA) = (8+4). AF_11/2020</t>
  </si>
  <si>
    <t>5.9</t>
  </si>
  <si>
    <t>93184</t>
  </si>
  <si>
    <t>VERGA PRÉ-MOLDADA PARA PORTAS COM ATÉ 1,5 M DE VÃO. AF_03/2016</t>
  </si>
  <si>
    <t>5.10</t>
  </si>
  <si>
    <t>93182</t>
  </si>
  <si>
    <t>VERGA PRÉ-MOLDADA PARA JANELAS COM ATÉ 1,5 M DE VÃO. AF_03/2016</t>
  </si>
  <si>
    <t>5.11</t>
  </si>
  <si>
    <t>MURO DE CONTORNO</t>
  </si>
  <si>
    <t>5.11.1</t>
  </si>
  <si>
    <t>S11146</t>
  </si>
  <si>
    <t>Muro em alvenaria bloco cerâmico, e= 0,09m, c/ alv de pedra granítica, 0,35 x 0,60m, colunas (9x20cm) e cintamento (9x15cm) superior e inferior concreto armado fck = 15,0 Mpa cada 3,00m, chapisco e reboco</t>
  </si>
  <si>
    <t>6</t>
  </si>
  <si>
    <t>COBERTA</t>
  </si>
  <si>
    <t>6.1</t>
  </si>
  <si>
    <t>94201</t>
  </si>
  <si>
    <t>TELHAMENTO COM TELHA CERÂMICA CAPA-CANAL, TIPO COLONIAL, COM ATÉ 2 ÁGUAS, INCLUSO TRANSPORTE VERTICAL. AF_07/2019</t>
  </si>
  <si>
    <t>6.2</t>
  </si>
  <si>
    <t>92550</t>
  </si>
  <si>
    <t>FABRICAÇÃO E INSTALAÇÃO DE TESOURA INTEIRA EM MADEIRA NÃO APARELHADA, VÃO DE 8 M, PARA TELHA CERÂMICA OU DE CONCRETO, INCLUSO IÇAMENTO. AF_07/2019</t>
  </si>
  <si>
    <t>UN</t>
  </si>
  <si>
    <t>6.3</t>
  </si>
  <si>
    <t>92552</t>
  </si>
  <si>
    <t>FABRICAÇÃO E INSTALAÇÃO DE TESOURA INTEIRA EM MADEIRA NÃO APARELHADA, VÃO DE 10 M, PARA TELHA CERÂMICA OU DE CONCRETO, INCLUSO IÇAMENTO. AF_07/2019</t>
  </si>
  <si>
    <t>6.4</t>
  </si>
  <si>
    <t>94221</t>
  </si>
  <si>
    <t>CUMEEIRA PARA TELHA CERÂMICA EMBOÇADA COM ARGAMASSA TRAÇO 1:2:9 (CIMENTO, CAL E AREIA) PARA TELHADOS COM ATÉ 2 ÁGUAS, INCLUSO TRANSPORTE VERTICAL. AF_07/2019</t>
  </si>
  <si>
    <t>6.5</t>
  </si>
  <si>
    <t>92539</t>
  </si>
  <si>
    <t>TRAMA DE MADEIRA COMPOSTA POR RIPAS, CAIBROS E TERÇAS PARA TELHADOS DE ATÉ 2 ÁGUAS PARA TELHA DE ENCAIXE DE CERÂMICA OU DE CONCRETO, INCLUSO TRANSPORTE VERTICAL. AF_07/2019</t>
  </si>
  <si>
    <t>6.6</t>
  </si>
  <si>
    <t>96113</t>
  </si>
  <si>
    <t>FORRO EM PLACAS DE GESSO, PARA AMBIENTES COMERCIAIS. AF_05/2017_P</t>
  </si>
  <si>
    <t>6.7</t>
  </si>
  <si>
    <t>S08811</t>
  </si>
  <si>
    <t>Fornecimento e implantação de viga em concreto pré-moldado, seção = 12x20cm</t>
  </si>
  <si>
    <t>m</t>
  </si>
  <si>
    <t>6.8</t>
  </si>
  <si>
    <t>94228</t>
  </si>
  <si>
    <t>CALHA EM CHAPA DE AÇO GALVANIZADO NÚMERO 24, DESENVOLVIMENTO DE 50 CM, INCLUSO TRANSPORTE VERTICAL. AF_07/2019</t>
  </si>
  <si>
    <t>6.9</t>
  </si>
  <si>
    <t>89576</t>
  </si>
  <si>
    <t>TUBO PVC, SÉRIE R, ÁGUA PLUVIAL, DN 75 MM, FORNECIDO E INSTALADO EM CONDUTORES VERTICAIS DE ÁGUAS PLUVIAIS. AF_12/2014</t>
  </si>
  <si>
    <t>6.10</t>
  </si>
  <si>
    <t>89512</t>
  </si>
  <si>
    <t>TUBO PVC, SÉRIE R, ÁGUA PLUVIAL, DN 100 MM, FORNECIDO E INSTALADO EM RAMAL DE ENCAMINHAMENTO. AF_12/2014</t>
  </si>
  <si>
    <t>7</t>
  </si>
  <si>
    <t>PAVIMENTAÇÃO</t>
  </si>
  <si>
    <t>7.1</t>
  </si>
  <si>
    <t>95241</t>
  </si>
  <si>
    <t>LASTRO DE CONCRETO MAGRO, APLICADO EM PISOS, LAJES SOBRE SOLO OU RADIERS, ESPESSURA DE 5 CM. AF_07/2016</t>
  </si>
  <si>
    <t>7.2</t>
  </si>
  <si>
    <t>S10012</t>
  </si>
  <si>
    <t>Fornecimento e instalação de tela aço soldada nervurada CA-60, malha 15x15cm, ferro 4.2mm, painel 2x3m, (1,50kg/m²), Malha Pop Reforçada Gerdau ou similar</t>
  </si>
  <si>
    <t>7.3</t>
  </si>
  <si>
    <t>87632</t>
  </si>
  <si>
    <t>CONTRAPISO EM ARGAMASSA TRAÇO 1:4 (CIMENTO E AREIA), PREPARO MANUAL, APLICADO EM ÁREAS SECAS SOBRE LAJE, ADERIDO, ACABAMENTO NÃO REFORÇADO, ESPESSURA 3CM. AF_07/2021</t>
  </si>
  <si>
    <t>7.4</t>
  </si>
  <si>
    <t>100323</t>
  </si>
  <si>
    <t>LASTRO COM MATERIAL GRANULAR (AREIA MÉDIA), APLICADO EM PISOS OU LAJES SOBRE SOLO, ESPESSURA DE *10 CM*. AF_07/2019</t>
  </si>
  <si>
    <t>7.5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</si>
  <si>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</si>
  <si>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</si>
  <si>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7.6</t>
  </si>
  <si>
    <t>101741</t>
  </si>
  <si>
    <t>RODAPÉ EM MARMORITE, ALTURA 10CM. AF_09/2020</t>
  </si>
  <si>
    <t>7.7</t>
  </si>
  <si>
    <t>92397</t>
  </si>
  <si>
    <t>EXECUÇÃO DE PÁTIO/ESTACIONAMENTO EM PISO INTERTRAVADO, COM BLOCO RETANGULAR COR NATURAL DE 20 X 10 CM, ESPESSURA 6 CM. AF_12/2015</t>
  </si>
  <si>
    <t>7.8</t>
  </si>
  <si>
    <t>00004786</t>
  </si>
  <si>
    <t>PISO EM GRANILITE, MARMORITE OU GRANITINA, AGREGADO COR PRETO, CINZA, PALHA OU BRANCO, E=  *8* MM (INCLUSO EXECUCAO)</t>
  </si>
  <si>
    <t>8</t>
  </si>
  <si>
    <t>REVESTIMENTOS</t>
  </si>
  <si>
    <t>8.1</t>
  </si>
  <si>
    <t>87879</t>
  </si>
  <si>
    <t>CHAPISCO APLICADO EM ALVENARIAS E ESTRUTURAS DE CONCRETO INTERNAS, COM COLHER DE PEDREIRO.  ARGAMASSA TRAÇO 1:3 COM PREPARO EM BETONEIRA 400L. AF_06/2014</t>
  </si>
  <si>
    <t>8.2</t>
  </si>
  <si>
    <t>87547</t>
  </si>
  <si>
    <t>MASSA ÚNICA, PARA RECEBIMENTO DE PINTURA, EM ARGAMASSA TRAÇO 1:2:8, PREPARO MECÂNICO COM BETONEIRA 400L, APLICADA MANUALMENTE EM FACES INTERNAS DE PAREDES, ESPESSURA DE 10MM, COM EXECUÇÃO DE TALISCAS. AF_06/2014</t>
  </si>
  <si>
    <t>8.3</t>
  </si>
  <si>
    <t>87553</t>
  </si>
  <si>
    <t>EMBOÇO, PARA RECEBIMENTO DE CERÂMICA, EM ARGAMASSA TRAÇO 1:2:8, PREPARO MECÂNICO COM BETONEIRA 400L, APLICADO MANUALMENTE EM FACES INTERNAS DE PAREDES, PARA AMBIENTE COM ÁREA MAIOR QUE 10M2, ESPESSURA DE 10MM, COM EXECUÇÃO DE TALISCAS. AF_06/2014</t>
  </si>
  <si>
    <t>8.4</t>
  </si>
  <si>
    <t>87251</t>
  </si>
  <si>
    <t>REVESTIMENTO CERÂMICO PARA PISO COM PLACAS TIPO ESMALTADA EXTRA DE DIMENSÕES 45X45 CM APLICADA EM AMBIENTES DE ÁREA MAIOR QUE 10 M2. AF_06/2014</t>
  </si>
  <si>
    <t>8.5</t>
  </si>
  <si>
    <t>87280</t>
  </si>
  <si>
    <t>ARGAMASSA TRAÇO 1:7 (EM VOLUME DE CIMENTO E AREIA MÉDIA ÚMIDA) COM ADIÇÃO DE PLASTIFICANTE PARA EMBOÇO/MASSA ÚNICA/ASSENTAMENTO DE ALVENARIA DE VEDAÇÃO, PREPARO MECÂNICO COM BETONEIRA 400 L. AF_08/2019</t>
  </si>
  <si>
    <t>9</t>
  </si>
  <si>
    <t>ESQUADRIAS, FERRAGENS, VIDROS, BANCADAS E DIVISÓRIAS</t>
  </si>
  <si>
    <t>9.1</t>
  </si>
  <si>
    <t>91312</t>
  </si>
  <si>
    <t>KIT DE PORTA DE MADEIRA PARA PINTURA, SEMI-OCA (LEVE OU MÉDIA), PADRÃO POPULAR, 60X210CM, ESPESSURA DE 3,5CM, ITENS INCLUSOS: DOBRADIÇAS, MONTAGEM E INSTALAÇÃO DO BATENTE, FECHADURA COM EXECUÇÃO DO FURO - FORNECIMENTO E INSTALAÇÃO. AF_12/2019</t>
  </si>
  <si>
    <t>9.2</t>
  </si>
  <si>
    <t>91313</t>
  </si>
  <si>
    <t>KIT DE PORTA DE MADEIRA PARA PINTURA, SEMI-OCA (LEVE OU MÉDIA), PADRÃO POPULAR, 70X210CM, ESPESSURA DE 3,5CM, ITENS INCLUSOS: DOBRADIÇAS, MONTAGEM E INSTALAÇÃO DO BATENTE, FECHADURA COM EXECUÇÃO DO FURO - FORNECIMENTO E INSTALAÇÃO. AF_12/2019</t>
  </si>
  <si>
    <t>9.3</t>
  </si>
  <si>
    <t>91314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</si>
  <si>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</si>
  <si>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9.4</t>
  </si>
  <si>
    <t>91315</t>
  </si>
  <si>
    <t>KIT DE PORTA DE MADEIRA PARA PINTURA, SEMI-OCA (LEVE OU MÉDIA), PADRÃO POPULAR, 90X210CM, ESPESSURA DE 3,5CM, ITENS INCLUSOS: DOBRADIÇAS, MONTAGEM E INSTALAÇÃO DO BATENTE, FECHADURA COM EXECUÇÃO DO FURO - FORNECIMENTO E INSTALAÇÃO. AF_12/2019</t>
  </si>
  <si>
    <t>9.5</t>
  </si>
  <si>
    <t>91341</t>
  </si>
  <si>
    <t>PORTA EM ALUMÍNIO DE ABRIR TIPO VENEZIANA COM GUARNIÇÃO, FIXAÇÃO COM PARAFUSOS - FORNECIMENTO E INSTALAÇÃO. AF_12/2019</t>
  </si>
  <si>
    <t>9.6</t>
  </si>
  <si>
    <t>S12085</t>
  </si>
  <si>
    <t>Janela basculante, moldura em barra chata de ferro 1x1/4, e cantoneira 1x1x1/4 - exclusive vidro</t>
  </si>
  <si>
    <t>9.7</t>
  </si>
  <si>
    <t>S01883</t>
  </si>
  <si>
    <t>Vidro fantasia canelado 4 mm</t>
  </si>
  <si>
    <t>9.8</t>
  </si>
  <si>
    <t>94570</t>
  </si>
  <si>
    <t>JANELA DE ALUMÍNIO DE CORRER COM 2 FOLHAS PARA VIDROS, COM VIDROS, BATENTE, ACABAMENTO COM ACETATO OU BRILHANTE E FERRAGENS. EXCLUSIVE ALIZAR E CONTRAMARCO. FORNECIMENTO E INSTALAÇÃO. AF_12/2019</t>
  </si>
  <si>
    <t>9.9</t>
  </si>
  <si>
    <t>94569</t>
  </si>
  <si>
    <t>JANELA DE ALUMÍNIO TIPO MAXIM-AR, COM VIDROS, BATENTE E FERRAGENS. EXCLUSIVE ALIZAR, ACABAMENTO E CONTRAMARCO. FORNECIMENTO E INSTALAÇÃO. AF_12/2019</t>
  </si>
  <si>
    <t>9.10</t>
  </si>
  <si>
    <t>S09290</t>
  </si>
  <si>
    <t>Portão de ferro de abrir, quadro em tubo de aço galv.1 1/2", barra quadrada 1/2" na vertical e barra chata de 1 x 3/16" na horizontal, inclusive dobradiças e e ferrolho</t>
  </si>
  <si>
    <t>9.11</t>
  </si>
  <si>
    <t>S01853</t>
  </si>
  <si>
    <t>Grade ferro 1/2 x 1/2"</t>
  </si>
  <si>
    <t>9.12</t>
  </si>
  <si>
    <t>S00191</t>
  </si>
  <si>
    <t>Divisória em granito cinza andorinha polido, e=2cm, inclusive montagem com ferragens - Rev 02</t>
  </si>
  <si>
    <t>9.13</t>
  </si>
  <si>
    <t>S10759</t>
  </si>
  <si>
    <t>Bancada em granito cinza andorinha, e=2cm</t>
  </si>
  <si>
    <t>9.14</t>
  </si>
  <si>
    <t>S08091</t>
  </si>
  <si>
    <t>Bandeira fixa em madeira para vidro</t>
  </si>
  <si>
    <t>10</t>
  </si>
  <si>
    <t>IMPERMEABILIZAÇÃO</t>
  </si>
  <si>
    <t>10.1</t>
  </si>
  <si>
    <t>S10027</t>
  </si>
  <si>
    <t>Impermeabilização com asfalto elastomérico c/armação de véu de poliéster, inclusive primer  (p/fundação)</t>
  </si>
  <si>
    <t>10.2</t>
  </si>
  <si>
    <t>98546</t>
  </si>
  <si>
    <t>IMPERMEABILIZAÇÃO DE SUPERFÍCIE COM MANTA ASFÁLTICA, UMA CAMADA, INCLUSIVE APLICAÇÃO DE PRIMER ASFÁLTICO, E=3MM. AF_06/2018</t>
  </si>
  <si>
    <t>11</t>
  </si>
  <si>
    <t>INSTALAÇÃO DE COMBATE A INCÊNDIO</t>
  </si>
  <si>
    <t>11.1</t>
  </si>
  <si>
    <t>101905</t>
  </si>
  <si>
    <t>EXTINTOR DE INCÊNDIO PORTÁTIL COM CARGA DE ÁGUA PRESSURIZADA DE 10 L, CLASSE A - FORNECIMENTO E INSTALAÇÃO. AF_10/2020_P</t>
  </si>
  <si>
    <t>11.2</t>
  </si>
  <si>
    <t>101908</t>
  </si>
  <si>
    <t>EXTINTOR DE INCÊNDIO PORTÁTIL COM CARGA DE PQS DE 4 KG, CLASSE BC - FORNECIMENTO E INSTALAÇÃO. AF_10/2020_P</t>
  </si>
  <si>
    <t>11.3</t>
  </si>
  <si>
    <t>S07860</t>
  </si>
  <si>
    <t>Luminaria autônoma de emergencia com lâmapda halógena H3/12v, ref. Lux 110, da Luxtron ou similar - Rev.01</t>
  </si>
  <si>
    <t>11.4</t>
  </si>
  <si>
    <t>S11852</t>
  </si>
  <si>
    <t>Placa de sinalizacao de seguranca contra incendio, fotoluminescente, retangular, *12 x 40* cm, em pvc *2* mm anti-chamas (simbolos, cores e pictogramas conforme nbr 13434)</t>
  </si>
  <si>
    <t>Un</t>
  </si>
  <si>
    <t>11.5</t>
  </si>
  <si>
    <t>S12888</t>
  </si>
  <si>
    <t>Placa de sinalizacao, fotoluminescente, em pvc , com logotipo "Extintor de incêndio portátil"- Placa E5</t>
  </si>
  <si>
    <t>12</t>
  </si>
  <si>
    <t>INSTALAÇÕES ELÉTRICAS</t>
  </si>
  <si>
    <t>12.1</t>
  </si>
  <si>
    <t>C4762</t>
  </si>
  <si>
    <t>CAIXA DE LIGAÇÃO PVC 4" X 2"</t>
  </si>
  <si>
    <t>SEINFRA</t>
  </si>
  <si>
    <t>12.2</t>
  </si>
  <si>
    <t>92866</t>
  </si>
  <si>
    <t>CAIXA SEXTAVADA 3" X 3", METÁLICA, INSTALADA EM LAJE - FORNECIMENTO E INSTALAÇÃO. AF_12/2015</t>
  </si>
  <si>
    <t>12.3</t>
  </si>
  <si>
    <t>91917</t>
  </si>
  <si>
    <t>CURVA 90 GRAUS PARA ELETRODUTO, PVC, ROSCÁVEL, DN 32 MM (1"), PARA CIRCUITOS TERMINAIS, INSTALADA EM PAREDE - FORNECIMENTO E INSTALAÇÃO. AF_12/2015</t>
  </si>
  <si>
    <t>12.4</t>
  </si>
  <si>
    <t>91920</t>
  </si>
  <si>
    <t>CURVA 90 GRAUS PARA ELETRODUTO, PVC, ROSCÁVEL, DN 40 MM (1 1/4"), PARA CIRCUITOS TERMINAIS, INSTALADA EM PAREDE - FORNECIMENTO E INSTALAÇÃO. AF_12/2015</t>
  </si>
  <si>
    <t>12.5</t>
  </si>
  <si>
    <t>91857</t>
  </si>
  <si>
    <t>ELETRODUTO FLEXÍVEL CORRUGADO REFORÇADO, PVC, DN 32 MM (1"), PARA CIRCUITOS TERMINAIS, INSTALADO EM PAREDE - FORNECIMENTO E INSTALAÇÃO. AF_12/2015</t>
  </si>
  <si>
    <t>12.6</t>
  </si>
  <si>
    <t>91860</t>
  </si>
  <si>
    <t>ELETRODUTO FLEXÍVEL CORRUGADO, PEAD, DN 40 MM (1 1/4"), PARA CIRCUITOS TERMINAIS, INSTALADO EM PAREDE - FORNECIMENTO E INSTALAÇÃO. AF_12/2015</t>
  </si>
  <si>
    <t>12.7</t>
  </si>
  <si>
    <t>91853</t>
  </si>
  <si>
    <t>ELETRODUTO FLEXÍVEL CORRUGADO REFORÇADO, PVC, DN 20 MM (1/2"), PARA CIRCUITOS TERMINAIS, INSTALADO EM PAREDE - FORNECIMENTO E INSTALAÇÃO. AF_12/2015</t>
  </si>
  <si>
    <t>12.8</t>
  </si>
  <si>
    <t>93008</t>
  </si>
  <si>
    <t>ELETRODUTO RÍGIDO ROSCÁVEL, PVC, DN 50 MM (1 1/2") - FORNECIMENTO E INSTALAÇÃO. AF_12/2015</t>
  </si>
  <si>
    <t>12.9</t>
  </si>
  <si>
    <t>91873</t>
  </si>
  <si>
    <t>ELETRODUTO RÍGIDO ROSCÁVEL, PVC, DN 40 MM (1 1/4"), PARA CIRCUITOS TERMINAIS, INSTALADO EM PAREDE - FORNECIMENTO E INSTALAÇÃO. AF_12/2015</t>
  </si>
  <si>
    <t>12.10</t>
  </si>
  <si>
    <t>91872</t>
  </si>
  <si>
    <t>ELETRODUTO RÍGIDO ROSCÁVEL, PVC, DN 32 MM (1"), PARA CIRCUITOS TERMINAIS, INSTALADO EM PAREDE - FORNECIMENTO E INSTALAÇÃO. AF_12/2015</t>
  </si>
  <si>
    <t>12.11</t>
  </si>
  <si>
    <t>91876</t>
  </si>
  <si>
    <t>LUVA PARA ELETRODUTO, PVC, ROSCÁVEL, DN 32 MM (1"), PARA CIRCUITOS TERMINAIS, INSTALADA EM FORRO - FORNECIMENTO E INSTALAÇÃO. AF_12/2015</t>
  </si>
  <si>
    <t>12.12</t>
  </si>
  <si>
    <t>91877</t>
  </si>
  <si>
    <t>LUVA PARA ELETRODUTO, PVC, ROSCÁVEL, DN 40 MM (1 1/4"), PARA CIRCUITOS TERMINAIS, INSTALADA EM FORRO - FORNECIMENTO E INSTALAÇÃO. AF_12/2015</t>
  </si>
  <si>
    <t>12.13</t>
  </si>
  <si>
    <t>93013</t>
  </si>
  <si>
    <t>LUVA PARA ELETRODUTO, PVC, ROSCÁVEL, DN 50 MM (1 1/2") - FORNECIMENTO E INSTALAÇÃO. AF_12/2015</t>
  </si>
  <si>
    <t>12.14</t>
  </si>
  <si>
    <t>101879</t>
  </si>
  <si>
    <t>QUADRO DE DISTRIBUIÇÃO DE ENERGIA EM CHAPA DE AÇO GALVANIZADO, DE EMBUTIR, COM BARRAMENTO TRIFÁSICO, PARA 24 DISJUNTORES DIN 100A - FORNECIMENTO E INSTALAÇÃO. AF_10/2020</t>
  </si>
  <si>
    <t>12.15</t>
  </si>
  <si>
    <t>101878</t>
  </si>
  <si>
    <t>QUADRO DE DISTRIBUIÇÃO DE ENERGIA EM CHAPA DE AÇO GALVANIZADO, DE SOBREPOR, COM BARRAMENTO TRIFÁSICO, PARA 18 DISJUNTORES DIN 100A - FORNECIMENTO E INSTALAÇÃO. AF_10/2020</t>
  </si>
  <si>
    <t>12.16</t>
  </si>
  <si>
    <t>PROPRIO</t>
  </si>
  <si>
    <t>Tomada 2P + T - 10A</t>
  </si>
  <si>
    <t>PC</t>
  </si>
  <si>
    <t>12.17</t>
  </si>
  <si>
    <t>S00780</t>
  </si>
  <si>
    <t>Tomada 2p+t, ABNT, 10 A, para piso, com placa em metal amarelo e caixa pvc</t>
  </si>
  <si>
    <t>12.18</t>
  </si>
  <si>
    <t>91992</t>
  </si>
  <si>
    <t>TOMADA ALTA DE EMBUTIR (1 MÓDULO), 2P+T 10 A, INCLUINDO SUPORTE E PLACA - FORNECIMENTO E INSTALAÇÃO. AF_12/2015</t>
  </si>
  <si>
    <t>12.19</t>
  </si>
  <si>
    <t>92023</t>
  </si>
  <si>
    <t>INTERRUPTOR SIMPLES (1 MÓDULO) COM 1 TOMADA DE EMBUTIR 2P+T 10 A,  INCLUINDO SUPORTE E PLACA - FORNECIMENTO E INSTALAÇÃO. AF_12/2015</t>
  </si>
  <si>
    <t>12.20</t>
  </si>
  <si>
    <t>91971</t>
  </si>
  <si>
    <t>INTERRUPTOR SIMPLES (3 MÓDULOS) COM INTERRUPTOR PARALELO (1 MÓDULO), 10A/250V, INCLUINDO SUPORTE E PLACA - FORNECIMENTO E INSTALAÇÃO. AF_12/2015</t>
  </si>
  <si>
    <t>12.21</t>
  </si>
  <si>
    <t>97585</t>
  </si>
  <si>
    <t>LUMINÁRIA TIPO CALHA, DE SOBREPOR, COM 2 LÂMPADAS TUBULARES FLUORESCENTES DE 18 W, COM REATOR DE PARTIDA RÁPIDA - FORNECIMENTO E INSTALAÇÃO. AF_02/2020</t>
  </si>
  <si>
    <t>12.22</t>
  </si>
  <si>
    <t>97586</t>
  </si>
  <si>
    <t>LUMINÁRIA TIPO CALHA, DE SOBREPOR, COM 2 LÂMPADAS TUBULARES FLUORESCENTES DE 36 W, COM REATOR DE PARTIDA RÁPIDA - FORNECIMENTO E INSTALAÇÃO. AF_02/2020</t>
  </si>
  <si>
    <t>12.23</t>
  </si>
  <si>
    <t>101561</t>
  </si>
  <si>
    <t>CABO DE COBRE FLEXÍVEL ISOLADO, 16 MM², 0,6/1,0 KV, PARA REDE AÉREA DE DISTRIBUIÇÃO DE ENERGIA ELÉTRICA DE BAIXA TENSÃO - FORNECIMENTO E INSTALAÇÃO. AF_07/2020</t>
  </si>
  <si>
    <t>12.24</t>
  </si>
  <si>
    <t>12.25</t>
  </si>
  <si>
    <t>12.26</t>
  </si>
  <si>
    <t>S07996</t>
  </si>
  <si>
    <t>Disjuntor bipolar DR 25 A  - Dispositivo residual diferencial, tipo AC, 30MA, ref.5SM1 312-OMB, Siemens ou similar</t>
  </si>
  <si>
    <t>12.27</t>
  </si>
  <si>
    <t>93656</t>
  </si>
  <si>
    <t>DISJUNTOR MONOPOLAR TIPO DIN, CORRENTE NOMINAL DE 25A - FORNECIMENTO E INSTALAÇÃO. AF_10/2020</t>
  </si>
  <si>
    <t>12.28</t>
  </si>
  <si>
    <t>93653</t>
  </si>
  <si>
    <t>DISJUNTOR MONOPOLAR TIPO DIN, CORRENTE NOMINAL DE 10A - FORNECIMENTO E INSTALAÇÃO. AF_10/2020</t>
  </si>
  <si>
    <t>12.29</t>
  </si>
  <si>
    <t>101893</t>
  </si>
  <si>
    <t>DISJUNTOR TRIPOLAR TIPO NEMA, CORRENTE NOMINAL DE 10 ATÉ 50A - FORNECIMENTO E INSTALAÇÃO. AF_10/2020</t>
  </si>
  <si>
    <t>12.30</t>
  </si>
  <si>
    <t>12.31</t>
  </si>
  <si>
    <t>91928</t>
  </si>
  <si>
    <t>CABO DE COBRE FLEXÍVEL ISOLADO, 4 MM², ANTI-CHAMA 450/750 V, PARA CIRCUITOS TERMINAIS - FORNECIMENTO E INSTALAÇÃO. AF_12/2015</t>
  </si>
  <si>
    <t>12.32</t>
  </si>
  <si>
    <t>91924</t>
  </si>
  <si>
    <t>CABO DE COBRE FLEXÍVEL ISOLADO, 1,5 MM², ANTI-CHAMA 450/750 V, PARA CIRCUITOS TERMINAIS - FORNECIMENTO E INSTALAÇÃO. AF_12/2015</t>
  </si>
  <si>
    <t>12.33</t>
  </si>
  <si>
    <t>COTAÇÃO</t>
  </si>
  <si>
    <t>CAIXA PARA MEDIDOR TRIFÁSICO - PADRÃO ENERGISA</t>
  </si>
  <si>
    <t>pc</t>
  </si>
  <si>
    <t>12.34</t>
  </si>
  <si>
    <t>98111</t>
  </si>
  <si>
    <t>CAIXA DE INSPEÇÃO PARA ATERRAMENTO, CIRCULAR, EM POLIETILENO, DIÂMETRO INTERNO = 0,3 M. AF_12/2020</t>
  </si>
  <si>
    <t>12.35</t>
  </si>
  <si>
    <t>12.36</t>
  </si>
  <si>
    <t>S09824</t>
  </si>
  <si>
    <t>Massa 3M para calafetação (fornecimento)</t>
  </si>
  <si>
    <t>kg</t>
  </si>
  <si>
    <t>12.37</t>
  </si>
  <si>
    <t>96985</t>
  </si>
  <si>
    <t>HASTE DE ATERRAMENTO 5/8  PARA SPDA - FORNECIMENTO E INSTALAÇÃO. AF_12/2017</t>
  </si>
  <si>
    <t>12.38</t>
  </si>
  <si>
    <t>S04014</t>
  </si>
  <si>
    <t>Fita isolante (rolo 20m) 3/4" - Fornecimento</t>
  </si>
  <si>
    <t>12.39</t>
  </si>
  <si>
    <t>91926</t>
  </si>
  <si>
    <t>CABO DE COBRE FLEXÍVEL ISOLADO, 2,5 MM², ANTI-CHAMA 450/750 V, PARA CIRCUITOS TERMINAIS - FORNECIMENTO E INSTALAÇÃO. AF_12/2015</t>
  </si>
  <si>
    <t>12.40</t>
  </si>
  <si>
    <t>12.41</t>
  </si>
  <si>
    <t>12.42</t>
  </si>
  <si>
    <t>12.43</t>
  </si>
  <si>
    <t>91933</t>
  </si>
  <si>
    <t>KIT DE PORTA DE MADEIRA FRISADA, SEMI-OCA (LEVE OU MÉDIA), PADRÃO POPULAR, 80X210CM, ESPESSURA DE 3,5CM, ITENS INCLUSOS: DOBRADIÇAS, MONTAGEM E INSTALAÇÃO DO BATENTE, SEM FECHADURA - FORNECIMENTO E INSTALAÇÃO. AF_12/2019</t>
  </si>
  <si>
    <t>12.44</t>
  </si>
  <si>
    <t>CABO DE COBRE FLEXÍVEL ISOLADO, 10 MM², ANTI-CHAMA 0,6/1,0 KV, PARA CIRCUITOS TERMINAIS - FORNECIMENTO E INSTALAÇÃO. AF_12/2015</t>
  </si>
  <si>
    <t>12.45</t>
  </si>
  <si>
    <t>12.46</t>
  </si>
  <si>
    <t>12.47</t>
  </si>
  <si>
    <t>92022</t>
  </si>
  <si>
    <t>INTERRUPTOR SIMPLES (1 MÓDULO) COM 1 TOMADA DE EMBUTIR 2P+T 10 A,  SEM SUPORTE E SEM PLACA - FORNECIMENTO E INSTALAÇÃO. AF_12/2015</t>
  </si>
  <si>
    <t>13</t>
  </si>
  <si>
    <t>INSTALAÇÕES HIDRO-SANITÁRIA</t>
  </si>
  <si>
    <t>13.1</t>
  </si>
  <si>
    <t>89707</t>
  </si>
  <si>
    <t>CAIXA SIFONADA, PVC, DN 100 X 100 X 50 MM, JUNTA ELÁSTICA, FORNECIDA E INSTALADA EM RAMAL DE DESCARGA OU EM RAMAL DE ESGOTO SANITÁRIO. AF_12/2014</t>
  </si>
  <si>
    <t>13.2</t>
  </si>
  <si>
    <t>00011712</t>
  </si>
  <si>
    <t>CAIXA SIFONADA, PVC, 150 X 150 X 50 MM, COM GRELHA QUADRADA, BRANCA (NBR 5688)</t>
  </si>
  <si>
    <t>13.3</t>
  </si>
  <si>
    <t>89710</t>
  </si>
  <si>
    <t>RALO SECO, PVC, DN 100 X 40 MM, JUNTA SOLDÁVEL, FORNECIDO E INSTALADO EM RAMAL DE DESCARGA OU EM RAMAL DE ESGOTO SANITÁRIO. AF_12/2014</t>
  </si>
  <si>
    <t>13.4</t>
  </si>
  <si>
    <t>97902</t>
  </si>
  <si>
    <t>CAIXA ENTERRADA HIDRÁULICA RETANGULAR EM ALVENARIA COM TIJOLOS CERÂMICOS MACIÇOS, DIMENSÕES INTERNAS: 0,6X0,6X0,6 M PARA REDE DE ESGOTO. AF_12/2020</t>
  </si>
  <si>
    <t>13.5</t>
  </si>
  <si>
    <t>00000818</t>
  </si>
  <si>
    <t>BUCHA DE REDUCAO DE PVC, SOLDAVEL, CURTA, COM 60 X 50 MM, PARA AGUA FRIA PREDIAL</t>
  </si>
  <si>
    <t>13.6</t>
  </si>
  <si>
    <t>00000828</t>
  </si>
  <si>
    <t>BUCHA DE REDUCAO DE PVC, SOLDAVEL, CURTA, COM 25 X 20 MM, PARA AGUA FRIA PREDIAL</t>
  </si>
  <si>
    <t>13.7</t>
  </si>
  <si>
    <t>00000813</t>
  </si>
  <si>
    <t>BUCHA DE REDUCAO DE PVC, SOLDAVEL, LONGA, COM 50 X 25 MM, PARA AGUA FRIA PREDIAL</t>
  </si>
  <si>
    <t>13.8</t>
  </si>
  <si>
    <t>00000820</t>
  </si>
  <si>
    <t>BUCHA DE REDUCAO DE PVC, SOLDAVEL, LONGA, COM 50 X 32 MM, PARA AGUA FRIA PREDIAL</t>
  </si>
  <si>
    <t>13.9</t>
  </si>
  <si>
    <t>89362</t>
  </si>
  <si>
    <t>JOELHO 90 GRAUS, PVC, SOLDÁVEL, DN 25MM, INSTALADO EM RAMAL OU SUB-RAMAL DE ÁGUA - FORNECIMENTO E INSTALAÇÃO. AF_12/2014</t>
  </si>
  <si>
    <t>13.10</t>
  </si>
  <si>
    <t>89501</t>
  </si>
  <si>
    <t>JOELHO 90 GRAUS, PVC, SOLDÁVEL, DN 50MM, INSTALADO EM PRUMADA DE ÁGUA - FORNECIMENTO E INSTALAÇÃO. AF_12/2014</t>
  </si>
  <si>
    <t>13.11</t>
  </si>
  <si>
    <t>89366</t>
  </si>
  <si>
    <t>Joelho 90 graus com bucha de latão, pvc, soldável, dn 25mm, x 3/4? instalado em ramal ou sub-ramal de água - fornecimento e instalação. af_12/2014</t>
  </si>
  <si>
    <t>13.12</t>
  </si>
  <si>
    <t>89579</t>
  </si>
  <si>
    <t>LUVA DE REDUÇÃO, PVC, SOLDÁVEL, DN 50MM X 25MM, INSTALADO EM PRUMADA DE ÁGUA   FORNECIMENTO E INSTALAÇÃO. AF_12/2014</t>
  </si>
  <si>
    <t>13.13</t>
  </si>
  <si>
    <t>89627</t>
  </si>
  <si>
    <t>TÊ DE REDUÇÃO, PVC, SOLDÁVEL, DN 50MM X 25MM, INSTALADO EM PRUMADA DE ÁGUA - FORNECIMENTO E INSTALAÇÃO. AF_12/2014</t>
  </si>
  <si>
    <t>13.14</t>
  </si>
  <si>
    <t>89393</t>
  </si>
  <si>
    <t>TE, PVC, SOLDÁVEL, DN 20MM, INSTALADO EM RAMAL OU SUB-RAMAL DE ÁGUA - FORNECIMENTO E INSTALAÇÃO. AF_12/2014</t>
  </si>
  <si>
    <t>13.15</t>
  </si>
  <si>
    <t>89395</t>
  </si>
  <si>
    <t>TE, PVC, SOLDÁVEL, DN 25MM, INSTALADO EM RAMAL OU SUB-RAMAL DE ÁGUA - FORNECIMENTO E INSTALAÇÃO. AF_12/2014</t>
  </si>
  <si>
    <t>13.16</t>
  </si>
  <si>
    <t>89625</t>
  </si>
  <si>
    <t>TE, PVC, SOLDÁVEL, DN 50MM, INSTALADO EM PRUMADA DE ÁGUA - FORNECIMENTO E INSTALAÇÃO. AF_12/2014</t>
  </si>
  <si>
    <t>13.17</t>
  </si>
  <si>
    <t>90374</t>
  </si>
  <si>
    <t>TÊ COM BUCHA DE LATÃO NA BOLSA CENTRAL, PVC, SOLDÁVEL, DN 25MM X 3/4?, INSTALADO EM RAMAL OU SUB-RAMAL DE ÁGUA - FORNECIMENTO E INSTALAÇÃO. AF_03/2015</t>
  </si>
  <si>
    <t>13.18</t>
  </si>
  <si>
    <t>89401</t>
  </si>
  <si>
    <t>TUBO, PVC, SOLDÁVEL, DN 20MM, INSTALADO EM RAMAL DE DISTRIBUIÇÃO DE ÁGUA - FORNECIMENTO E INSTALAÇÃO. AF_12/2014</t>
  </si>
  <si>
    <t>13.19</t>
  </si>
  <si>
    <t>89446</t>
  </si>
  <si>
    <t>TUBO, PVC, SOLDÁVEL, DN 25MM, INSTALADO EM PRUMADA DE ÁGUA - FORNECIMENTO E INSTALAÇÃO. AF_12/2014</t>
  </si>
  <si>
    <t>13.20</t>
  </si>
  <si>
    <t>89449</t>
  </si>
  <si>
    <t>TUBO, PVC, SOLDÁVEL, DN 50MM, INSTALADO EM PRUMADA DE ÁGUA - FORNECIMENTO E INSTALAÇÃO. AF_12/2014</t>
  </si>
  <si>
    <t>13.21</t>
  </si>
  <si>
    <t>89711</t>
  </si>
  <si>
    <t>TUBO PVC, SERIE NORMAL, ESGOTO PREDIAL, DN 40 MM, FORNECIDO E INSTALADO EM RAMAL DE DESCARGA OU RAMAL DE ESGOTO SANITÁRIO. AF_12/2014</t>
  </si>
  <si>
    <t>13.22</t>
  </si>
  <si>
    <t>89798</t>
  </si>
  <si>
    <t>TUBO PVC, SERIE NORMAL, ESGOTO PREDIAL, DN 50 MM, FORNECIDO E INSTALADO EM PRUMADA DE ESGOTO SANITÁRIO OU VENTILAÇÃO. AF_12/2014</t>
  </si>
  <si>
    <t>13.23</t>
  </si>
  <si>
    <t>89800</t>
  </si>
  <si>
    <t>TUBO PVC, SERIE NORMAL, ESGOTO PREDIAL, DN 100 MM, FORNECIDO E INSTALADO EM PRUMADA DE ESGOTO SANITÁRIO OU VENTILAÇÃO. AF_12/2014</t>
  </si>
  <si>
    <t>13.24</t>
  </si>
  <si>
    <t>86931</t>
  </si>
  <si>
    <t>VASO SANITÁRIO SIFONADO COM CAIXA ACOPLADA LOUÇA BRANCA, INCLUSO ENGATE FLEXÍVEL EM PLÁSTICO BRANCO, 1/2  X 40CM - FORNECIMENTO E INSTALAÇÃO. AF_01/2020</t>
  </si>
  <si>
    <t>13.25</t>
  </si>
  <si>
    <t>00000377</t>
  </si>
  <si>
    <t>ASSENTO SANITARIO DE PLASTICO, TIPO CONVENCIONAL</t>
  </si>
  <si>
    <t>13.26</t>
  </si>
  <si>
    <t>00001370</t>
  </si>
  <si>
    <t>DUCHA HIGIENICA PLASTICA COM REGISTRO METALICO 1/2 "</t>
  </si>
  <si>
    <t>13.27</t>
  </si>
  <si>
    <t>00007608</t>
  </si>
  <si>
    <t>DUCHA / CHUVEIRO PLASTICO SIMPLES, 5 '', BRANCO, PARA ACOPLAR EM HASTE 1/2 ", AGUA FRIA</t>
  </si>
  <si>
    <t>13.28</t>
  </si>
  <si>
    <t>100858</t>
  </si>
  <si>
    <t>MICTÓRIO SIFONADO LOUÇA BRANCA ? PADRÃO MÉDIO ? FORNECIMENTO E INSTALAÇÃO. AF_01/2020</t>
  </si>
  <si>
    <t>13.29</t>
  </si>
  <si>
    <t>86916</t>
  </si>
  <si>
    <t>TORNEIRA PLÁSTICA 3/4? PARA TANQUE - FORNECIMENTO E INSTALAÇÃO. AF_01/2020</t>
  </si>
  <si>
    <t>13.30</t>
  </si>
  <si>
    <t>95635</t>
  </si>
  <si>
    <t>KIT CAVALETE PARA MEDIÇÃO DE ÁGUA - ENTRADA PRINCIPAL, EM PVC SOLDÁVEL DN 25 (¾")   FORNECIMENTO E INSTALAÇÃO (EXCLUSIVE HIDRÔMETRO). AF_11/2016</t>
  </si>
  <si>
    <t>13.31</t>
  </si>
  <si>
    <t>86935</t>
  </si>
  <si>
    <t>CUBA DE EMBUTIR DE AÇO INOXIDÁVEL MÉDIA, INCLUSO VÁLVULA TIPO AMERICANA EM METAL CROMADO E SIFÃO FLEXÍVEL EM PVC - FORNECIMENTO E INSTALAÇÃO. AF_01/2020</t>
  </si>
  <si>
    <t>13.32</t>
  </si>
  <si>
    <t>86911</t>
  </si>
  <si>
    <t>TORNEIRA CROMADA LONGA, DE PAREDE, 1/2? OU 3/4?, PARA PIA DE COZINHA, PADRÃO POPULAR - FORNECIMENTO E INSTALAÇÃO. AF_01/2020</t>
  </si>
  <si>
    <t>13.33</t>
  </si>
  <si>
    <t>86937</t>
  </si>
  <si>
    <t>CUBA DE EMBUTIR OVAL EM LOUÇA BRANCA, 35 X 50CM OU EQUIVALENTE, INCLUSO VÁLVULA EM METAL CROMADO E SIFÃO FLEXÍVEL EM PVC - FORNECIMENTO E INSTALAÇÃO. AF_01/2020</t>
  </si>
  <si>
    <t>13.34</t>
  </si>
  <si>
    <t>86906</t>
  </si>
  <si>
    <t>TORNEIRA CROMADA DE MESA, 1/2? OU 3/4?, PARA LAVATÓRIO, PADRÃO POPULAR - FORNECIMENTO E INSTALAÇÃO. AF_01/2020</t>
  </si>
  <si>
    <t>13.35</t>
  </si>
  <si>
    <t>94796</t>
  </si>
  <si>
    <t>TORNEIRA DE BOIA PARA CAIXA D'ÁGUA, ROSCÁVEL, 3/4" - FORNECIMENTO E INSTALAÇÃO. AF_08/2021</t>
  </si>
  <si>
    <t>13.36</t>
  </si>
  <si>
    <t>100867</t>
  </si>
  <si>
    <t>BARRA DE APOIO RETA, EM ACO INOX POLIDO, COMPRIMENTO 70 CM,  FIXADA NA PAREDE - FORNECIMENTO E INSTALAÇÃO. AF_01/2020</t>
  </si>
  <si>
    <t>13.37</t>
  </si>
  <si>
    <t>100866</t>
  </si>
  <si>
    <t>BARRA DE APOIO RETA, EM ACO INOX POLIDO, COMPRIMENTO 60CM, FIXADA NA PAREDE - FORNECIMENTO E INSTALAÇÃO. AF_01/2020</t>
  </si>
  <si>
    <t>13.38</t>
  </si>
  <si>
    <t>86943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</si>
  <si>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</si>
  <si>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13.39</t>
  </si>
  <si>
    <t>95544</t>
  </si>
  <si>
    <t>PAPELEIRA DE PAREDE EM METAL CROMADO SEM TAMPA, INCLUSO FIXAÇÃO. AF_01/2020</t>
  </si>
  <si>
    <t>13.40</t>
  </si>
  <si>
    <t>94498</t>
  </si>
  <si>
    <t>REGISTRO DE GAVETA BRUTO, LATÃO, ROSCÁVEL, 2" - FORNECIMENTO E INSTALAÇÃO. AF_08/2021</t>
  </si>
  <si>
    <t>13.41</t>
  </si>
  <si>
    <t>94497</t>
  </si>
  <si>
    <t>REGISTRO DE GAVETA BRUTO, LATÃO, ROSCÁVEL, 1 1/2" - FORNECIMENTO E INSTALAÇÃO. AF_08/2021</t>
  </si>
  <si>
    <t>13.42</t>
  </si>
  <si>
    <t>89352</t>
  </si>
  <si>
    <t>REGISTRO DE GAVETA BRUTO, LATÃO, ROSCÁVEL, 1/2" - FORNECIMENTO E INSTALAÇÃO. AF_08/2021</t>
  </si>
  <si>
    <t>13.43</t>
  </si>
  <si>
    <t>89353</t>
  </si>
  <si>
    <t>REGISTRO DE GAVETA BRUTO, LATÃO, ROSCÁVEL, 3/4" - FORNECIMENTO E INSTALAÇÃO. AF_08/2021</t>
  </si>
  <si>
    <t>13.44</t>
  </si>
  <si>
    <t>89985</t>
  </si>
  <si>
    <t>REGISTRO DE PRESSÃO BRUTO, LATÃO, ROSCÁVEL, 3/4", COM ACABAMENTO E CANOPLA CROMADOS - FORNECIMENTO E INSTALAÇÃO. AF_08/2021</t>
  </si>
  <si>
    <t>13.45</t>
  </si>
  <si>
    <t>89816</t>
  </si>
  <si>
    <t>UNIÃO, CPVC, SOLDÁVEL, DN35MM, INSTALADO EM PRUMADA DE ÁGUA ? FORNECIMENTO E INSTALAÇÃO. AF_12/2014</t>
  </si>
  <si>
    <t>13.46</t>
  </si>
  <si>
    <t>89802</t>
  </si>
  <si>
    <t>JOELHO 45 GRAUS, PVC, SERIE NORMAL, ESGOTO PREDIAL, DN 50 MM, JUNTA ELÁSTICA, FORNECIDO E INSTALADO EM PRUMADA DE ESGOTO SANITÁRIO OU VENTILAÇÃO. AF_12/2014</t>
  </si>
  <si>
    <t>13.47</t>
  </si>
  <si>
    <t>89810</t>
  </si>
  <si>
    <t>JOELHO 45 GRAUS, PVC, SERIE NORMAL, ESGOTO PREDIAL, DN 100 MM, JUNTA ELÁSTICA, FORNECIDO E INSTALADO EM PRUMADA DE ESGOTO SANITÁRIO OU VENTILAÇÃO. AF_12/2014</t>
  </si>
  <si>
    <t>13.48</t>
  </si>
  <si>
    <t>89724</t>
  </si>
  <si>
    <t>JOELHO 90 GRAUS, PVC, SERIE NORMAL, ESGOTO PREDIAL, DN 40 MM, JUNTA SOLDÁVEL, FORNECIDO E INSTALADO EM RAMAL DE DESCARGA OU RAMAL DE ESGOTO SANITÁRIO. AF_12/2014</t>
  </si>
  <si>
    <t>13.49</t>
  </si>
  <si>
    <t>89801</t>
  </si>
  <si>
    <t>JOELHO 90 GRAUS, PVC, SERIE NORMAL, ESGOTO PREDIAL, DN 50 MM, JUNTA ELÁSTICA, FORNECIDO E INSTALADO EM PRUMADA DE ESGOTO SANITÁRIO OU VENTILAÇÃO. AF_12/2014</t>
  </si>
  <si>
    <t>13.50</t>
  </si>
  <si>
    <t>89744</t>
  </si>
  <si>
    <t>JOELHO 90 GRAUS, PVC, SERIE NORMAL, ESGOTO PREDIAL, DN 100 MM, JUNTA ELÁSTICA, FORNECIDO E INSTALADO EM RAMAL DE DESCARGA OU RAMAL DE ESGOTO SANITÁRIO. AF_12/2014</t>
  </si>
  <si>
    <t>13.51</t>
  </si>
  <si>
    <t>89827</t>
  </si>
  <si>
    <t>JUNÇÃO SIMPLES, PVC, SERIE NORMAL, ESGOTO PREDIAL, DN 50 X 50 MM, JUNTA ELÁSTICA, FORNECIDO E INSTALADO EM PRUMADA DE ESGOTO SANITÁRIO OU VENTILAÇÃO. AF_12/2014</t>
  </si>
  <si>
    <t>13.52</t>
  </si>
  <si>
    <t>00003659</t>
  </si>
  <si>
    <t>JUNCAO SIMPLES, PVC, DN 100 X 50 MM, SERIE NORMAL PARA ESGOTO PREDIAL</t>
  </si>
  <si>
    <t>13.53</t>
  </si>
  <si>
    <t>00003660</t>
  </si>
  <si>
    <t>JUNCAO SIMPLES, PVC, DN 100 X 75 MM, SERIE NORMAL PARA ESGOTO PREDIAL</t>
  </si>
  <si>
    <t>13.54</t>
  </si>
  <si>
    <t>89797</t>
  </si>
  <si>
    <t>JUNÇÃO SIMPLES, PVC, SERIE NORMAL, ESGOTO PREDIAL, DN 100 X 100 MM, JUNTA ELÁSTICA, FORNECIDO E INSTALADO EM RAMAL DE DESCARGA OU RAMAL DE ESGOTO SANITÁRIO. AF_12/2014</t>
  </si>
  <si>
    <t>13.55</t>
  </si>
  <si>
    <t>89813</t>
  </si>
  <si>
    <t>LUVA SIMPLES, PVC, SERIE NORMAL, ESGOTO PREDIAL, DN 50 MM, JUNTA ELÁSTICA, FORNECIDO E INSTALADO EM PRUMADA DE ESGOTO SANITÁRIO OU VENTILAÇÃO. AF_12/2014</t>
  </si>
  <si>
    <t>13.56</t>
  </si>
  <si>
    <t>89817</t>
  </si>
  <si>
    <t>LUVA SIMPLES, PVC, SERIE NORMAL, ESGOTO PREDIAL, DN 75 MM, JUNTA ELÁSTICA, FORNECIDO E INSTALADO EM PRUMADA DE ESGOTO SANITÁRIO OU VENTILAÇÃO. AF_12/2014</t>
  </si>
  <si>
    <t>13.57</t>
  </si>
  <si>
    <t>89778</t>
  </si>
  <si>
    <t>LUVA SIMPLES, PVC, SERIE NORMAL, ESGOTO PREDIAL, DN 100 MM, JUNTA ELÁSTICA, FORNECIDO E INSTALADO EM RAMAL DE DESCARGA OU RAMAL DE ESGOTO SANITÁRIO. AF_12/2014</t>
  </si>
  <si>
    <t>13.58</t>
  </si>
  <si>
    <t>89825</t>
  </si>
  <si>
    <t>TE, PVC, SERIE NORMAL, ESGOTO PREDIAL, DN 50 X 50 MM, JUNTA ELÁSTICA, FORNECIDO E INSTALADO EM PRUMADA DE ESGOTO SANITÁRIO OU VENTILAÇÃO. AF_12/2014</t>
  </si>
  <si>
    <t>13.59</t>
  </si>
  <si>
    <t>00011657</t>
  </si>
  <si>
    <t>TE SANITARIO, PVC, DN 75 X 50 MM, SERIE NORMAL PARA ESGOTO PREDIAL</t>
  </si>
  <si>
    <t>13.60</t>
  </si>
  <si>
    <t>00011656</t>
  </si>
  <si>
    <t>TE SANITARIO, PVC, DN 100 X 75 MM, SERIE NORMAL PARA ESGOTO PREDIAL</t>
  </si>
  <si>
    <t>14</t>
  </si>
  <si>
    <t>PINTURA</t>
  </si>
  <si>
    <t>14.1</t>
  </si>
  <si>
    <t>88484</t>
  </si>
  <si>
    <t>APLICAÇÃO DE FUNDO SELADOR ACRÍLICO EM TETO, UMA DEMÃO. AF_06/2014</t>
  </si>
  <si>
    <t>14.2</t>
  </si>
  <si>
    <t>88485</t>
  </si>
  <si>
    <t>APLICAÇÃO DE FUNDO SELADOR ACRÍLICO EM PAREDES, UMA DEMÃO. AF_06/2014</t>
  </si>
  <si>
    <t>14.3</t>
  </si>
  <si>
    <t>88494</t>
  </si>
  <si>
    <t>APLICAÇÃO E LIXAMENTO DE MASSA LÁTEX EM TETO, UMA DEMÃO. AF_06/2014</t>
  </si>
  <si>
    <t>14.4</t>
  </si>
  <si>
    <t>S08624</t>
  </si>
  <si>
    <t>Emassamento de superfície, com aplicação de 02 demãos de massa acrílica, lixamento e retoques - Rev 01</t>
  </si>
  <si>
    <t>14.5</t>
  </si>
  <si>
    <t>88489</t>
  </si>
  <si>
    <t>APLICAÇÃO MANUAL DE PINTURA COM TINTA LÁTEX ACRÍLICA EM PAREDES, DUAS DEMÃOS. AF_06/2014</t>
  </si>
  <si>
    <t>14.6</t>
  </si>
  <si>
    <t>88488</t>
  </si>
  <si>
    <t>APLICAÇÃO MANUAL DE PINTURA COM TINTA LÁTEX ACRÍLICA EM TETO, DUAS DEMÃOS. AF_06/2014</t>
  </si>
  <si>
    <t>14.7</t>
  </si>
  <si>
    <t>102218</t>
  </si>
  <si>
    <t>PINTURA TINTA DE ACABAMENTO (PIGMENTADA) ESMALTE SINTÉTICO FOSCO EM MADEIRA, 2 DEMÃOS. AF_01/2021</t>
  </si>
  <si>
    <t>14.8</t>
  </si>
  <si>
    <t>100724</t>
  </si>
  <si>
    <t>PINTURA COM TINTA ALQUÍDICA DE FUNDO E ACABAMENTO (ESMALTE SINTÉTICO GRAFITE) APLICADA A ROLO OU PINCEL SOBRE PERFIL METÁLICO EXECUTADO EM FÁBRICA (POR DEMÃO). AF_01/2020</t>
  </si>
  <si>
    <t>14.9</t>
  </si>
  <si>
    <t>100720</t>
  </si>
  <si>
    <t>PINTURA COM TINTA ALQUÍDICA DE FUNDO (TIPO ZARCÃO) APLICADA A ROLO OU PINCEL SOBRE PERFIL METÁLICO EXECUTADO EM FÁBRICA (POR DEMÃO). AF_01/2020</t>
  </si>
  <si>
    <t>15</t>
  </si>
  <si>
    <t>SERVIÇOS COMPLEMENTARES</t>
  </si>
  <si>
    <t>15.1</t>
  </si>
  <si>
    <t>S02450</t>
  </si>
  <si>
    <t>Limpeza geral</t>
  </si>
  <si>
    <t>15.2</t>
  </si>
  <si>
    <t>S01862</t>
  </si>
  <si>
    <t>Escada de ferro com guarda corpo</t>
  </si>
  <si>
    <t>PREVISTO</t>
  </si>
  <si>
    <t>ACUMULADO ANTERIOR</t>
  </si>
  <si>
    <t>NO PERÍODO</t>
  </si>
  <si>
    <t>FÍSICO</t>
  </si>
  <si>
    <t>FINANCEIRO</t>
  </si>
  <si>
    <t>ACUMULADO TOTAL</t>
  </si>
  <si>
    <t>SALDO</t>
  </si>
  <si>
    <t xml:space="preserve">PLANILHA DE MEDIÇÃO </t>
  </si>
  <si>
    <t>HAYA CONSTRUTORA</t>
  </si>
  <si>
    <t>CONSTRUÇÃO DE ESCOLA COM 6 SALAS, LOCALIZADA, NO BAIRRO ANGELIM, NO MUNICÍPIO DE SOUSA -PB</t>
  </si>
  <si>
    <t>OBJETO: CONSTRUÇÃO DE ESCOLA COM 6 SALAS, LOCALIZADA, NO BAIRRO ANGELIM, NO MUNICÍPIO DE SOUSA -PB</t>
  </si>
  <si>
    <t>DISCRIMINAÇÃO</t>
  </si>
  <si>
    <t xml:space="preserve">UN </t>
  </si>
  <si>
    <t>QUANT.</t>
  </si>
  <si>
    <t>TOTAL</t>
  </si>
  <si>
    <t>Volume sapata cuscuz</t>
  </si>
  <si>
    <t>h</t>
  </si>
  <si>
    <t>s1</t>
  </si>
  <si>
    <t>s2</t>
  </si>
  <si>
    <t>Volume cuscuz</t>
  </si>
  <si>
    <t>Volume base</t>
  </si>
  <si>
    <t>PREÇO
UNITÁRIO R$ - BDI</t>
  </si>
  <si>
    <t>VIGA X = COMPRIMENTO DA VIGA X PERIMETRO IMPERMEABILIZADO = AREA DE IMPERMEABILIZAÇÃO DA VIGA
VIGA 01 = (11,89+11,850) * (0,15+0,3+0,3) = 17,805 m²
VIGA 02 = 3,39 * 0,75 = 2,55 m² 
VIGA 03 = 3,39 * 0,75 = 2,55 m² 
VIGA 04 = 3,26 * 0,75 = 2,445 m²
VIGA 07 = 6,40 * 0,75 = 4,8 m² 
VIGA 21 = 2,04 * 0,75 = 1,53 m²
VIGA 06 = (11,89+12+12+3,74) * 0,75 = 29,7225 m² 
VIGA 08 = 6,40 * 0,75 = 4,8 m²
VIGA 22 = 1,70 * 0,75 = 1,275 m²
VIGA 09 = (11,89+12+12+4,07) * 0,75 = 29,97 m²
VIGA 11 = 4,24 * 0,75 = 3,18 m²
VIGA 12 = 5,64 * 0,75 = 4,23 m²
VIGA 10 = (11,89+12+12+3,74) * 0,75 = 29,7225 m²
VIGA 20 = 8,26 * 0,75 = 6,195 m² 
VIGA 25 = 1,70 * 0,75 = 1,275 m²
VIGA 13 =  (11,89+12+12+4,07) * 0,75 = 29,97 m²
VIGA 23 = 10,62 * 0,75 = 7,965 m²
VIGA 14 = (12+7,43) * 0,75 = 14,5725 m²
VIGA 15 = (12+12+8,05) * 0,75 = 24,0375 m²
VIGA 16 = (12+7,23) * 0,75 = 14,4225 m²
VIGA 17 = (12+12+8,49) * 0,75 = 24,3675 m²
VIGA 18 = (12+12+8,49) * 0,75 = 24,3675 m² 
VIGA 24 = 9,74 * 0,75 = 7,305 m²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</si>
  <si>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</si>
  <si>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</si>
  <si>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</si>
  <si>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</si>
  <si>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</si>
  <si>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</si>
  <si>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</si>
  <si>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</si>
  <si>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</si>
  <si>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</si>
  <si>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</si>
  <si>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GERAL</t>
  </si>
  <si>
    <t>02.00</t>
  </si>
  <si>
    <t>02.1</t>
  </si>
  <si>
    <t>Aterro manual de valas com solo argilo-arenoso e compactação mecanizada (EDIFICAÇÃO)</t>
  </si>
  <si>
    <t>Refeitório</t>
  </si>
  <si>
    <t>Sala 01</t>
  </si>
  <si>
    <t>Sala 02</t>
  </si>
  <si>
    <t>Sala 03</t>
  </si>
  <si>
    <t>Sala 04</t>
  </si>
  <si>
    <t>Sala 05</t>
  </si>
  <si>
    <t>Sala 06</t>
  </si>
  <si>
    <t>Sala Diretora</t>
  </si>
  <si>
    <t>Secretaria</t>
  </si>
  <si>
    <t>Wc diretoria</t>
  </si>
  <si>
    <t>Sala dos Professores</t>
  </si>
  <si>
    <t>Wc professores</t>
  </si>
  <si>
    <t>Sala de informática</t>
  </si>
  <si>
    <t>Biblioteca</t>
  </si>
  <si>
    <t>PCD + Wc Feminino</t>
  </si>
  <si>
    <t>PCD + Wc  Masculino</t>
  </si>
  <si>
    <t>DML</t>
  </si>
  <si>
    <t>Despensa</t>
  </si>
  <si>
    <t>Cozinha</t>
  </si>
  <si>
    <t xml:space="preserve"> Área de serviço</t>
  </si>
  <si>
    <t>Wc's Área de serviço</t>
  </si>
  <si>
    <t>Corredor 01</t>
  </si>
  <si>
    <t>Recepção</t>
  </si>
  <si>
    <t>Corredor 02</t>
  </si>
  <si>
    <t>Corredor 03</t>
  </si>
  <si>
    <t>MEMORIA DE CALCULO - BM 03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</si>
  <si>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</si>
  <si>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</si>
  <si>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</si>
  <si>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</si>
  <si>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</si>
  <si>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</si>
  <si>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</si>
  <si>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</si>
  <si>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</si>
  <si>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</si>
  <si>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</si>
  <si>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</si>
  <si>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</si>
  <si>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</si>
  <si>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P19</t>
  </si>
  <si>
    <t>P15</t>
  </si>
  <si>
    <t>P16</t>
  </si>
  <si>
    <t>P17</t>
  </si>
  <si>
    <t>P18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</si>
  <si>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</si>
  <si>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</si>
  <si>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</si>
  <si>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</si>
  <si>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</si>
  <si>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</si>
  <si>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</si>
  <si>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</si>
  <si>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</si>
  <si>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</si>
  <si>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</si>
  <si>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</si>
  <si>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</si>
  <si>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</si>
  <si>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</si>
  <si>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</si>
  <si>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</si>
  <si>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</si>
  <si>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</si>
  <si>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</si>
  <si>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</si>
  <si>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</si>
  <si>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</si>
  <si>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</si>
  <si>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</si>
  <si>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</si>
  <si>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</si>
  <si>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</si>
  <si>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</si>
  <si>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</si>
  <si>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</si>
  <si>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</si>
  <si>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</si>
  <si>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</si>
  <si>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</si>
  <si>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</si>
  <si>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</si>
  <si>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</si>
  <si>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</si>
  <si>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</si>
  <si>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</si>
  <si>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</si>
  <si>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</si>
  <si>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</si>
  <si>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</si>
  <si>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</si>
  <si>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</si>
  <si>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</si>
  <si>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</si>
  <si>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</si>
  <si>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</si>
  <si>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</si>
  <si>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</si>
  <si>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</si>
  <si>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</si>
  <si>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</si>
  <si>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P76</t>
  </si>
  <si>
    <t>P77</t>
  </si>
  <si>
    <t>P78</t>
  </si>
  <si>
    <t>P79</t>
  </si>
  <si>
    <t>P80</t>
  </si>
  <si>
    <t>P81</t>
  </si>
  <si>
    <t>P82</t>
  </si>
  <si>
    <t>P83</t>
  </si>
  <si>
    <t>P84</t>
  </si>
  <si>
    <t>P85</t>
  </si>
  <si>
    <t>P86</t>
  </si>
  <si>
    <t>P87</t>
  </si>
  <si>
    <t>P88</t>
  </si>
  <si>
    <t>P89</t>
  </si>
  <si>
    <t>P90</t>
  </si>
  <si>
    <t>P91</t>
  </si>
  <si>
    <t>P92</t>
  </si>
  <si>
    <t>P93</t>
  </si>
  <si>
    <t>VIGA 01</t>
  </si>
  <si>
    <t>VIGA 02</t>
  </si>
  <si>
    <t>VIGA 03</t>
  </si>
  <si>
    <t>VIGA 04</t>
  </si>
  <si>
    <t>VIGA 07</t>
  </si>
  <si>
    <t>VIGA 21</t>
  </si>
  <si>
    <t>VIGA 06</t>
  </si>
  <si>
    <t>VIGA 08</t>
  </si>
  <si>
    <t>VIGA 22</t>
  </si>
  <si>
    <t>VIGA 09</t>
  </si>
  <si>
    <t>VIGA 11</t>
  </si>
  <si>
    <t>VIGA 12</t>
  </si>
  <si>
    <t>VIGA 10</t>
  </si>
  <si>
    <t>VIGA 20</t>
  </si>
  <si>
    <t>VIGA 13</t>
  </si>
  <si>
    <t>VIGA 23</t>
  </si>
  <si>
    <t>VIGA 14</t>
  </si>
  <si>
    <t>VIGA 15</t>
  </si>
  <si>
    <t>VIGA 16</t>
  </si>
  <si>
    <t>VIGA 17</t>
  </si>
  <si>
    <t>VIGA 24</t>
  </si>
  <si>
    <t>VIGA 25</t>
  </si>
  <si>
    <t>VIGA 26</t>
  </si>
  <si>
    <t>VIGA 27</t>
  </si>
  <si>
    <t>VIGA 18</t>
  </si>
  <si>
    <t>VIGA 19</t>
  </si>
  <si>
    <t>Comprimento da pérgola = 2,35 m 
Unidades = 39
Comprimento Total = 2,35 * 39 = 91,65 m</t>
  </si>
  <si>
    <r>
      <rPr>
        <b/>
        <sz val="14"/>
        <color theme="1"/>
        <rFont val="Calibri"/>
        <family val="2"/>
      </rPr>
      <t>4ª</t>
    </r>
    <r>
      <rPr>
        <b/>
        <sz val="14"/>
        <color theme="1"/>
        <rFont val="Arial"/>
        <family val="2"/>
      </rPr>
      <t xml:space="preserve"> MEDIÇÃO</t>
    </r>
  </si>
  <si>
    <t>PERIODO 24/05/2023 a 20/09/2023</t>
  </si>
  <si>
    <t>MEMÓRIA DE CÁLCULO - BM 04</t>
  </si>
  <si>
    <t>MEMÓRIA DE CÁLCULO ATERRO - BM 04</t>
  </si>
  <si>
    <t>MEMÓRIA DE CÁLCULO PILARES - BM 04</t>
  </si>
  <si>
    <t>MEMÓRIA DE CÁLCULO VIGAS - BM 04</t>
  </si>
  <si>
    <t>De acordo com in loco = 18 unidades de tesoura, internas para vão de 8 m</t>
  </si>
  <si>
    <t>De acordo com in loco = 4 unidades de tesoura, internas para vão de 10 m</t>
  </si>
  <si>
    <t xml:space="preserve">Calha 01 = 22,95 m / Calha 02 = 28,49 m / Calha 03 = 37,70 m / Calha 04 = 31,25 m / Calha 05 = 37,70 m / Total = 158,09 m </t>
  </si>
  <si>
    <t>Tubo de queda d'água = 72,00 m</t>
  </si>
  <si>
    <t>Tubo de queda d'água = 24,00 m</t>
  </si>
  <si>
    <t xml:space="preserve">De acordo com coberta in loco = 98,35 m </t>
  </si>
  <si>
    <t xml:space="preserve">Biblioteca = 72,10 m²
Sala de Informática = 44,81 m² 
WC FEM = 13,50 m²
WC Masc = 13,49 m²
Sala dos Professores = 37,32 m² 
WC = 2,42 m²
WC Dir = 2,49 m²
Sala Diretora = 12 m²
Secretaria = 19,40 m²
Área de Serviço = 15,34 m² 
WC = 2,70 m²
WC = 2,70 m²
Circulação = 110,15 m²
Despensa = 7,87 m² 
Cozinha = 23,55 m²
DML = 4,50 m²
Salas = 44,80 * 6 = 268,80 m² </t>
  </si>
  <si>
    <t>Refeitório e Cozinha = 9,75 * 23,12 = 225,42 m²
Coberta em corredor de junção = 2,90 * 5,00 = 14,50 m²
Coberta sobre salas e banheiros = 8,40 * 38 = 319,20 m²
Coberta sobre salas e diretorias = 8,35 * 38 = 317,30 m²</t>
  </si>
  <si>
    <t>Refeitório = 16,50 * 9,35 = 154,28 m²
Pergolado = 11,45 * 2,50 = 28,63 m²
Hall = 5,07 * 21,45 m²
Sala 01 = 8,06*5,63 = 45,38 m²
Sala 02, 03 e 05 = 8,09 * 5,63 = 45,55 m²
Sala 04 = 8,09 * 5,66 = 45,79 m²
Sala 06 = 8,09 * 5,62 = 45,47 m²
Corredor entre salas = 17,25 * 2,20 = 37,95 m²
Sala Dir. = 3,04 * 4,09 = 12,43 m²
Secretaria = 4,90 * 4 = 19,60 m²
WC Dir. = 1,53 * 1,67 = 2,56 m²
Sala prof = ((6,40*5,40) + (1,75*1,60)) = 37,36 m²
WC Prof = 1,53 * 1,67 = 2,56 m²
Sala infor. = 8,04 * 5,76 = 46,31 m²
Biblioteca = 8,04 * 9,20 = 73,97 m²
PCD + WC FEM = 6,20 *3 = 18,60
PCD + WC MASC = 6,20*3 = 18,60 m²
DML = 1,53 * 3,14 = 4,80 m² 
Despensa = 2,50 * 3,15 = 7,88 m²
Cozinha = 7,87 * 3,03 = 23,85 m²
Área Serviço = 4,9 * 3,15 = 15,44 m²
WC'S SERVIÇOS = 1,80*3 = 5,40 m²
Corredor biblioteca = 6,3 * 4 = 25,20 m²
Pergolado = 2,35 * 11,65 = 27,38 m²</t>
  </si>
  <si>
    <t>Wc diretoria = 9,79 - 1,38 = 8,41 m²
WC Prof = 9,79 - 1,38 = 8,41 m²
PCD + WC FEM = 36,72 - 5,51 = 31,21 m²
PCD + WC MASC = 36,72 - 5,51 = 31,21 m²
DML = 14,29 - 1,07 = 13,22 m²
Cozinha = 33,35 - 3,21 = 30,14 m²
Área Serv. = 49,27 - 3,21 - 6,12 = 39,94 m² 
WC'S ÁREA DE SERV. = 20,07 - 2,14 = 17,93 m²</t>
  </si>
  <si>
    <t>Parede 01 = 18,82 m * 2,70 m = 50,814 m² * 2 / Parede 02 = ((38 m * 2,70 m) - (1,65+1,65+1,65+1,65+1,65+1,65+3,75+1,65+1,65+0,5+0,5+1,65+1,65+1,65)) = 79,7 m² * 2
Parede 03 = 0,70 m * 2,70 m = 1,89 m² * 2 / Parede 04 = ((18,80 m * 2,70 m) - 4,6) = 46,16 m² * 2
Parede 05 = ((5,94 m * 2,70 m) - (1,65+1,65)) = 12,738 m² * 2 / Parede 06 = ((23,25 m * 2,7 m)-(2,0*2,3)) = 58,175 m² * 2
Parede 07 = ((9,77 m * 2,70 m) - ((2,0*2,3)+(0,5)) = 21,279 m² * 2 / Parede 08 = ((6,45 m * 2,70 m)-0,5) = 16,915 m² * 2
Parede 09 = ((2,5 m * 2,7 m) - (0,9*2,10)) = 4,86 m² * 2 / Parede 10 = ((15,44 m * 2,7 m) - (0,5+0,5+1,65+1,65)) = 37,388 m² * 2
Parede 11 = ((9,53 m * 2,70 m)-(0,76*2,10*2)) = 22,539 m² * 2 / Parede 12 = ((9,53 m * 2,70 m)-(0,76*2,1*2)) = 22,539 m² * 2
Parede 13 = ((3,20 m * 2,70 m)-((0,66*0,3*2)+(0,76*2,1*2)) = 5,052 m² * 2 / Parede 14 = 3,20 m * 2,70 m = 8,64 m² * 2
Parede 15 = 7,50 m * 2,70 m = 20,25 m² * 2 / Parede 16 = 6,25 m * 2,70 m = 16,875 m² * 2
Parede 17 = 8,19 m * 2,70 m = 22,113 m² * 2 / Parede 18 = ((6,20 m * 2,70m) - (0,96*1,8*2)) =  13,284 m² * 2
Parede 19 = ((6,20 m * 2,70m)-(0,96*2,1*2)) = 12,708 m² * 2 / Parede 20 = ((9,15 m * 2,70 m)-(0,96*2,10)) = 22,689 m² * 2
Parede 21 = ((15,45 m * 2,70 m)-((0,96*2,10)+(0,86*2,10))) = 37,893 m² * 2 / Parede 22 = ((8,15 m * 2,70 m)-((2*0,86*2,10)+1,65)) = 16,743 m² * 2
Parede 23 = ((8,06 m * 2,70 m)-(0,96*2,10)) = 19,746 m² * 2 / Parede 24 = 8,06 m * 2,70 m = 21,762 m² * 2
Parede 25 = 4,05 m * 2,70 m = 10,935 m² * 2 / Parede 26 = 1,85 m * 2,70 m = 4,995 m² * 2
Parede 27 = 1,615 m * 2,70 m = 4,3605 m² * 2 / Parede 28 = ((1,83 m * 2,70 m) - (0,96*2,10)) = 2,925 m² * 2
Parede 29 = 1,615 m * 2,70 m = 4,3605 m² * 2 / Parede 30 = 8,15 m * 2,70 m = 22,005 m² * 2
Parede 31 = 8,0 m * 2,70 m = 21,6 m² * 2 / Parede 32 = 8,0 m * 2,70 m = 21,6 m² * 2
Parede 33 = ((17,15 m * 2,70 m)-(3*0,86*2,10)) = 40,887 m² * 2 / Parede 34 =((17,15 m * 2,70 m)-(3*0,86*2,10)) = 40,887 m² * 2
Parede 35 = 8,0 m * 2,70 m = 21,6 m² * 2 / Parede 36 = 8,0 m * 2,70 m = 21,6 m² * 2 
Parede 37 = 8,30 m * 2,70 m = 22,41 m² * 2 / Parede 38 = ((11,40 m * 2,70 m)-(4*1,65)) = 24,18 m² * 2 
Parede 39 = 1,80 m * 2,70 m = 4,86 m² * 2 / Parede 40 = 3 m * 2,70 m = 8,10 m² * 2</t>
  </si>
  <si>
    <t>salas 01,.03 e 05</t>
  </si>
  <si>
    <t>salas 02,.04 e 06</t>
  </si>
  <si>
    <t>hall de acesso( dois segmentos)</t>
  </si>
  <si>
    <t>Setor administrativo</t>
  </si>
  <si>
    <t>biblioteca</t>
  </si>
  <si>
    <t>banheiros</t>
  </si>
  <si>
    <t>Tesouras sala de aula e bivblioteca</t>
  </si>
  <si>
    <t>und</t>
  </si>
  <si>
    <t>Lastro de concreto</t>
  </si>
  <si>
    <t xml:space="preserve">Tesouras </t>
  </si>
  <si>
    <t>Coberta</t>
  </si>
  <si>
    <t>Vergas</t>
  </si>
  <si>
    <t>Quadro resumo</t>
  </si>
  <si>
    <t>Janelas</t>
  </si>
  <si>
    <t>Total de vergas (UND)</t>
  </si>
  <si>
    <t>Comprimento total de vergas (m)</t>
  </si>
  <si>
    <t>Comprimento (m)</t>
  </si>
  <si>
    <t>Total de contravergas (UND)</t>
  </si>
  <si>
    <t>Comprimento total de contravergas (m)</t>
  </si>
  <si>
    <t>Portas</t>
  </si>
  <si>
    <t>Contravergas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</si>
</sst>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&quot;* #,##0.00_);_(&quot;R$&quot;* \(#,##0.00\);_(&quot;R$&quot;* &quot;-&quot;??_);_(@_)"/>
    <numFmt numFmtId="165" formatCode="&quot;R$&quot;\ #,##0.00"/>
    <numFmt numFmtId="166" formatCode="#,##0.0"/>
    <numFmt numFmtId="167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20"/>
      <color indexed="8"/>
      <name val="Calibri"/>
      <family val="2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sz val="10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24"/>
      <color theme="1"/>
      <name val="Arial"/>
      <family val="2"/>
    </font>
    <font>
      <b/>
      <sz val="36"/>
      <color theme="1"/>
      <name val="Arial"/>
      <family val="2"/>
    </font>
    <font>
      <b/>
      <sz val="2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2" borderId="0" applyNumberFormat="0" applyBorder="0" applyAlignment="0" applyProtection="0"/>
    <xf numFmtId="43" fontId="1" fillId="7" borderId="0" applyFont="0" applyFill="0" applyBorder="0" applyAlignment="0" applyProtection="0"/>
    <xf numFmtId="0" fontId="18" fillId="7" borderId="0"/>
    <xf numFmtId="167" fontId="20" fillId="7" borderId="0" applyFont="0" applyFill="0" applyBorder="0" applyAlignment="0" applyProtection="0"/>
    <xf numFmtId="0" fontId="30" fillId="7" borderId="0"/>
  </cellStyleXfs>
  <cellXfs count="234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3" fillId="4" borderId="1" xfId="0" applyNumberFormat="1" applyFont="1" applyFill="1" applyBorder="1" applyAlignment="1" applyProtection="1">
      <alignment horizontal="center" vertical="center" wrapText="1"/>
    </xf>
    <xf numFmtId="0" fontId="13" fillId="10" borderId="1" xfId="0" applyNumberFormat="1" applyFont="1" applyFill="1" applyBorder="1" applyAlignment="1" applyProtection="1">
      <alignment horizontal="center" vertical="center" wrapText="1"/>
    </xf>
    <xf numFmtId="0" fontId="0" fillId="10" borderId="0" xfId="0" applyFill="1"/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4" fontId="13" fillId="6" borderId="1" xfId="0" applyNumberFormat="1" applyFont="1" applyFill="1" applyBorder="1" applyAlignment="1" applyProtection="1">
      <alignment horizontal="center" vertical="center" wrapText="1"/>
    </xf>
    <xf numFmtId="44" fontId="13" fillId="6" borderId="1" xfId="2" applyFont="1" applyFill="1" applyBorder="1" applyAlignment="1" applyProtection="1">
      <alignment horizontal="center" vertical="center" wrapText="1"/>
    </xf>
    <xf numFmtId="44" fontId="13" fillId="7" borderId="1" xfId="2" applyFont="1" applyFill="1" applyBorder="1" applyAlignment="1" applyProtection="1">
      <alignment horizontal="center" vertical="center" wrapText="1"/>
    </xf>
    <xf numFmtId="4" fontId="13" fillId="10" borderId="1" xfId="0" applyNumberFormat="1" applyFont="1" applyFill="1" applyBorder="1" applyAlignment="1" applyProtection="1">
      <alignment horizontal="center" vertical="center" wrapText="1"/>
    </xf>
    <xf numFmtId="44" fontId="13" fillId="10" borderId="1" xfId="2" applyFont="1" applyFill="1" applyBorder="1" applyAlignment="1" applyProtection="1">
      <alignment horizontal="center" vertical="center" wrapText="1"/>
    </xf>
    <xf numFmtId="44" fontId="12" fillId="10" borderId="1" xfId="2" applyFont="1" applyFill="1" applyBorder="1" applyAlignment="1" applyProtection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/>
    </xf>
    <xf numFmtId="0" fontId="2" fillId="8" borderId="2" xfId="3" applyFont="1" applyFill="1" applyBorder="1" applyAlignment="1">
      <alignment horizontal="center" vertical="center" wrapText="1"/>
    </xf>
    <xf numFmtId="0" fontId="2" fillId="8" borderId="15" xfId="3" applyFont="1" applyFill="1" applyBorder="1" applyAlignment="1">
      <alignment horizontal="center" vertical="center"/>
    </xf>
    <xf numFmtId="0" fontId="2" fillId="8" borderId="11" xfId="3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/>
    </xf>
    <xf numFmtId="2" fontId="0" fillId="13" borderId="1" xfId="0" applyNumberFormat="1" applyFill="1" applyBorder="1" applyAlignment="1">
      <alignment horizontal="center" vertical="center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12" fillId="8" borderId="6" xfId="0" applyNumberFormat="1" applyFont="1" applyFill="1" applyBorder="1" applyAlignment="1" applyProtection="1">
      <alignment horizontal="center" vertical="center" wrapText="1"/>
    </xf>
    <xf numFmtId="0" fontId="13" fillId="3" borderId="6" xfId="0" applyNumberFormat="1" applyFont="1" applyFill="1" applyBorder="1" applyAlignment="1" applyProtection="1">
      <alignment horizontal="center" vertical="center" wrapText="1"/>
    </xf>
    <xf numFmtId="44" fontId="0" fillId="0" borderId="7" xfId="2" applyFont="1" applyBorder="1" applyAlignment="1">
      <alignment horizontal="center" vertical="center"/>
    </xf>
    <xf numFmtId="0" fontId="13" fillId="10" borderId="6" xfId="0" applyNumberFormat="1" applyFont="1" applyFill="1" applyBorder="1" applyAlignment="1" applyProtection="1">
      <alignment horizontal="center" vertical="center" wrapText="1"/>
    </xf>
    <xf numFmtId="44" fontId="2" fillId="10" borderId="7" xfId="2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wrapText="1"/>
    </xf>
    <xf numFmtId="0" fontId="0" fillId="13" borderId="1" xfId="0" applyFill="1" applyBorder="1"/>
    <xf numFmtId="43" fontId="20" fillId="7" borderId="24" xfId="4" applyFont="1" applyBorder="1" applyAlignment="1" applyProtection="1">
      <alignment vertical="center"/>
      <protection locked="0"/>
    </xf>
    <xf numFmtId="43" fontId="20" fillId="7" borderId="0" xfId="4" applyFont="1" applyBorder="1" applyAlignment="1" applyProtection="1">
      <alignment vertical="center"/>
      <protection locked="0"/>
    </xf>
    <xf numFmtId="43" fontId="20" fillId="7" borderId="25" xfId="4" applyFont="1" applyBorder="1" applyAlignment="1" applyProtection="1">
      <alignment vertical="center"/>
      <protection locked="0"/>
    </xf>
    <xf numFmtId="43" fontId="21" fillId="7" borderId="26" xfId="4" applyFont="1" applyFill="1" applyBorder="1" applyAlignment="1">
      <alignment vertical="center"/>
    </xf>
    <xf numFmtId="43" fontId="21" fillId="7" borderId="17" xfId="4" applyFont="1" applyFill="1" applyBorder="1" applyAlignment="1">
      <alignment vertical="center"/>
    </xf>
    <xf numFmtId="43" fontId="22" fillId="7" borderId="17" xfId="4" applyFont="1" applyFill="1" applyBorder="1" applyAlignment="1">
      <alignment vertical="center"/>
    </xf>
    <xf numFmtId="43" fontId="22" fillId="7" borderId="27" xfId="4" applyFont="1" applyFill="1" applyBorder="1" applyAlignment="1">
      <alignment vertical="center"/>
    </xf>
    <xf numFmtId="0" fontId="24" fillId="7" borderId="24" xfId="5" applyFont="1" applyFill="1" applyBorder="1" applyAlignment="1">
      <alignment vertical="center"/>
    </xf>
    <xf numFmtId="49" fontId="25" fillId="7" borderId="0" xfId="5" applyNumberFormat="1" applyFont="1" applyFill="1" applyBorder="1" applyAlignment="1">
      <alignment horizontal="left" vertical="center" indent="1"/>
    </xf>
    <xf numFmtId="43" fontId="25" fillId="7" borderId="0" xfId="4" applyFont="1" applyFill="1" applyBorder="1" applyAlignment="1">
      <alignment horizontal="left" vertical="center" indent="1"/>
    </xf>
    <xf numFmtId="0" fontId="24" fillId="7" borderId="0" xfId="5" applyFont="1" applyFill="1" applyBorder="1" applyAlignment="1">
      <alignment vertical="center"/>
    </xf>
    <xf numFmtId="0" fontId="24" fillId="7" borderId="25" xfId="5" applyFont="1" applyFill="1" applyBorder="1" applyAlignment="1">
      <alignment vertical="center"/>
    </xf>
    <xf numFmtId="43" fontId="19" fillId="13" borderId="38" xfId="4" applyFont="1" applyFill="1" applyBorder="1" applyAlignment="1">
      <alignment horizontal="center" vertical="center"/>
    </xf>
    <xf numFmtId="43" fontId="19" fillId="13" borderId="36" xfId="4" applyFont="1" applyFill="1" applyBorder="1" applyAlignment="1">
      <alignment horizontal="center" vertical="center"/>
    </xf>
    <xf numFmtId="43" fontId="19" fillId="13" borderId="37" xfId="4" applyFont="1" applyFill="1" applyBorder="1" applyAlignment="1">
      <alignment horizontal="center" vertical="center"/>
    </xf>
    <xf numFmtId="43" fontId="19" fillId="13" borderId="39" xfId="4" applyFont="1" applyFill="1" applyBorder="1" applyAlignment="1">
      <alignment horizontal="center" vertical="center"/>
    </xf>
    <xf numFmtId="43" fontId="26" fillId="13" borderId="35" xfId="4" applyFont="1" applyFill="1" applyBorder="1" applyAlignment="1">
      <alignment horizontal="center" vertical="center"/>
    </xf>
    <xf numFmtId="43" fontId="26" fillId="13" borderId="36" xfId="4" applyFont="1" applyFill="1" applyBorder="1" applyAlignment="1">
      <alignment horizontal="center" vertical="center"/>
    </xf>
    <xf numFmtId="43" fontId="26" fillId="13" borderId="37" xfId="4" applyFont="1" applyFill="1" applyBorder="1" applyAlignment="1">
      <alignment horizontal="center" vertical="center"/>
    </xf>
    <xf numFmtId="0" fontId="26" fillId="13" borderId="38" xfId="4" applyNumberFormat="1" applyFont="1" applyFill="1" applyBorder="1" applyAlignment="1">
      <alignment horizontal="left" vertical="center" indent="1"/>
    </xf>
    <xf numFmtId="0" fontId="26" fillId="13" borderId="36" xfId="4" applyNumberFormat="1" applyFont="1" applyFill="1" applyBorder="1" applyAlignment="1">
      <alignment horizontal="left" vertical="center" indent="1"/>
    </xf>
    <xf numFmtId="43" fontId="26" fillId="7" borderId="30" xfId="4" applyFont="1" applyFill="1" applyBorder="1" applyAlignment="1">
      <alignment horizontal="center" vertical="center"/>
    </xf>
    <xf numFmtId="43" fontId="26" fillId="7" borderId="31" xfId="4" applyFont="1" applyFill="1" applyBorder="1" applyAlignment="1">
      <alignment horizontal="center" vertical="center"/>
    </xf>
    <xf numFmtId="43" fontId="26" fillId="7" borderId="32" xfId="4" applyFont="1" applyFill="1" applyBorder="1" applyAlignment="1">
      <alignment horizontal="center" vertical="center"/>
    </xf>
    <xf numFmtId="0" fontId="26" fillId="13" borderId="33" xfId="4" applyNumberFormat="1" applyFont="1" applyFill="1" applyBorder="1" applyAlignment="1">
      <alignment horizontal="center" vertical="center"/>
    </xf>
    <xf numFmtId="2" fontId="26" fillId="13" borderId="33" xfId="4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13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0" xfId="0" applyNumberFormat="1"/>
    <xf numFmtId="2" fontId="0" fillId="0" borderId="0" xfId="0" applyNumberFormat="1"/>
    <xf numFmtId="43" fontId="26" fillId="13" borderId="37" xfId="4" applyFont="1" applyFill="1" applyBorder="1" applyAlignment="1">
      <alignment horizontal="center" vertical="center"/>
    </xf>
    <xf numFmtId="43" fontId="26" fillId="13" borderId="35" xfId="4" applyFont="1" applyFill="1" applyBorder="1" applyAlignment="1">
      <alignment horizontal="center" vertical="center"/>
    </xf>
    <xf numFmtId="43" fontId="26" fillId="13" borderId="36" xfId="4" applyFont="1" applyFill="1" applyBorder="1" applyAlignment="1">
      <alignment horizontal="center" vertical="center"/>
    </xf>
    <xf numFmtId="0" fontId="26" fillId="13" borderId="33" xfId="4" applyNumberFormat="1" applyFont="1" applyFill="1" applyBorder="1" applyAlignment="1">
      <alignment horizontal="center" vertical="center"/>
    </xf>
    <xf numFmtId="0" fontId="13" fillId="13" borderId="1" xfId="0" applyNumberFormat="1" applyFont="1" applyFill="1" applyBorder="1" applyAlignment="1" applyProtection="1">
      <alignment horizontal="center" vertical="center" wrapText="1"/>
    </xf>
    <xf numFmtId="0" fontId="13" fillId="13" borderId="6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44" fontId="0" fillId="0" borderId="1" xfId="2" applyFont="1" applyFill="1" applyBorder="1" applyAlignment="1">
      <alignment horizontal="center" vertical="center"/>
    </xf>
    <xf numFmtId="44" fontId="12" fillId="0" borderId="1" xfId="2" applyFont="1" applyFill="1" applyBorder="1" applyAlignment="1" applyProtection="1">
      <alignment horizontal="center" vertical="center" wrapText="1"/>
    </xf>
    <xf numFmtId="0" fontId="13" fillId="5" borderId="1" xfId="0" applyNumberFormat="1" applyFont="1" applyFill="1" applyBorder="1" applyAlignment="1" applyProtection="1">
      <alignment horizontal="left" vertical="center" wrapText="1"/>
    </xf>
    <xf numFmtId="0" fontId="13" fillId="10" borderId="1" xfId="0" applyNumberFormat="1" applyFont="1" applyFill="1" applyBorder="1" applyAlignment="1" applyProtection="1">
      <alignment horizontal="left" vertical="center" wrapText="1"/>
    </xf>
    <xf numFmtId="0" fontId="13" fillId="13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3" fontId="0" fillId="0" borderId="0" xfId="1" applyFont="1"/>
    <xf numFmtId="43" fontId="0" fillId="0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 wrapText="1"/>
    </xf>
    <xf numFmtId="0" fontId="0" fillId="15" borderId="16" xfId="0" applyFill="1" applyBorder="1" applyAlignment="1">
      <alignment horizontal="right"/>
    </xf>
    <xf numFmtId="43" fontId="0" fillId="0" borderId="17" xfId="1" applyFont="1" applyBorder="1"/>
    <xf numFmtId="0" fontId="0" fillId="0" borderId="23" xfId="0" applyBorder="1"/>
    <xf numFmtId="0" fontId="0" fillId="0" borderId="20" xfId="0" applyBorder="1" applyAlignment="1">
      <alignment horizontal="right"/>
    </xf>
    <xf numFmtId="43" fontId="0" fillId="0" borderId="0" xfId="1" applyFont="1" applyBorder="1"/>
    <xf numFmtId="0" fontId="0" fillId="0" borderId="21" xfId="0" applyBorder="1"/>
    <xf numFmtId="0" fontId="0" fillId="0" borderId="15" xfId="0" applyBorder="1" applyAlignment="1">
      <alignment horizontal="right"/>
    </xf>
    <xf numFmtId="43" fontId="0" fillId="0" borderId="19" xfId="1" applyFont="1" applyBorder="1"/>
    <xf numFmtId="0" fontId="0" fillId="0" borderId="22" xfId="0" applyBorder="1"/>
    <xf numFmtId="0" fontId="30" fillId="7" borderId="0" xfId="7" applyFont="1" applyAlignment="1"/>
    <xf numFmtId="0" fontId="33" fillId="17" borderId="43" xfId="7" applyFont="1" applyFill="1" applyBorder="1" applyAlignment="1">
      <alignment horizontal="center" vertical="center"/>
    </xf>
    <xf numFmtId="0" fontId="33" fillId="18" borderId="43" xfId="7" applyFont="1" applyFill="1" applyBorder="1" applyAlignment="1">
      <alignment horizontal="center" vertical="center"/>
    </xf>
    <xf numFmtId="0" fontId="33" fillId="7" borderId="43" xfId="7" applyFont="1" applyBorder="1" applyAlignment="1">
      <alignment horizontal="center" vertical="center"/>
    </xf>
    <xf numFmtId="2" fontId="33" fillId="7" borderId="43" xfId="7" applyNumberFormat="1" applyFont="1" applyBorder="1" applyAlignment="1">
      <alignment horizontal="center" vertical="center"/>
    </xf>
    <xf numFmtId="0" fontId="33" fillId="7" borderId="0" xfId="7" applyFont="1" applyAlignment="1">
      <alignment horizontal="center" vertical="center"/>
    </xf>
    <xf numFmtId="44" fontId="15" fillId="11" borderId="1" xfId="2" applyNumberFormat="1" applyFont="1" applyFill="1" applyBorder="1" applyAlignment="1" applyProtection="1">
      <alignment horizontal="center" vertical="center"/>
    </xf>
    <xf numFmtId="44" fontId="15" fillId="11" borderId="9" xfId="2" applyNumberFormat="1" applyFont="1" applyFill="1" applyBorder="1" applyAlignment="1" applyProtection="1">
      <alignment horizontal="center" vertical="center"/>
    </xf>
    <xf numFmtId="165" fontId="16" fillId="0" borderId="1" xfId="1" applyNumberFormat="1" applyFont="1" applyFill="1" applyBorder="1" applyAlignment="1" applyProtection="1">
      <alignment horizontal="center" vertical="center"/>
    </xf>
    <xf numFmtId="165" fontId="16" fillId="0" borderId="9" xfId="1" applyNumberFormat="1" applyFont="1" applyFill="1" applyBorder="1" applyAlignment="1" applyProtection="1">
      <alignment horizontal="center" vertical="center"/>
    </xf>
    <xf numFmtId="165" fontId="16" fillId="11" borderId="1" xfId="1" applyNumberFormat="1" applyFont="1" applyFill="1" applyBorder="1" applyAlignment="1" applyProtection="1">
      <alignment horizontal="center" vertical="center"/>
    </xf>
    <xf numFmtId="165" fontId="16" fillId="11" borderId="9" xfId="1" applyNumberFormat="1" applyFont="1" applyFill="1" applyBorder="1" applyAlignment="1" applyProtection="1">
      <alignment horizontal="center" vertical="center"/>
    </xf>
    <xf numFmtId="165" fontId="14" fillId="11" borderId="7" xfId="1" applyNumberFormat="1" applyFont="1" applyFill="1" applyBorder="1" applyAlignment="1" applyProtection="1">
      <alignment horizontal="center" vertical="center"/>
    </xf>
    <xf numFmtId="165" fontId="14" fillId="11" borderId="10" xfId="1" applyNumberFormat="1" applyFont="1" applyFill="1" applyBorder="1" applyAlignment="1" applyProtection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2" fillId="8" borderId="1" xfId="0" applyNumberFormat="1" applyFont="1" applyFill="1" applyBorder="1" applyAlignment="1" applyProtection="1">
      <alignment horizontal="center" vertical="center" wrapText="1"/>
    </xf>
    <xf numFmtId="0" fontId="12" fillId="8" borderId="7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9" borderId="1" xfId="0" applyNumberFormat="1" applyFont="1" applyFill="1" applyBorder="1" applyAlignment="1" applyProtection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0" fillId="13" borderId="5" xfId="0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3" borderId="7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0" fontId="3" fillId="9" borderId="7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14" fillId="11" borderId="6" xfId="0" applyNumberFormat="1" applyFont="1" applyFill="1" applyBorder="1" applyAlignment="1" applyProtection="1">
      <alignment horizontal="center" vertical="center"/>
      <protection locked="0"/>
    </xf>
    <xf numFmtId="4" fontId="14" fillId="11" borderId="1" xfId="0" applyNumberFormat="1" applyFont="1" applyFill="1" applyBorder="1" applyAlignment="1" applyProtection="1">
      <alignment horizontal="center" vertical="center"/>
      <protection locked="0"/>
    </xf>
    <xf numFmtId="4" fontId="14" fillId="11" borderId="8" xfId="0" applyNumberFormat="1" applyFont="1" applyFill="1" applyBorder="1" applyAlignment="1" applyProtection="1">
      <alignment horizontal="center" vertical="center"/>
      <protection locked="0"/>
    </xf>
    <xf numFmtId="4" fontId="14" fillId="11" borderId="9" xfId="0" applyNumberFormat="1" applyFont="1" applyFill="1" applyBorder="1" applyAlignment="1" applyProtection="1">
      <alignment horizontal="center" vertical="center"/>
      <protection locked="0"/>
    </xf>
    <xf numFmtId="0" fontId="33" fillId="17" borderId="41" xfId="7" applyFont="1" applyFill="1" applyBorder="1" applyAlignment="1">
      <alignment horizontal="center" vertical="center"/>
    </xf>
    <xf numFmtId="0" fontId="32" fillId="7" borderId="42" xfId="7" applyFont="1" applyBorder="1"/>
    <xf numFmtId="0" fontId="31" fillId="16" borderId="41" xfId="7" applyFont="1" applyFill="1" applyBorder="1" applyAlignment="1">
      <alignment horizontal="center" vertical="center"/>
    </xf>
    <xf numFmtId="0" fontId="33" fillId="17" borderId="41" xfId="7" applyFont="1" applyFill="1" applyBorder="1" applyAlignment="1">
      <alignment horizontal="center"/>
    </xf>
    <xf numFmtId="4" fontId="2" fillId="8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/>
    </xf>
    <xf numFmtId="4" fontId="2" fillId="8" borderId="16" xfId="0" applyNumberFormat="1" applyFont="1" applyFill="1" applyBorder="1" applyAlignment="1">
      <alignment horizontal="center" vertical="center" wrapText="1"/>
    </xf>
    <xf numFmtId="4" fontId="2" fillId="8" borderId="17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10" fillId="13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3" fontId="23" fillId="7" borderId="1" xfId="4" applyFont="1" applyFill="1" applyBorder="1" applyAlignment="1">
      <alignment horizontal="center" vertical="center"/>
    </xf>
    <xf numFmtId="43" fontId="19" fillId="8" borderId="28" xfId="4" applyFont="1" applyFill="1" applyBorder="1" applyAlignment="1">
      <alignment horizontal="center" vertical="center"/>
    </xf>
    <xf numFmtId="43" fontId="19" fillId="8" borderId="13" xfId="4" applyFont="1" applyFill="1" applyBorder="1" applyAlignment="1">
      <alignment horizontal="center" vertical="center"/>
    </xf>
    <xf numFmtId="43" fontId="19" fillId="8" borderId="14" xfId="4" applyFont="1" applyFill="1" applyBorder="1" applyAlignment="1">
      <alignment horizontal="center" vertical="center"/>
    </xf>
    <xf numFmtId="43" fontId="19" fillId="8" borderId="12" xfId="4" applyFont="1" applyFill="1" applyBorder="1" applyAlignment="1">
      <alignment horizontal="left" vertical="center" indent="1"/>
    </xf>
    <xf numFmtId="43" fontId="19" fillId="8" borderId="13" xfId="4" applyFont="1" applyFill="1" applyBorder="1" applyAlignment="1">
      <alignment horizontal="left" vertical="center" indent="1"/>
    </xf>
    <xf numFmtId="43" fontId="19" fillId="8" borderId="29" xfId="4" applyFont="1" applyFill="1" applyBorder="1" applyAlignment="1">
      <alignment horizontal="left" vertical="center" indent="1"/>
    </xf>
    <xf numFmtId="43" fontId="21" fillId="7" borderId="6" xfId="4" applyFont="1" applyFill="1" applyBorder="1" applyAlignment="1">
      <alignment horizontal="center" vertical="center"/>
    </xf>
    <xf numFmtId="43" fontId="21" fillId="7" borderId="1" xfId="4" applyFont="1" applyFill="1" applyBorder="1" applyAlignment="1">
      <alignment horizontal="center" vertical="center"/>
    </xf>
    <xf numFmtId="43" fontId="22" fillId="7" borderId="1" xfId="4" applyFont="1" applyFill="1" applyBorder="1" applyAlignment="1">
      <alignment horizontal="center" vertical="center"/>
    </xf>
    <xf numFmtId="43" fontId="21" fillId="7" borderId="7" xfId="4" applyFont="1" applyFill="1" applyBorder="1" applyAlignment="1">
      <alignment horizontal="center" vertical="center"/>
    </xf>
    <xf numFmtId="43" fontId="19" fillId="13" borderId="30" xfId="4" applyFont="1" applyFill="1" applyBorder="1" applyAlignment="1">
      <alignment horizontal="center" vertical="center"/>
    </xf>
    <xf numFmtId="43" fontId="19" fillId="13" borderId="31" xfId="4" applyFont="1" applyFill="1" applyBorder="1" applyAlignment="1">
      <alignment horizontal="center" vertical="center"/>
    </xf>
    <xf numFmtId="43" fontId="19" fillId="13" borderId="32" xfId="4" applyFont="1" applyFill="1" applyBorder="1" applyAlignment="1">
      <alignment horizontal="center" vertical="center"/>
    </xf>
    <xf numFmtId="43" fontId="19" fillId="13" borderId="33" xfId="4" applyFont="1" applyFill="1" applyBorder="1" applyAlignment="1">
      <alignment horizontal="left" vertical="center" indent="1"/>
    </xf>
    <xf numFmtId="43" fontId="19" fillId="13" borderId="31" xfId="4" applyFont="1" applyFill="1" applyBorder="1" applyAlignment="1">
      <alignment horizontal="left" vertical="center" indent="1"/>
    </xf>
    <xf numFmtId="43" fontId="19" fillId="13" borderId="32" xfId="4" applyFont="1" applyFill="1" applyBorder="1" applyAlignment="1">
      <alignment horizontal="left" vertical="center" indent="1"/>
    </xf>
    <xf numFmtId="43" fontId="19" fillId="13" borderId="33" xfId="4" applyFont="1" applyFill="1" applyBorder="1" applyAlignment="1">
      <alignment horizontal="center" vertical="center"/>
    </xf>
    <xf numFmtId="43" fontId="19" fillId="13" borderId="34" xfId="4" applyFont="1" applyFill="1" applyBorder="1" applyAlignment="1">
      <alignment horizontal="center" vertical="center"/>
    </xf>
    <xf numFmtId="43" fontId="26" fillId="13" borderId="35" xfId="4" applyFont="1" applyFill="1" applyBorder="1" applyAlignment="1">
      <alignment horizontal="center" vertical="center"/>
    </xf>
    <xf numFmtId="43" fontId="26" fillId="13" borderId="36" xfId="4" applyFont="1" applyFill="1" applyBorder="1" applyAlignment="1">
      <alignment horizontal="center" vertical="center"/>
    </xf>
    <xf numFmtId="43" fontId="26" fillId="13" borderId="37" xfId="4" applyFont="1" applyFill="1" applyBorder="1" applyAlignment="1">
      <alignment horizontal="center" vertical="center"/>
    </xf>
    <xf numFmtId="0" fontId="26" fillId="13" borderId="38" xfId="4" applyNumberFormat="1" applyFont="1" applyFill="1" applyBorder="1" applyAlignment="1">
      <alignment horizontal="left" vertical="center" indent="1"/>
    </xf>
    <xf numFmtId="0" fontId="26" fillId="13" borderId="36" xfId="4" applyNumberFormat="1" applyFont="1" applyFill="1" applyBorder="1" applyAlignment="1">
      <alignment horizontal="left" vertical="center" indent="1"/>
    </xf>
    <xf numFmtId="43" fontId="26" fillId="13" borderId="38" xfId="4" applyFont="1" applyFill="1" applyBorder="1" applyAlignment="1">
      <alignment horizontal="center" vertical="center"/>
    </xf>
    <xf numFmtId="167" fontId="26" fillId="13" borderId="38" xfId="4" applyNumberFormat="1" applyFont="1" applyFill="1" applyBorder="1" applyAlignment="1">
      <alignment horizontal="center" vertical="center"/>
    </xf>
    <xf numFmtId="167" fontId="26" fillId="13" borderId="36" xfId="4" applyNumberFormat="1" applyFont="1" applyFill="1" applyBorder="1" applyAlignment="1">
      <alignment horizontal="center" vertical="center"/>
    </xf>
    <xf numFmtId="167" fontId="26" fillId="13" borderId="37" xfId="4" applyNumberFormat="1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26" fillId="13" borderId="38" xfId="4" applyNumberFormat="1" applyFont="1" applyFill="1" applyBorder="1" applyAlignment="1">
      <alignment horizontal="center" vertical="center"/>
    </xf>
    <xf numFmtId="0" fontId="26" fillId="13" borderId="36" xfId="4" applyNumberFormat="1" applyFont="1" applyFill="1" applyBorder="1" applyAlignment="1">
      <alignment horizontal="center" vertical="center"/>
    </xf>
    <xf numFmtId="0" fontId="26" fillId="13" borderId="33" xfId="4" applyNumberFormat="1" applyFont="1" applyFill="1" applyBorder="1" applyAlignment="1">
      <alignment horizontal="center" vertical="center"/>
    </xf>
    <xf numFmtId="0" fontId="26" fillId="13" borderId="31" xfId="4" applyNumberFormat="1" applyFont="1" applyFill="1" applyBorder="1" applyAlignment="1">
      <alignment horizontal="center" vertical="center"/>
    </xf>
    <xf numFmtId="0" fontId="26" fillId="13" borderId="32" xfId="4" applyNumberFormat="1" applyFont="1" applyFill="1" applyBorder="1" applyAlignment="1">
      <alignment horizontal="center" vertical="center"/>
    </xf>
    <xf numFmtId="167" fontId="26" fillId="13" borderId="33" xfId="4" applyNumberFormat="1" applyFont="1" applyFill="1" applyBorder="1" applyAlignment="1">
      <alignment horizontal="center" vertical="center"/>
    </xf>
    <xf numFmtId="167" fontId="26" fillId="13" borderId="31" xfId="4" applyNumberFormat="1" applyFont="1" applyFill="1" applyBorder="1" applyAlignment="1">
      <alignment horizontal="center" vertical="center"/>
    </xf>
    <xf numFmtId="167" fontId="26" fillId="13" borderId="32" xfId="4" applyNumberFormat="1" applyFont="1" applyFill="1" applyBorder="1" applyAlignment="1">
      <alignment horizontal="center" vertical="center"/>
    </xf>
    <xf numFmtId="43" fontId="26" fillId="13" borderId="33" xfId="4" applyFont="1" applyFill="1" applyBorder="1" applyAlignment="1">
      <alignment horizontal="center" vertical="center"/>
    </xf>
    <xf numFmtId="43" fontId="26" fillId="13" borderId="32" xfId="4" applyFont="1" applyFill="1" applyBorder="1" applyAlignment="1">
      <alignment horizontal="center" vertical="center"/>
    </xf>
    <xf numFmtId="43" fontId="19" fillId="13" borderId="33" xfId="4" applyFont="1" applyFill="1" applyBorder="1" applyAlignment="1">
      <alignment horizontal="left" vertical="center" wrapText="1" indent="1"/>
    </xf>
    <xf numFmtId="43" fontId="19" fillId="13" borderId="31" xfId="4" applyFont="1" applyFill="1" applyBorder="1" applyAlignment="1">
      <alignment horizontal="left" vertical="center" wrapText="1" indent="1"/>
    </xf>
    <xf numFmtId="43" fontId="19" fillId="13" borderId="32" xfId="4" applyFont="1" applyFill="1" applyBorder="1" applyAlignment="1">
      <alignment horizontal="left" vertical="center" wrapText="1" indent="1"/>
    </xf>
    <xf numFmtId="0" fontId="26" fillId="14" borderId="33" xfId="4" applyNumberFormat="1" applyFont="1" applyFill="1" applyBorder="1" applyAlignment="1">
      <alignment horizontal="center" vertical="center"/>
    </xf>
    <xf numFmtId="0" fontId="26" fillId="14" borderId="31" xfId="4" applyNumberFormat="1" applyFont="1" applyFill="1" applyBorder="1" applyAlignment="1">
      <alignment horizontal="center" vertical="center"/>
    </xf>
    <xf numFmtId="0" fontId="26" fillId="14" borderId="32" xfId="4" applyNumberFormat="1" applyFont="1" applyFill="1" applyBorder="1" applyAlignment="1">
      <alignment horizontal="center" vertical="center"/>
    </xf>
  </cellXfs>
  <cellStyles count="8">
    <cellStyle name="20% - Ênfase1" xfId="3" builtinId="30"/>
    <cellStyle name="Moeda" xfId="2" builtinId="4"/>
    <cellStyle name="Normal" xfId="0" builtinId="0"/>
    <cellStyle name="Normal 2" xfId="7" xr:uid="{6730AF27-0C67-43AA-A733-BCD92E1E9578}"/>
    <cellStyle name="Normal 3" xfId="5" xr:uid="{00000000-0005-0000-0000-000003000000}"/>
    <cellStyle name="Separador de milhares 2 2 2" xfId="6" xr:uid="{00000000-0005-0000-0000-000004000000}"/>
    <cellStyle name="Vírgula" xfId="1" builtinId="3"/>
    <cellStyle name="Vírgula 6" xfId="4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111124</xdr:rowOff>
    </xdr:from>
    <xdr:to>
      <xdr:col>32</xdr:col>
      <xdr:colOff>571500</xdr:colOff>
      <xdr:row>61</xdr:row>
      <xdr:rowOff>127000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81" t="21096" r="24881" b="5457"/>
        <a:stretch/>
      </xdr:blipFill>
      <xdr:spPr>
        <a:xfrm>
          <a:off x="238124" y="111124"/>
          <a:ext cx="19637376" cy="116363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%20Chipset/Downloads/BM%20-%20Centro%20de%20Forma&#231;&#227;o%20dos%20Professore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MEDIÇÃO"/>
      <sheetName val="Memória BM 01"/>
      <sheetName val="2 MEDIÇÃO"/>
      <sheetName val="Memória BM 02"/>
      <sheetName val="3 MEDIÇÃO"/>
      <sheetName val="Memória BM 03"/>
      <sheetName val="4 MEDIÇÃO"/>
      <sheetName val="Memória BM 04"/>
      <sheetName val="5 MEDIÇÃO"/>
      <sheetName val="Memória BM 05"/>
      <sheetName val="6 MEDIÇÃO"/>
      <sheetName val="Memória BM 06"/>
      <sheetName val="7 MEDIÇÃO"/>
      <sheetName val="Memória BM 07"/>
      <sheetName val="8 MEDIÇÃO"/>
      <sheetName val="Memória BM 08"/>
      <sheetName val="9 MEDIÇÃO"/>
      <sheetName val="Memória BM 09"/>
      <sheetName val="10 MEDIÇÃO"/>
      <sheetName val="Memória BM 10"/>
      <sheetName val="11 MEDIÇÃO"/>
      <sheetName val="Memória BM 11"/>
      <sheetName val="12 MEDIÇÃO"/>
      <sheetName val="Memória BM 12"/>
      <sheetName val="13 MEDIÇÃO"/>
      <sheetName val="Memória BM 13"/>
      <sheetName val="14 MEDIÇÃO"/>
      <sheetName val="Memória BM 14"/>
      <sheetName val="15 MEDIÇÃO"/>
      <sheetName val="Memória BM 15"/>
      <sheetName val="16 MEDIÇÃO"/>
      <sheetName val="Memória BM 16"/>
      <sheetName val="17 MEDIÇÃO"/>
      <sheetName val="Memória BM 17"/>
      <sheetName val="18 MEDIÇÃO"/>
      <sheetName val="Memória BM 18"/>
      <sheetName val="19 MEDIÇÃO"/>
      <sheetName val="Memória BM 19"/>
      <sheetName val="20 MEDIÇÃO"/>
      <sheetName val="Memória BM 20"/>
    </sheetNames>
    <sheetDataSet>
      <sheetData sheetId="0">
        <row r="9">
          <cell r="A9">
            <v>1</v>
          </cell>
        </row>
        <row r="10">
          <cell r="A10" t="str">
            <v xml:space="preserve"> 1.1 </v>
          </cell>
        </row>
        <row r="11">
          <cell r="A11" t="str">
            <v xml:space="preserve"> 1.2 </v>
          </cell>
        </row>
        <row r="12">
          <cell r="A12" t="str">
            <v xml:space="preserve"> 1.3 </v>
          </cell>
        </row>
        <row r="13">
          <cell r="A13" t="str">
            <v xml:space="preserve"> 1.4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F509-5B9B-406B-96CD-E11BEABC30FD}">
  <sheetPr>
    <tabColor rgb="FFFF0000"/>
  </sheetPr>
  <dimension ref="C5:E20"/>
  <sheetViews>
    <sheetView workbookViewId="0">
      <selection activeCell="G20" sqref="G20"/>
    </sheetView>
  </sheetViews>
  <sheetFormatPr defaultRowHeight="15" x14ac:dyDescent="0.25"/>
  <cols>
    <col min="3" max="3" width="32.140625" style="89" bestFit="1" customWidth="1"/>
    <col min="4" max="4" width="10.5703125" style="90" bestFit="1" customWidth="1"/>
  </cols>
  <sheetData>
    <row r="5" spans="3:5" x14ac:dyDescent="0.25">
      <c r="C5" s="93" t="s">
        <v>814</v>
      </c>
      <c r="D5" s="94"/>
      <c r="E5" s="95"/>
    </row>
    <row r="6" spans="3:5" x14ac:dyDescent="0.25">
      <c r="C6" s="96" t="s">
        <v>804</v>
      </c>
      <c r="D6" s="97">
        <v>136.80000000000001</v>
      </c>
      <c r="E6" s="98"/>
    </row>
    <row r="7" spans="3:5" x14ac:dyDescent="0.25">
      <c r="C7" s="96" t="s">
        <v>805</v>
      </c>
      <c r="D7" s="97">
        <f>D6</f>
        <v>136.80000000000001</v>
      </c>
      <c r="E7" s="98"/>
    </row>
    <row r="8" spans="3:5" x14ac:dyDescent="0.25">
      <c r="C8" s="96" t="s">
        <v>806</v>
      </c>
      <c r="D8" s="97">
        <f>40+40</f>
        <v>80</v>
      </c>
      <c r="E8" s="98"/>
    </row>
    <row r="9" spans="3:5" x14ac:dyDescent="0.25">
      <c r="C9" s="96" t="s">
        <v>807</v>
      </c>
      <c r="D9" s="97">
        <v>122.5</v>
      </c>
      <c r="E9" s="98"/>
    </row>
    <row r="10" spans="3:5" x14ac:dyDescent="0.25">
      <c r="C10" s="96" t="s">
        <v>808</v>
      </c>
      <c r="D10" s="97">
        <v>72</v>
      </c>
      <c r="E10" s="98"/>
    </row>
    <row r="11" spans="3:5" x14ac:dyDescent="0.25">
      <c r="C11" s="96" t="s">
        <v>809</v>
      </c>
      <c r="D11" s="97">
        <v>38</v>
      </c>
      <c r="E11" s="98"/>
    </row>
    <row r="12" spans="3:5" x14ac:dyDescent="0.25">
      <c r="C12" s="96"/>
      <c r="D12" s="97"/>
      <c r="E12" s="98"/>
    </row>
    <row r="13" spans="3:5" x14ac:dyDescent="0.25">
      <c r="C13" s="99"/>
      <c r="D13" s="100">
        <f>SUM(D6:D11)</f>
        <v>586.1</v>
      </c>
      <c r="E13" s="101" t="s">
        <v>44</v>
      </c>
    </row>
    <row r="14" spans="3:5" x14ac:dyDescent="0.25">
      <c r="C14" s="93" t="s">
        <v>813</v>
      </c>
      <c r="D14" s="94"/>
      <c r="E14" s="95"/>
    </row>
    <row r="15" spans="3:5" x14ac:dyDescent="0.25">
      <c r="C15" s="99" t="s">
        <v>810</v>
      </c>
      <c r="D15" s="100">
        <v>10</v>
      </c>
      <c r="E15" s="101" t="s">
        <v>811</v>
      </c>
    </row>
    <row r="17" spans="3:5" x14ac:dyDescent="0.25">
      <c r="C17" s="93" t="s">
        <v>812</v>
      </c>
      <c r="D17" s="94"/>
      <c r="E17" s="95"/>
    </row>
    <row r="18" spans="3:5" x14ac:dyDescent="0.25">
      <c r="C18" s="96" t="s">
        <v>804</v>
      </c>
      <c r="D18" s="97">
        <v>136.80000000000001</v>
      </c>
      <c r="E18" s="98"/>
    </row>
    <row r="19" spans="3:5" x14ac:dyDescent="0.25">
      <c r="C19" s="99" t="s">
        <v>805</v>
      </c>
      <c r="D19" s="100">
        <f>D18</f>
        <v>136.80000000000001</v>
      </c>
      <c r="E19" s="101"/>
    </row>
    <row r="20" spans="3:5" x14ac:dyDescent="0.25">
      <c r="D20" s="90">
        <f>D19+D18</f>
        <v>273.60000000000002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Q232"/>
  <sheetViews>
    <sheetView view="pageBreakPreview" zoomScale="68" zoomScaleNormal="100" zoomScaleSheetLayoutView="68" workbookViewId="0">
      <pane xSplit="1" ySplit="7" topLeftCell="B41" activePane="bottomRight" state="frozen"/>
      <selection pane="topRight" activeCell="B1" sqref="B1"/>
      <selection pane="bottomLeft" activeCell="A8" sqref="A8"/>
      <selection pane="bottomRight" sqref="A1:C3"/>
    </sheetView>
  </sheetViews>
  <sheetFormatPr defaultRowHeight="15" x14ac:dyDescent="0.25"/>
  <cols>
    <col min="1" max="1" width="7.42578125" customWidth="1"/>
    <col min="2" max="2" width="9.85546875" bestFit="1" customWidth="1"/>
    <col min="3" max="3" width="50.28515625" style="88" customWidth="1"/>
    <col min="4" max="4" width="9" bestFit="1" customWidth="1"/>
    <col min="5" max="5" width="5.85546875" bestFit="1" customWidth="1"/>
    <col min="6" max="6" width="15" bestFit="1" customWidth="1"/>
    <col min="7" max="7" width="14.42578125" bestFit="1" customWidth="1"/>
    <col min="8" max="8" width="19.5703125" bestFit="1" customWidth="1"/>
    <col min="9" max="9" width="20.140625" bestFit="1" customWidth="1"/>
    <col min="10" max="10" width="14.85546875" bestFit="1" customWidth="1"/>
    <col min="11" max="11" width="10.85546875" style="82" bestFit="1" customWidth="1"/>
    <col min="12" max="12" width="14.85546875" bestFit="1" customWidth="1"/>
    <col min="13" max="13" width="26.28515625" bestFit="1" customWidth="1"/>
    <col min="14" max="14" width="19.28515625" style="82" customWidth="1"/>
    <col min="15" max="15" width="22" bestFit="1" customWidth="1"/>
    <col min="16" max="16" width="20.7109375" bestFit="1" customWidth="1"/>
  </cols>
  <sheetData>
    <row r="1" spans="1:17" ht="15" customHeight="1" x14ac:dyDescent="0.25">
      <c r="A1" s="134"/>
      <c r="B1" s="135"/>
      <c r="C1" s="135"/>
      <c r="D1" s="138" t="s">
        <v>610</v>
      </c>
      <c r="E1" s="138"/>
      <c r="F1" s="138"/>
      <c r="G1" s="138"/>
      <c r="H1" s="138"/>
      <c r="I1" s="138"/>
      <c r="J1" s="138"/>
      <c r="K1" s="138"/>
      <c r="L1" s="138"/>
      <c r="M1" s="138"/>
      <c r="N1" s="125" t="s">
        <v>788</v>
      </c>
      <c r="O1" s="125"/>
      <c r="P1" s="126"/>
    </row>
    <row r="2" spans="1:17" x14ac:dyDescent="0.25">
      <c r="A2" s="136"/>
      <c r="B2" s="137"/>
      <c r="C2" s="137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27"/>
      <c r="O2" s="127"/>
      <c r="P2" s="128"/>
    </row>
    <row r="3" spans="1:17" ht="27" customHeight="1" x14ac:dyDescent="0.25">
      <c r="A3" s="136"/>
      <c r="B3" s="137"/>
      <c r="C3" s="137"/>
      <c r="D3" s="116" t="s">
        <v>613</v>
      </c>
      <c r="E3" s="116"/>
      <c r="F3" s="116"/>
      <c r="G3" s="116"/>
      <c r="H3" s="116"/>
      <c r="I3" s="116"/>
      <c r="J3" s="116"/>
      <c r="K3" s="116"/>
      <c r="L3" s="116"/>
      <c r="M3" s="116"/>
      <c r="N3" s="129" t="s">
        <v>787</v>
      </c>
      <c r="O3" s="129"/>
      <c r="P3" s="130"/>
    </row>
    <row r="4" spans="1:17" ht="10.5" customHeight="1" x14ac:dyDescent="0.25">
      <c r="A4" s="117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31">
        <f>N230</f>
        <v>135949.15649034001</v>
      </c>
      <c r="O4" s="131"/>
      <c r="P4" s="132"/>
    </row>
    <row r="5" spans="1:17" ht="10.5" customHeight="1" x14ac:dyDescent="0.25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31"/>
      <c r="O5" s="131"/>
      <c r="P5" s="132"/>
    </row>
    <row r="6" spans="1:17" ht="18" customHeight="1" x14ac:dyDescent="0.25">
      <c r="A6" s="121" t="s">
        <v>0</v>
      </c>
      <c r="B6" s="122" t="s">
        <v>1</v>
      </c>
      <c r="C6" s="123" t="s">
        <v>2</v>
      </c>
      <c r="D6" s="122" t="s">
        <v>3</v>
      </c>
      <c r="E6" s="122" t="s">
        <v>4</v>
      </c>
      <c r="F6" s="124" t="s">
        <v>603</v>
      </c>
      <c r="G6" s="124"/>
      <c r="H6" s="124"/>
      <c r="I6" s="124"/>
      <c r="J6" s="124" t="s">
        <v>606</v>
      </c>
      <c r="K6" s="124"/>
      <c r="L6" s="124"/>
      <c r="M6" s="124" t="s">
        <v>607</v>
      </c>
      <c r="N6" s="124"/>
      <c r="O6" s="124"/>
      <c r="P6" s="133"/>
    </row>
    <row r="7" spans="1:17" ht="37.5" customHeight="1" x14ac:dyDescent="0.25">
      <c r="A7" s="121"/>
      <c r="B7" s="122"/>
      <c r="C7" s="123"/>
      <c r="D7" s="122"/>
      <c r="E7" s="122"/>
      <c r="F7" s="30" t="s">
        <v>5</v>
      </c>
      <c r="G7" s="1" t="s">
        <v>6</v>
      </c>
      <c r="H7" s="1" t="s">
        <v>624</v>
      </c>
      <c r="I7" s="1" t="s">
        <v>7</v>
      </c>
      <c r="J7" s="30" t="s">
        <v>604</v>
      </c>
      <c r="K7" s="79" t="s">
        <v>605</v>
      </c>
      <c r="L7" s="1" t="s">
        <v>608</v>
      </c>
      <c r="M7" s="30" t="s">
        <v>604</v>
      </c>
      <c r="N7" s="79" t="s">
        <v>605</v>
      </c>
      <c r="O7" s="1" t="s">
        <v>608</v>
      </c>
      <c r="P7" s="31" t="s">
        <v>609</v>
      </c>
    </row>
    <row r="8" spans="1:17" x14ac:dyDescent="0.25">
      <c r="A8" s="32">
        <v>1</v>
      </c>
      <c r="B8" s="119" t="s">
        <v>8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20"/>
    </row>
    <row r="9" spans="1:17" x14ac:dyDescent="0.25">
      <c r="A9" s="33" t="s">
        <v>9</v>
      </c>
      <c r="B9" s="2" t="s">
        <v>10</v>
      </c>
      <c r="C9" s="85" t="s">
        <v>11</v>
      </c>
      <c r="D9" s="2" t="s">
        <v>12</v>
      </c>
      <c r="E9" s="2" t="s">
        <v>13</v>
      </c>
      <c r="F9" s="7">
        <v>6</v>
      </c>
      <c r="G9" s="8">
        <f>288.89</f>
        <v>288.89</v>
      </c>
      <c r="H9" s="8">
        <f>G9*$Q$9</f>
        <v>367.90141499999999</v>
      </c>
      <c r="I9" s="9">
        <f>F9*H9</f>
        <v>2207.4084899999998</v>
      </c>
      <c r="J9" s="5">
        <v>6</v>
      </c>
      <c r="K9" s="80">
        <f>'MEMORIA BM 04'!E11</f>
        <v>0</v>
      </c>
      <c r="L9" s="5">
        <f>K9+J9</f>
        <v>6</v>
      </c>
      <c r="M9" s="6">
        <f>J9*H9</f>
        <v>2207.4084899999998</v>
      </c>
      <c r="N9" s="83">
        <f>H9*K9</f>
        <v>0</v>
      </c>
      <c r="O9" s="6">
        <f>N9+M9</f>
        <v>2207.4084899999998</v>
      </c>
      <c r="P9" s="34">
        <f>I9-O9</f>
        <v>0</v>
      </c>
      <c r="Q9">
        <v>1.2735000000000001</v>
      </c>
    </row>
    <row r="10" spans="1:17" ht="25.5" x14ac:dyDescent="0.25">
      <c r="A10" s="33" t="s">
        <v>14</v>
      </c>
      <c r="B10" s="2" t="s">
        <v>15</v>
      </c>
      <c r="C10" s="85" t="s">
        <v>16</v>
      </c>
      <c r="D10" s="2" t="s">
        <v>12</v>
      </c>
      <c r="E10" s="2" t="s">
        <v>17</v>
      </c>
      <c r="F10" s="7">
        <v>1</v>
      </c>
      <c r="G10" s="8">
        <f>12298.86</f>
        <v>12298.86</v>
      </c>
      <c r="H10" s="8">
        <f t="shared" ref="H10:H12" si="0">G10*$Q$9</f>
        <v>15662.598210000002</v>
      </c>
      <c r="I10" s="9">
        <f t="shared" ref="I10:I12" si="1">F10*H10</f>
        <v>15662.598210000002</v>
      </c>
      <c r="J10" s="5">
        <v>1</v>
      </c>
      <c r="K10" s="80">
        <f>'MEMORIA BM 04'!E12</f>
        <v>0</v>
      </c>
      <c r="L10" s="5">
        <f>K10+J10</f>
        <v>1</v>
      </c>
      <c r="M10" s="6">
        <f t="shared" ref="M10:M12" si="2">J10*H10</f>
        <v>15662.598210000002</v>
      </c>
      <c r="N10" s="83">
        <f t="shared" ref="N10:N12" si="3">H10*K10</f>
        <v>0</v>
      </c>
      <c r="O10" s="6">
        <f t="shared" ref="O10:O12" si="4">N10+M10</f>
        <v>15662.598210000002</v>
      </c>
      <c r="P10" s="34">
        <f t="shared" ref="P10:P13" si="5">I10-O10</f>
        <v>0</v>
      </c>
    </row>
    <row r="11" spans="1:17" ht="38.25" x14ac:dyDescent="0.25">
      <c r="A11" s="33" t="s">
        <v>18</v>
      </c>
      <c r="B11" s="2" t="s">
        <v>19</v>
      </c>
      <c r="C11" s="85" t="s">
        <v>20</v>
      </c>
      <c r="D11" s="2" t="s">
        <v>21</v>
      </c>
      <c r="E11" s="2" t="s">
        <v>22</v>
      </c>
      <c r="F11" s="7">
        <v>160.1</v>
      </c>
      <c r="G11" s="8">
        <f>41.08</f>
        <v>41.08</v>
      </c>
      <c r="H11" s="8">
        <f t="shared" si="0"/>
        <v>52.315379999999998</v>
      </c>
      <c r="I11" s="9">
        <f t="shared" si="1"/>
        <v>8375.6923379999989</v>
      </c>
      <c r="J11" s="5">
        <v>152</v>
      </c>
      <c r="K11" s="80">
        <f>'MEMORIA BM 04'!E13</f>
        <v>0</v>
      </c>
      <c r="L11" s="5">
        <f t="shared" ref="L11:L12" si="6">K11+J11</f>
        <v>152</v>
      </c>
      <c r="M11" s="6">
        <f t="shared" si="2"/>
        <v>7951.9377599999998</v>
      </c>
      <c r="N11" s="83">
        <f t="shared" si="3"/>
        <v>0</v>
      </c>
      <c r="O11" s="6">
        <f t="shared" si="4"/>
        <v>7951.9377599999998</v>
      </c>
      <c r="P11" s="34">
        <f t="shared" si="5"/>
        <v>423.75457799999913</v>
      </c>
    </row>
    <row r="12" spans="1:17" ht="25.5" x14ac:dyDescent="0.25">
      <c r="A12" s="33" t="s">
        <v>23</v>
      </c>
      <c r="B12" s="2" t="s">
        <v>24</v>
      </c>
      <c r="C12" s="85" t="s">
        <v>25</v>
      </c>
      <c r="D12" s="2" t="s">
        <v>12</v>
      </c>
      <c r="E12" s="2" t="s">
        <v>17</v>
      </c>
      <c r="F12" s="7">
        <v>1</v>
      </c>
      <c r="G12" s="8">
        <f>2055.31</f>
        <v>2055.31</v>
      </c>
      <c r="H12" s="8">
        <f t="shared" si="0"/>
        <v>2617.437285</v>
      </c>
      <c r="I12" s="9">
        <f t="shared" si="1"/>
        <v>2617.437285</v>
      </c>
      <c r="J12" s="5">
        <v>1</v>
      </c>
      <c r="K12" s="80">
        <f>'MEMORIA BM 04'!E14</f>
        <v>0</v>
      </c>
      <c r="L12" s="5">
        <f t="shared" si="6"/>
        <v>1</v>
      </c>
      <c r="M12" s="6">
        <f t="shared" si="2"/>
        <v>2617.437285</v>
      </c>
      <c r="N12" s="83">
        <f t="shared" si="3"/>
        <v>0</v>
      </c>
      <c r="O12" s="6">
        <f t="shared" si="4"/>
        <v>2617.437285</v>
      </c>
      <c r="P12" s="34">
        <f t="shared" si="5"/>
        <v>0</v>
      </c>
    </row>
    <row r="13" spans="1:17" s="4" customFormat="1" x14ac:dyDescent="0.25">
      <c r="A13" s="35"/>
      <c r="B13" s="3"/>
      <c r="C13" s="86"/>
      <c r="D13" s="3"/>
      <c r="E13" s="3"/>
      <c r="F13" s="10"/>
      <c r="G13" s="11"/>
      <c r="H13" s="11"/>
      <c r="I13" s="12">
        <f>SUM(I9:I12)</f>
        <v>28863.136322999999</v>
      </c>
      <c r="J13" s="13"/>
      <c r="K13" s="81"/>
      <c r="L13" s="13"/>
      <c r="M13" s="12">
        <f>SUM(M9:M12)</f>
        <v>28439.381745000002</v>
      </c>
      <c r="N13" s="84">
        <f>SUM(N9:N12)</f>
        <v>0</v>
      </c>
      <c r="O13" s="12">
        <f>SUM(O9:O12)</f>
        <v>28439.381745000002</v>
      </c>
      <c r="P13" s="36">
        <f t="shared" si="5"/>
        <v>423.7545779999964</v>
      </c>
    </row>
    <row r="14" spans="1:17" x14ac:dyDescent="0.25">
      <c r="A14" s="32" t="s">
        <v>26</v>
      </c>
      <c r="B14" s="119" t="s">
        <v>27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20"/>
    </row>
    <row r="15" spans="1:17" ht="38.25" x14ac:dyDescent="0.25">
      <c r="A15" s="33" t="s">
        <v>28</v>
      </c>
      <c r="B15" s="2" t="s">
        <v>29</v>
      </c>
      <c r="C15" s="85" t="s">
        <v>30</v>
      </c>
      <c r="D15" s="2" t="s">
        <v>21</v>
      </c>
      <c r="E15" s="2" t="s">
        <v>31</v>
      </c>
      <c r="F15" s="7">
        <v>477.87</v>
      </c>
      <c r="G15" s="8">
        <v>30.08</v>
      </c>
      <c r="H15" s="8">
        <f t="shared" ref="H15:H17" si="7">G15*$Q$9</f>
        <v>38.30688</v>
      </c>
      <c r="I15" s="9">
        <f t="shared" ref="I15:I17" si="8">F15*H15</f>
        <v>18305.708745600001</v>
      </c>
      <c r="J15" s="5">
        <v>477.87</v>
      </c>
      <c r="K15" s="80">
        <f>'MEMORIA BM 04'!E16</f>
        <v>0</v>
      </c>
      <c r="L15" s="23">
        <f>K15+J15</f>
        <v>477.87</v>
      </c>
      <c r="M15" s="6">
        <f t="shared" ref="M15:M17" si="9">J15*H15</f>
        <v>18305.708745600001</v>
      </c>
      <c r="N15" s="83">
        <f t="shared" ref="N15:N17" si="10">H15*K15</f>
        <v>0</v>
      </c>
      <c r="O15" s="6">
        <f>N15+M15</f>
        <v>18305.708745600001</v>
      </c>
      <c r="P15" s="34">
        <f>I15-O15</f>
        <v>0</v>
      </c>
    </row>
    <row r="16" spans="1:17" ht="38.25" x14ac:dyDescent="0.25">
      <c r="A16" s="33" t="s">
        <v>32</v>
      </c>
      <c r="B16" s="2" t="s">
        <v>33</v>
      </c>
      <c r="C16" s="85" t="s">
        <v>34</v>
      </c>
      <c r="D16" s="2" t="s">
        <v>21</v>
      </c>
      <c r="E16" s="2" t="s">
        <v>31</v>
      </c>
      <c r="F16" s="7">
        <v>139.80000000000001</v>
      </c>
      <c r="G16" s="8">
        <v>63.46</v>
      </c>
      <c r="H16" s="8">
        <f t="shared" si="7"/>
        <v>80.816310000000001</v>
      </c>
      <c r="I16" s="9">
        <f t="shared" si="8"/>
        <v>11298.120138</v>
      </c>
      <c r="J16" s="5">
        <v>139.80000000000001</v>
      </c>
      <c r="K16" s="80">
        <f>'MEMORIA BM 04'!E17</f>
        <v>0</v>
      </c>
      <c r="L16" s="23">
        <f t="shared" ref="L16:L17" si="11">K16+J16</f>
        <v>139.80000000000001</v>
      </c>
      <c r="M16" s="6">
        <f t="shared" si="9"/>
        <v>11298.120138</v>
      </c>
      <c r="N16" s="83">
        <f t="shared" si="10"/>
        <v>0</v>
      </c>
      <c r="O16" s="6">
        <f t="shared" ref="O16:O17" si="12">N16+M16</f>
        <v>11298.120138</v>
      </c>
      <c r="P16" s="34">
        <f t="shared" ref="P16:P18" si="13">I16-O16</f>
        <v>0</v>
      </c>
    </row>
    <row r="17" spans="1:16" ht="38.25" x14ac:dyDescent="0.25">
      <c r="A17" s="33" t="s">
        <v>35</v>
      </c>
      <c r="B17" s="2" t="s">
        <v>29</v>
      </c>
      <c r="C17" s="85" t="s">
        <v>30</v>
      </c>
      <c r="D17" s="2" t="s">
        <v>21</v>
      </c>
      <c r="E17" s="2" t="s">
        <v>31</v>
      </c>
      <c r="F17" s="7">
        <v>244.58</v>
      </c>
      <c r="G17" s="8">
        <v>30.08</v>
      </c>
      <c r="H17" s="8">
        <f t="shared" si="7"/>
        <v>38.30688</v>
      </c>
      <c r="I17" s="9">
        <f t="shared" si="8"/>
        <v>9369.096710400001</v>
      </c>
      <c r="J17" s="5">
        <v>244.58</v>
      </c>
      <c r="K17" s="80">
        <f>'MEMORIA BM 04'!E18</f>
        <v>0</v>
      </c>
      <c r="L17" s="23">
        <f t="shared" si="11"/>
        <v>244.58</v>
      </c>
      <c r="M17" s="6">
        <f t="shared" si="9"/>
        <v>9369.096710400001</v>
      </c>
      <c r="N17" s="83">
        <f t="shared" si="10"/>
        <v>0</v>
      </c>
      <c r="O17" s="6">
        <f t="shared" si="12"/>
        <v>9369.096710400001</v>
      </c>
      <c r="P17" s="34">
        <f t="shared" si="13"/>
        <v>0</v>
      </c>
    </row>
    <row r="18" spans="1:16" x14ac:dyDescent="0.25">
      <c r="A18" s="35"/>
      <c r="B18" s="3"/>
      <c r="C18" s="86"/>
      <c r="D18" s="3"/>
      <c r="E18" s="3"/>
      <c r="F18" s="10"/>
      <c r="G18" s="11"/>
      <c r="H18" s="11"/>
      <c r="I18" s="12">
        <f>SUM(I15:I17)</f>
        <v>38972.925594</v>
      </c>
      <c r="J18" s="13"/>
      <c r="K18" s="81"/>
      <c r="L18" s="13"/>
      <c r="M18" s="12">
        <f>SUM(M15:M17)</f>
        <v>38972.925594</v>
      </c>
      <c r="N18" s="84">
        <f>SUM(N15:N17)</f>
        <v>0</v>
      </c>
      <c r="O18" s="12">
        <f>SUM(O15:O17)</f>
        <v>38972.925594</v>
      </c>
      <c r="P18" s="36">
        <f t="shared" si="13"/>
        <v>0</v>
      </c>
    </row>
    <row r="19" spans="1:16" x14ac:dyDescent="0.25">
      <c r="A19" s="32" t="s">
        <v>36</v>
      </c>
      <c r="B19" s="119" t="s">
        <v>37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20"/>
    </row>
    <row r="20" spans="1:16" ht="51" x14ac:dyDescent="0.25">
      <c r="A20" s="33" t="s">
        <v>38</v>
      </c>
      <c r="B20" s="2" t="s">
        <v>39</v>
      </c>
      <c r="C20" s="85" t="s">
        <v>40</v>
      </c>
      <c r="D20" s="2" t="s">
        <v>21</v>
      </c>
      <c r="E20" s="2" t="s">
        <v>31</v>
      </c>
      <c r="F20" s="7">
        <v>5.42</v>
      </c>
      <c r="G20" s="8">
        <v>242.41</v>
      </c>
      <c r="H20" s="8">
        <f t="shared" ref="H20:H27" si="14">G20*$Q$9</f>
        <v>308.709135</v>
      </c>
      <c r="I20" s="9">
        <f t="shared" ref="I20" si="15">F20*H20</f>
        <v>1673.2035117</v>
      </c>
      <c r="J20" s="5">
        <v>5.42</v>
      </c>
      <c r="K20" s="80">
        <f>'MEMORIA BM 04'!E20</f>
        <v>0</v>
      </c>
      <c r="L20" s="23">
        <f>K20+J20</f>
        <v>5.42</v>
      </c>
      <c r="M20" s="6">
        <f t="shared" ref="M20" si="16">J20*H20</f>
        <v>1673.2035117</v>
      </c>
      <c r="N20" s="83">
        <f t="shared" ref="N20" si="17">H20*K20</f>
        <v>0</v>
      </c>
      <c r="O20" s="6">
        <f>N20+M20</f>
        <v>1673.2035117</v>
      </c>
      <c r="P20" s="34">
        <f>I20-O20</f>
        <v>0</v>
      </c>
    </row>
    <row r="21" spans="1:16" ht="25.5" x14ac:dyDescent="0.25">
      <c r="A21" s="33" t="s">
        <v>41</v>
      </c>
      <c r="B21" s="2" t="s">
        <v>42</v>
      </c>
      <c r="C21" s="85" t="s">
        <v>43</v>
      </c>
      <c r="D21" s="2" t="s">
        <v>12</v>
      </c>
      <c r="E21" s="2" t="s">
        <v>44</v>
      </c>
      <c r="F21" s="7">
        <v>476.29</v>
      </c>
      <c r="G21" s="8">
        <v>58.96</v>
      </c>
      <c r="H21" s="8">
        <f t="shared" si="14"/>
        <v>75.085560000000001</v>
      </c>
      <c r="I21" s="9">
        <f t="shared" ref="I21:I27" si="18">F21*H21</f>
        <v>35762.501372400002</v>
      </c>
      <c r="J21" s="23">
        <v>470.8</v>
      </c>
      <c r="K21" s="80">
        <f>'MEMORIA BM 04'!E21</f>
        <v>0</v>
      </c>
      <c r="L21" s="23">
        <f t="shared" ref="L21:L27" si="19">K21+J21</f>
        <v>470.8</v>
      </c>
      <c r="M21" s="6">
        <f t="shared" ref="M21:M27" si="20">J21*H21</f>
        <v>35350.281648000004</v>
      </c>
      <c r="N21" s="83">
        <f t="shared" ref="N21:N27" si="21">H21*K21</f>
        <v>0</v>
      </c>
      <c r="O21" s="6">
        <f t="shared" ref="O21:O27" si="22">N21+M21</f>
        <v>35350.281648000004</v>
      </c>
      <c r="P21" s="34">
        <f t="shared" ref="P21:P28" si="23">I21-O21</f>
        <v>412.21972439999809</v>
      </c>
    </row>
    <row r="22" spans="1:16" ht="38.25" x14ac:dyDescent="0.25">
      <c r="A22" s="33" t="s">
        <v>45</v>
      </c>
      <c r="B22" s="2" t="s">
        <v>46</v>
      </c>
      <c r="C22" s="85" t="s">
        <v>47</v>
      </c>
      <c r="D22" s="2" t="s">
        <v>21</v>
      </c>
      <c r="E22" s="2" t="s">
        <v>48</v>
      </c>
      <c r="F22" s="7">
        <v>11.12</v>
      </c>
      <c r="G22" s="8">
        <v>15.84</v>
      </c>
      <c r="H22" s="8">
        <f t="shared" si="14"/>
        <v>20.172240000000002</v>
      </c>
      <c r="I22" s="9">
        <f t="shared" si="18"/>
        <v>224.3153088</v>
      </c>
      <c r="J22" s="5"/>
      <c r="K22" s="80">
        <f>'MEMORIA BM 04'!E22</f>
        <v>0</v>
      </c>
      <c r="L22" s="5">
        <f t="shared" si="19"/>
        <v>0</v>
      </c>
      <c r="M22" s="6">
        <f t="shared" si="20"/>
        <v>0</v>
      </c>
      <c r="N22" s="83">
        <f t="shared" si="21"/>
        <v>0</v>
      </c>
      <c r="O22" s="6">
        <f t="shared" si="22"/>
        <v>0</v>
      </c>
      <c r="P22" s="34">
        <f t="shared" si="23"/>
        <v>224.3153088</v>
      </c>
    </row>
    <row r="23" spans="1:16" ht="38.25" x14ac:dyDescent="0.25">
      <c r="A23" s="33" t="s">
        <v>49</v>
      </c>
      <c r="B23" s="2" t="s">
        <v>50</v>
      </c>
      <c r="C23" s="85" t="s">
        <v>51</v>
      </c>
      <c r="D23" s="2" t="s">
        <v>21</v>
      </c>
      <c r="E23" s="2" t="s">
        <v>48</v>
      </c>
      <c r="F23" s="7">
        <v>2763.11</v>
      </c>
      <c r="G23" s="8">
        <v>13.6</v>
      </c>
      <c r="H23" s="8">
        <f t="shared" si="14"/>
        <v>17.319600000000001</v>
      </c>
      <c r="I23" s="9">
        <f t="shared" si="18"/>
        <v>47855.959956000006</v>
      </c>
      <c r="J23" s="23">
        <v>1986.92</v>
      </c>
      <c r="K23" s="80">
        <f>'MEMORIA BM 04'!E23</f>
        <v>0</v>
      </c>
      <c r="L23" s="23">
        <f t="shared" si="19"/>
        <v>1986.92</v>
      </c>
      <c r="M23" s="6">
        <f t="shared" si="20"/>
        <v>34412.659632000003</v>
      </c>
      <c r="N23" s="83">
        <f t="shared" si="21"/>
        <v>0</v>
      </c>
      <c r="O23" s="6">
        <f t="shared" si="22"/>
        <v>34412.659632000003</v>
      </c>
      <c r="P23" s="34">
        <f t="shared" si="23"/>
        <v>13443.300324000003</v>
      </c>
    </row>
    <row r="24" spans="1:16" ht="38.25" x14ac:dyDescent="0.25">
      <c r="A24" s="33" t="s">
        <v>52</v>
      </c>
      <c r="B24" s="2" t="s">
        <v>53</v>
      </c>
      <c r="C24" s="85" t="s">
        <v>54</v>
      </c>
      <c r="D24" s="2" t="s">
        <v>21</v>
      </c>
      <c r="E24" s="2" t="s">
        <v>48</v>
      </c>
      <c r="F24" s="7">
        <v>397.04</v>
      </c>
      <c r="G24" s="8">
        <v>11.57</v>
      </c>
      <c r="H24" s="8">
        <f t="shared" si="14"/>
        <v>14.734395000000001</v>
      </c>
      <c r="I24" s="9">
        <f t="shared" si="18"/>
        <v>5850.1441908000006</v>
      </c>
      <c r="J24" s="5"/>
      <c r="K24" s="80">
        <f>'MEMORIA BM 04'!E24</f>
        <v>0</v>
      </c>
      <c r="L24" s="5">
        <f t="shared" si="19"/>
        <v>0</v>
      </c>
      <c r="M24" s="6">
        <f t="shared" si="20"/>
        <v>0</v>
      </c>
      <c r="N24" s="83">
        <f t="shared" si="21"/>
        <v>0</v>
      </c>
      <c r="O24" s="6">
        <f t="shared" si="22"/>
        <v>0</v>
      </c>
      <c r="P24" s="34">
        <f t="shared" si="23"/>
        <v>5850.1441908000006</v>
      </c>
    </row>
    <row r="25" spans="1:16" ht="38.25" x14ac:dyDescent="0.25">
      <c r="A25" s="33" t="s">
        <v>55</v>
      </c>
      <c r="B25" s="2" t="s">
        <v>56</v>
      </c>
      <c r="C25" s="85" t="s">
        <v>57</v>
      </c>
      <c r="D25" s="2" t="s">
        <v>21</v>
      </c>
      <c r="E25" s="2" t="s">
        <v>48</v>
      </c>
      <c r="F25" s="7">
        <v>437.7</v>
      </c>
      <c r="G25" s="8">
        <v>16.47</v>
      </c>
      <c r="H25" s="8">
        <f t="shared" si="14"/>
        <v>20.974544999999999</v>
      </c>
      <c r="I25" s="9">
        <f t="shared" si="18"/>
        <v>9180.5583465</v>
      </c>
      <c r="J25" s="5">
        <v>395.47</v>
      </c>
      <c r="K25" s="80">
        <f>'MEMORIA BM 04'!E25</f>
        <v>0</v>
      </c>
      <c r="L25" s="5">
        <f t="shared" si="19"/>
        <v>395.47</v>
      </c>
      <c r="M25" s="6">
        <f t="shared" si="20"/>
        <v>8294.8033111500008</v>
      </c>
      <c r="N25" s="83">
        <f t="shared" si="21"/>
        <v>0</v>
      </c>
      <c r="O25" s="6">
        <f t="shared" si="22"/>
        <v>8294.8033111500008</v>
      </c>
      <c r="P25" s="34">
        <f t="shared" si="23"/>
        <v>885.75503534999916</v>
      </c>
    </row>
    <row r="26" spans="1:16" ht="51" x14ac:dyDescent="0.25">
      <c r="A26" s="33" t="s">
        <v>58</v>
      </c>
      <c r="B26" s="2" t="s">
        <v>59</v>
      </c>
      <c r="C26" s="85" t="s">
        <v>60</v>
      </c>
      <c r="D26" s="2" t="s">
        <v>21</v>
      </c>
      <c r="E26" s="2" t="s">
        <v>31</v>
      </c>
      <c r="F26" s="7">
        <v>65.67</v>
      </c>
      <c r="G26" s="8">
        <v>301.79000000000002</v>
      </c>
      <c r="H26" s="8">
        <f t="shared" si="14"/>
        <v>384.32956500000006</v>
      </c>
      <c r="I26" s="9">
        <f t="shared" si="18"/>
        <v>25238.922533550005</v>
      </c>
      <c r="J26" s="5">
        <v>49.87</v>
      </c>
      <c r="K26" s="80">
        <f>'MEMORIA BM 04'!E26</f>
        <v>0</v>
      </c>
      <c r="L26" s="23">
        <f t="shared" si="19"/>
        <v>49.87</v>
      </c>
      <c r="M26" s="6">
        <f>J26*H26</f>
        <v>19166.515406550003</v>
      </c>
      <c r="N26" s="83">
        <f t="shared" si="21"/>
        <v>0</v>
      </c>
      <c r="O26" s="6">
        <f t="shared" si="22"/>
        <v>19166.515406550003</v>
      </c>
      <c r="P26" s="34">
        <f t="shared" si="23"/>
        <v>6072.4071270000022</v>
      </c>
    </row>
    <row r="27" spans="1:16" ht="38.25" x14ac:dyDescent="0.25">
      <c r="A27" s="33" t="s">
        <v>61</v>
      </c>
      <c r="B27" s="2" t="s">
        <v>62</v>
      </c>
      <c r="C27" s="85" t="s">
        <v>63</v>
      </c>
      <c r="D27" s="2" t="s">
        <v>21</v>
      </c>
      <c r="E27" s="2" t="s">
        <v>31</v>
      </c>
      <c r="F27" s="7">
        <v>65.67</v>
      </c>
      <c r="G27" s="8">
        <v>23.69</v>
      </c>
      <c r="H27" s="8">
        <f t="shared" si="14"/>
        <v>30.169215000000005</v>
      </c>
      <c r="I27" s="9">
        <f t="shared" si="18"/>
        <v>1981.2123490500003</v>
      </c>
      <c r="J27" s="5">
        <v>49.87</v>
      </c>
      <c r="K27" s="80">
        <f>'MEMORIA BM 04'!E27</f>
        <v>0</v>
      </c>
      <c r="L27" s="23">
        <f t="shared" si="19"/>
        <v>49.87</v>
      </c>
      <c r="M27" s="6">
        <f t="shared" si="20"/>
        <v>1504.5387520500001</v>
      </c>
      <c r="N27" s="83">
        <f t="shared" si="21"/>
        <v>0</v>
      </c>
      <c r="O27" s="6">
        <f t="shared" si="22"/>
        <v>1504.5387520500001</v>
      </c>
      <c r="P27" s="34">
        <f t="shared" si="23"/>
        <v>476.6735970000002</v>
      </c>
    </row>
    <row r="28" spans="1:16" x14ac:dyDescent="0.25">
      <c r="A28" s="35"/>
      <c r="B28" s="3"/>
      <c r="C28" s="86"/>
      <c r="D28" s="3"/>
      <c r="E28" s="3"/>
      <c r="F28" s="10"/>
      <c r="G28" s="11"/>
      <c r="H28" s="11"/>
      <c r="I28" s="12">
        <f>SUM(I20:I27)</f>
        <v>127766.8175688</v>
      </c>
      <c r="J28" s="13"/>
      <c r="K28" s="81"/>
      <c r="L28" s="13"/>
      <c r="M28" s="12">
        <f>SUM(M20:M27)</f>
        <v>100402.00226144999</v>
      </c>
      <c r="N28" s="84">
        <f>SUM(N20:N27)</f>
        <v>0</v>
      </c>
      <c r="O28" s="12">
        <f>SUM(O20:O27)</f>
        <v>100402.00226144999</v>
      </c>
      <c r="P28" s="36">
        <f t="shared" si="23"/>
        <v>27364.815307350014</v>
      </c>
    </row>
    <row r="29" spans="1:16" x14ac:dyDescent="0.25">
      <c r="A29" s="32" t="s">
        <v>64</v>
      </c>
      <c r="B29" s="119" t="s">
        <v>65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20"/>
    </row>
    <row r="30" spans="1:16" ht="76.5" x14ac:dyDescent="0.25">
      <c r="A30" s="33" t="s">
        <v>66</v>
      </c>
      <c r="B30" s="2" t="s">
        <v>67</v>
      </c>
      <c r="C30" s="85" t="s">
        <v>68</v>
      </c>
      <c r="D30" s="2" t="s">
        <v>21</v>
      </c>
      <c r="E30" s="2" t="s">
        <v>69</v>
      </c>
      <c r="F30" s="7">
        <v>1094.53</v>
      </c>
      <c r="G30" s="8">
        <v>52.58</v>
      </c>
      <c r="H30" s="8">
        <f t="shared" ref="H30:H32" si="24">G30*$Q$9</f>
        <v>66.960629999999995</v>
      </c>
      <c r="I30" s="9">
        <f t="shared" ref="I30" si="25">F30*H30</f>
        <v>73290.418353899993</v>
      </c>
      <c r="J30" s="5">
        <v>870.06700000000001</v>
      </c>
      <c r="K30" s="80">
        <v>0</v>
      </c>
      <c r="L30" s="5">
        <f>K30+J30</f>
        <v>870.06700000000001</v>
      </c>
      <c r="M30" s="6">
        <f t="shared" ref="M30:M31" si="26">J30*H30</f>
        <v>58260.234462209999</v>
      </c>
      <c r="N30" s="83">
        <f t="shared" ref="N30:N31" si="27">H30*K30</f>
        <v>0</v>
      </c>
      <c r="O30" s="6">
        <f>N30+M30</f>
        <v>58260.234462209999</v>
      </c>
      <c r="P30" s="34">
        <f>I30-O30</f>
        <v>15030.183891689994</v>
      </c>
    </row>
    <row r="31" spans="1:16" ht="51" x14ac:dyDescent="0.25">
      <c r="A31" s="33" t="s">
        <v>70</v>
      </c>
      <c r="B31" s="2" t="s">
        <v>71</v>
      </c>
      <c r="C31" s="85" t="s">
        <v>72</v>
      </c>
      <c r="D31" s="2" t="s">
        <v>21</v>
      </c>
      <c r="E31" s="2" t="s">
        <v>69</v>
      </c>
      <c r="F31" s="7">
        <v>16</v>
      </c>
      <c r="G31" s="8">
        <v>133.55000000000001</v>
      </c>
      <c r="H31" s="8">
        <f t="shared" si="24"/>
        <v>170.07592500000001</v>
      </c>
      <c r="I31" s="9">
        <f t="shared" ref="I31:I32" si="28">F31*H31</f>
        <v>2721.2148000000002</v>
      </c>
      <c r="J31" s="5">
        <v>16</v>
      </c>
      <c r="K31" s="80">
        <f>'MEMORIA BM 04'!E31</f>
        <v>0</v>
      </c>
      <c r="L31" s="5">
        <f t="shared" ref="L31:L32" si="29">K31+J31</f>
        <v>16</v>
      </c>
      <c r="M31" s="6">
        <f t="shared" si="26"/>
        <v>2721.2148000000002</v>
      </c>
      <c r="N31" s="83">
        <f t="shared" si="27"/>
        <v>0</v>
      </c>
      <c r="O31" s="6">
        <f t="shared" ref="O31:O32" si="30">N31+M31</f>
        <v>2721.2148000000002</v>
      </c>
      <c r="P31" s="34">
        <f t="shared" ref="P31:P33" si="31">I31-O31</f>
        <v>0</v>
      </c>
    </row>
    <row r="32" spans="1:16" ht="76.5" x14ac:dyDescent="0.25">
      <c r="A32" s="33" t="s">
        <v>73</v>
      </c>
      <c r="B32" s="2" t="s">
        <v>67</v>
      </c>
      <c r="C32" s="85" t="s">
        <v>68</v>
      </c>
      <c r="D32" s="2" t="s">
        <v>21</v>
      </c>
      <c r="E32" s="2" t="s">
        <v>69</v>
      </c>
      <c r="F32" s="7">
        <v>183</v>
      </c>
      <c r="G32" s="8">
        <v>52.58</v>
      </c>
      <c r="H32" s="8">
        <f t="shared" si="24"/>
        <v>66.960629999999995</v>
      </c>
      <c r="I32" s="9">
        <f t="shared" si="28"/>
        <v>12253.795289999998</v>
      </c>
      <c r="J32" s="5"/>
      <c r="K32" s="80">
        <f>'MEMORIA BM 04'!E32</f>
        <v>0</v>
      </c>
      <c r="L32" s="5">
        <f t="shared" si="29"/>
        <v>0</v>
      </c>
      <c r="M32" s="6">
        <f t="shared" ref="M32" si="32">J32*H32</f>
        <v>0</v>
      </c>
      <c r="N32" s="83">
        <f t="shared" ref="N32" si="33">H32*K32</f>
        <v>0</v>
      </c>
      <c r="O32" s="6">
        <f t="shared" si="30"/>
        <v>0</v>
      </c>
      <c r="P32" s="34">
        <f t="shared" si="31"/>
        <v>12253.795289999998</v>
      </c>
    </row>
    <row r="33" spans="1:16" x14ac:dyDescent="0.25">
      <c r="A33" s="35"/>
      <c r="B33" s="3"/>
      <c r="C33" s="86"/>
      <c r="D33" s="3"/>
      <c r="E33" s="3"/>
      <c r="F33" s="10"/>
      <c r="G33" s="11"/>
      <c r="H33" s="11"/>
      <c r="I33" s="12">
        <f>SUM(I30:I32)</f>
        <v>88265.428443899989</v>
      </c>
      <c r="J33" s="13"/>
      <c r="K33" s="81"/>
      <c r="L33" s="13"/>
      <c r="M33" s="12">
        <f>SUM(M30:M32)</f>
        <v>60981.449262210001</v>
      </c>
      <c r="N33" s="84">
        <f>SUM(N30:N32)</f>
        <v>0</v>
      </c>
      <c r="O33" s="12">
        <f>SUM(O30:O32)</f>
        <v>60981.449262210001</v>
      </c>
      <c r="P33" s="36">
        <f t="shared" si="31"/>
        <v>27283.979181689989</v>
      </c>
    </row>
    <row r="34" spans="1:16" x14ac:dyDescent="0.25">
      <c r="A34" s="32" t="s">
        <v>74</v>
      </c>
      <c r="B34" s="119" t="s">
        <v>75</v>
      </c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20"/>
    </row>
    <row r="35" spans="1:16" ht="38.25" x14ac:dyDescent="0.25">
      <c r="A35" s="33" t="s">
        <v>76</v>
      </c>
      <c r="B35" s="2" t="s">
        <v>77</v>
      </c>
      <c r="C35" s="85" t="s">
        <v>78</v>
      </c>
      <c r="D35" s="2" t="s">
        <v>12</v>
      </c>
      <c r="E35" s="2" t="s">
        <v>13</v>
      </c>
      <c r="F35" s="7">
        <v>774.39</v>
      </c>
      <c r="G35" s="8">
        <v>49.07</v>
      </c>
      <c r="H35" s="8">
        <f t="shared" ref="H35:H46" si="34">G35*$Q$9</f>
        <v>62.490645000000001</v>
      </c>
      <c r="I35" s="9">
        <f t="shared" ref="I35" si="35">F35*H35</f>
        <v>48392.130581550002</v>
      </c>
      <c r="J35" s="5">
        <v>668.71</v>
      </c>
      <c r="K35" s="80">
        <v>0</v>
      </c>
      <c r="L35" s="5">
        <f>K35+J35</f>
        <v>668.71</v>
      </c>
      <c r="M35" s="6">
        <f t="shared" ref="M35" si="36">J35*H35</f>
        <v>41788.119217949999</v>
      </c>
      <c r="N35" s="83">
        <f t="shared" ref="N35" si="37">H35*K35</f>
        <v>0</v>
      </c>
      <c r="O35" s="6">
        <f>N35+M35</f>
        <v>41788.119217949999</v>
      </c>
      <c r="P35" s="34">
        <f>I35-O35</f>
        <v>6604.0113636000024</v>
      </c>
    </row>
    <row r="36" spans="1:16" ht="51" x14ac:dyDescent="0.25">
      <c r="A36" s="33" t="s">
        <v>79</v>
      </c>
      <c r="B36" s="2" t="s">
        <v>80</v>
      </c>
      <c r="C36" s="85" t="s">
        <v>81</v>
      </c>
      <c r="D36" s="2" t="s">
        <v>21</v>
      </c>
      <c r="E36" s="2" t="s">
        <v>48</v>
      </c>
      <c r="F36" s="7">
        <v>13.48</v>
      </c>
      <c r="G36" s="8">
        <v>15.87</v>
      </c>
      <c r="H36" s="8">
        <f t="shared" si="34"/>
        <v>20.210445</v>
      </c>
      <c r="I36" s="9">
        <f t="shared" ref="I36:I44" si="38">F36*H36</f>
        <v>272.43679860000003</v>
      </c>
      <c r="J36" s="5">
        <v>8.0399999999999991</v>
      </c>
      <c r="K36" s="80">
        <v>0</v>
      </c>
      <c r="L36" s="5">
        <f t="shared" ref="L36:L44" si="39">K36+J36</f>
        <v>8.0399999999999991</v>
      </c>
      <c r="M36" s="6">
        <f t="shared" ref="M36:M44" si="40">J36*H36</f>
        <v>162.49197779999997</v>
      </c>
      <c r="N36" s="83">
        <f t="shared" ref="N36:N44" si="41">H36*K36</f>
        <v>0</v>
      </c>
      <c r="O36" s="6">
        <f t="shared" ref="O36:O44" si="42">N36+M36</f>
        <v>162.49197779999997</v>
      </c>
      <c r="P36" s="34">
        <f t="shared" ref="P36:P44" si="43">I36-O36</f>
        <v>109.94482080000006</v>
      </c>
    </row>
    <row r="37" spans="1:16" ht="51" x14ac:dyDescent="0.25">
      <c r="A37" s="33" t="s">
        <v>82</v>
      </c>
      <c r="B37" s="2" t="s">
        <v>83</v>
      </c>
      <c r="C37" s="85" t="s">
        <v>84</v>
      </c>
      <c r="D37" s="2" t="s">
        <v>21</v>
      </c>
      <c r="E37" s="2" t="s">
        <v>48</v>
      </c>
      <c r="F37" s="7">
        <v>2421.11</v>
      </c>
      <c r="G37" s="8">
        <v>13.56</v>
      </c>
      <c r="H37" s="8">
        <f t="shared" si="34"/>
        <v>17.268660000000001</v>
      </c>
      <c r="I37" s="9">
        <f t="shared" si="38"/>
        <v>41809.325412600003</v>
      </c>
      <c r="J37" s="5">
        <v>2421.11</v>
      </c>
      <c r="K37" s="80">
        <v>0</v>
      </c>
      <c r="L37" s="5">
        <f t="shared" si="39"/>
        <v>2421.11</v>
      </c>
      <c r="M37" s="6">
        <f t="shared" si="40"/>
        <v>41809.325412600003</v>
      </c>
      <c r="N37" s="83">
        <f t="shared" si="41"/>
        <v>0</v>
      </c>
      <c r="O37" s="6">
        <f t="shared" si="42"/>
        <v>41809.325412600003</v>
      </c>
      <c r="P37" s="34">
        <f t="shared" si="43"/>
        <v>0</v>
      </c>
    </row>
    <row r="38" spans="1:16" ht="51" x14ac:dyDescent="0.25">
      <c r="A38" s="33" t="s">
        <v>85</v>
      </c>
      <c r="B38" s="2" t="s">
        <v>86</v>
      </c>
      <c r="C38" s="85" t="s">
        <v>87</v>
      </c>
      <c r="D38" s="2" t="s">
        <v>21</v>
      </c>
      <c r="E38" s="2" t="s">
        <v>48</v>
      </c>
      <c r="F38" s="7">
        <v>632.69000000000005</v>
      </c>
      <c r="G38" s="8">
        <v>11.47</v>
      </c>
      <c r="H38" s="8">
        <f t="shared" si="34"/>
        <v>14.607045000000001</v>
      </c>
      <c r="I38" s="9">
        <f t="shared" si="38"/>
        <v>9241.731301050002</v>
      </c>
      <c r="J38" s="5">
        <v>447.35</v>
      </c>
      <c r="K38" s="80">
        <v>0</v>
      </c>
      <c r="L38" s="5">
        <f t="shared" si="39"/>
        <v>447.35</v>
      </c>
      <c r="M38" s="6">
        <f t="shared" si="40"/>
        <v>6534.4615807500013</v>
      </c>
      <c r="N38" s="83">
        <f t="shared" si="41"/>
        <v>0</v>
      </c>
      <c r="O38" s="6">
        <f t="shared" si="42"/>
        <v>6534.4615807500013</v>
      </c>
      <c r="P38" s="34">
        <f t="shared" si="43"/>
        <v>2707.2697203000007</v>
      </c>
    </row>
    <row r="39" spans="1:16" ht="51" x14ac:dyDescent="0.25">
      <c r="A39" s="33" t="s">
        <v>88</v>
      </c>
      <c r="B39" s="2" t="s">
        <v>89</v>
      </c>
      <c r="C39" s="85" t="s">
        <v>90</v>
      </c>
      <c r="D39" s="2" t="s">
        <v>21</v>
      </c>
      <c r="E39" s="2" t="s">
        <v>48</v>
      </c>
      <c r="F39" s="7">
        <v>729.34</v>
      </c>
      <c r="G39" s="8">
        <v>16.5</v>
      </c>
      <c r="H39" s="8">
        <f t="shared" si="34"/>
        <v>21.01275</v>
      </c>
      <c r="I39" s="9">
        <f t="shared" si="38"/>
        <v>15325.439085000002</v>
      </c>
      <c r="J39" s="5">
        <v>729.34</v>
      </c>
      <c r="K39" s="80">
        <v>0</v>
      </c>
      <c r="L39" s="5">
        <f t="shared" si="39"/>
        <v>729.34</v>
      </c>
      <c r="M39" s="6">
        <f t="shared" si="40"/>
        <v>15325.439085000002</v>
      </c>
      <c r="N39" s="83">
        <f t="shared" si="41"/>
        <v>0</v>
      </c>
      <c r="O39" s="6">
        <f t="shared" si="42"/>
        <v>15325.439085000002</v>
      </c>
      <c r="P39" s="34">
        <f t="shared" si="43"/>
        <v>0</v>
      </c>
    </row>
    <row r="40" spans="1:16" ht="51" x14ac:dyDescent="0.25">
      <c r="A40" s="33" t="s">
        <v>91</v>
      </c>
      <c r="B40" s="2" t="s">
        <v>92</v>
      </c>
      <c r="C40" s="85" t="s">
        <v>93</v>
      </c>
      <c r="D40" s="2" t="s">
        <v>21</v>
      </c>
      <c r="E40" s="2" t="s">
        <v>31</v>
      </c>
      <c r="F40" s="7">
        <v>39.65</v>
      </c>
      <c r="G40" s="8">
        <v>298.27999999999997</v>
      </c>
      <c r="H40" s="8">
        <f t="shared" si="34"/>
        <v>379.85957999999999</v>
      </c>
      <c r="I40" s="9">
        <f t="shared" si="38"/>
        <v>15061.432347</v>
      </c>
      <c r="J40" s="5">
        <v>39.65</v>
      </c>
      <c r="K40" s="80">
        <v>0</v>
      </c>
      <c r="L40" s="5">
        <f t="shared" si="39"/>
        <v>39.65</v>
      </c>
      <c r="M40" s="6">
        <f t="shared" si="40"/>
        <v>15061.432347</v>
      </c>
      <c r="N40" s="83">
        <f t="shared" si="41"/>
        <v>0</v>
      </c>
      <c r="O40" s="6">
        <f t="shared" si="42"/>
        <v>15061.432347</v>
      </c>
      <c r="P40" s="34">
        <f t="shared" si="43"/>
        <v>0</v>
      </c>
    </row>
    <row r="41" spans="1:16" ht="38.25" x14ac:dyDescent="0.25">
      <c r="A41" s="33" t="s">
        <v>94</v>
      </c>
      <c r="B41" s="2" t="s">
        <v>62</v>
      </c>
      <c r="C41" s="85" t="s">
        <v>63</v>
      </c>
      <c r="D41" s="2" t="s">
        <v>21</v>
      </c>
      <c r="E41" s="2" t="s">
        <v>31</v>
      </c>
      <c r="F41" s="7">
        <v>39.65</v>
      </c>
      <c r="G41" s="8">
        <v>23.69</v>
      </c>
      <c r="H41" s="8">
        <f t="shared" si="34"/>
        <v>30.169215000000005</v>
      </c>
      <c r="I41" s="9">
        <f t="shared" si="38"/>
        <v>1196.2093747500001</v>
      </c>
      <c r="J41" s="5">
        <v>39.65</v>
      </c>
      <c r="K41" s="80">
        <v>0</v>
      </c>
      <c r="L41" s="5">
        <f t="shared" si="39"/>
        <v>39.65</v>
      </c>
      <c r="M41" s="6">
        <f t="shared" si="40"/>
        <v>1196.2093747500001</v>
      </c>
      <c r="N41" s="83">
        <f t="shared" si="41"/>
        <v>0</v>
      </c>
      <c r="O41" s="6">
        <f t="shared" si="42"/>
        <v>1196.2093747500001</v>
      </c>
      <c r="P41" s="34">
        <f t="shared" si="43"/>
        <v>0</v>
      </c>
    </row>
    <row r="42" spans="1:16" ht="51" x14ac:dyDescent="0.25">
      <c r="A42" s="33" t="s">
        <v>95</v>
      </c>
      <c r="B42" s="2" t="s">
        <v>96</v>
      </c>
      <c r="C42" s="87" t="s">
        <v>97</v>
      </c>
      <c r="D42" s="2" t="s">
        <v>21</v>
      </c>
      <c r="E42" s="2" t="s">
        <v>69</v>
      </c>
      <c r="F42" s="7">
        <v>111.31</v>
      </c>
      <c r="G42" s="8">
        <v>129.72</v>
      </c>
      <c r="H42" s="8">
        <f t="shared" si="34"/>
        <v>165.19842</v>
      </c>
      <c r="I42" s="9">
        <f t="shared" si="38"/>
        <v>18388.236130199999</v>
      </c>
      <c r="J42" s="5">
        <v>80.819999999999993</v>
      </c>
      <c r="K42" s="80">
        <v>0</v>
      </c>
      <c r="L42" s="5">
        <f t="shared" si="39"/>
        <v>80.819999999999993</v>
      </c>
      <c r="M42" s="6">
        <f t="shared" si="40"/>
        <v>13351.336304399998</v>
      </c>
      <c r="N42" s="83">
        <f t="shared" si="41"/>
        <v>0</v>
      </c>
      <c r="O42" s="6">
        <f t="shared" si="42"/>
        <v>13351.336304399998</v>
      </c>
      <c r="P42" s="34">
        <f t="shared" si="43"/>
        <v>5036.8998258000011</v>
      </c>
    </row>
    <row r="43" spans="1:16" ht="25.5" x14ac:dyDescent="0.25">
      <c r="A43" s="33" t="s">
        <v>98</v>
      </c>
      <c r="B43" s="2" t="s">
        <v>99</v>
      </c>
      <c r="C43" s="85" t="s">
        <v>100</v>
      </c>
      <c r="D43" s="2" t="s">
        <v>21</v>
      </c>
      <c r="E43" s="2" t="s">
        <v>22</v>
      </c>
      <c r="F43" s="7">
        <v>25</v>
      </c>
      <c r="G43" s="8">
        <v>25.84</v>
      </c>
      <c r="H43" s="8">
        <f t="shared" si="34"/>
        <v>32.907240000000002</v>
      </c>
      <c r="I43" s="9">
        <f t="shared" si="38"/>
        <v>822.68100000000004</v>
      </c>
      <c r="J43" s="5">
        <v>25</v>
      </c>
      <c r="K43" s="80">
        <v>0</v>
      </c>
      <c r="L43" s="5">
        <f t="shared" si="39"/>
        <v>25</v>
      </c>
      <c r="M43" s="6">
        <f t="shared" si="40"/>
        <v>822.68100000000004</v>
      </c>
      <c r="N43" s="83">
        <f t="shared" si="41"/>
        <v>0</v>
      </c>
      <c r="O43" s="6">
        <f t="shared" si="42"/>
        <v>822.68100000000004</v>
      </c>
      <c r="P43" s="34">
        <f t="shared" si="43"/>
        <v>0</v>
      </c>
    </row>
    <row r="44" spans="1:16" ht="25.5" x14ac:dyDescent="0.25">
      <c r="A44" s="33" t="s">
        <v>101</v>
      </c>
      <c r="B44" s="2" t="s">
        <v>102</v>
      </c>
      <c r="C44" s="85" t="s">
        <v>103</v>
      </c>
      <c r="D44" s="2" t="s">
        <v>21</v>
      </c>
      <c r="E44" s="2" t="s">
        <v>22</v>
      </c>
      <c r="F44" s="7">
        <v>101.6</v>
      </c>
      <c r="G44" s="8">
        <v>35.19</v>
      </c>
      <c r="H44" s="8">
        <f t="shared" si="34"/>
        <v>44.814464999999998</v>
      </c>
      <c r="I44" s="9">
        <f t="shared" si="38"/>
        <v>4553.1496439999992</v>
      </c>
      <c r="J44" s="5">
        <v>77.5</v>
      </c>
      <c r="K44" s="80">
        <v>0</v>
      </c>
      <c r="L44" s="5">
        <f t="shared" si="39"/>
        <v>77.5</v>
      </c>
      <c r="M44" s="6">
        <f t="shared" si="40"/>
        <v>3473.1210375000001</v>
      </c>
      <c r="N44" s="83">
        <f t="shared" si="41"/>
        <v>0</v>
      </c>
      <c r="O44" s="6">
        <f t="shared" si="42"/>
        <v>3473.1210375000001</v>
      </c>
      <c r="P44" s="34">
        <f t="shared" si="43"/>
        <v>1080.0286064999991</v>
      </c>
    </row>
    <row r="45" spans="1:16" x14ac:dyDescent="0.25">
      <c r="A45" s="32" t="s">
        <v>104</v>
      </c>
      <c r="B45" s="119" t="s">
        <v>105</v>
      </c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20"/>
    </row>
    <row r="46" spans="1:16" ht="51" x14ac:dyDescent="0.25">
      <c r="A46" s="33" t="s">
        <v>106</v>
      </c>
      <c r="B46" s="2" t="s">
        <v>107</v>
      </c>
      <c r="C46" s="85" t="s">
        <v>108</v>
      </c>
      <c r="D46" s="2" t="s">
        <v>12</v>
      </c>
      <c r="E46" s="2" t="s">
        <v>13</v>
      </c>
      <c r="F46" s="7">
        <v>382.72</v>
      </c>
      <c r="G46" s="8">
        <v>159.99</v>
      </c>
      <c r="H46" s="8">
        <f t="shared" si="34"/>
        <v>203.74726500000003</v>
      </c>
      <c r="I46" s="9">
        <f t="shared" ref="I46" si="44">F46*H46</f>
        <v>77978.153260800013</v>
      </c>
      <c r="J46" s="5">
        <v>375.25</v>
      </c>
      <c r="K46" s="80">
        <v>0</v>
      </c>
      <c r="L46" s="5">
        <f t="shared" ref="L46" si="45">K46+J46</f>
        <v>375.25</v>
      </c>
      <c r="M46" s="6">
        <f t="shared" ref="M46" si="46">J46*H46</f>
        <v>76456.161191250008</v>
      </c>
      <c r="N46" s="83">
        <f t="shared" ref="N46" si="47">H46*K46</f>
        <v>0</v>
      </c>
      <c r="O46" s="6">
        <f t="shared" ref="O46" si="48">N46+M46</f>
        <v>76456.161191250008</v>
      </c>
      <c r="P46" s="34">
        <f t="shared" ref="P46:P47" si="49">I46-O46</f>
        <v>1521.9920695500041</v>
      </c>
    </row>
    <row r="47" spans="1:16" x14ac:dyDescent="0.25">
      <c r="A47" s="35"/>
      <c r="B47" s="3"/>
      <c r="C47" s="86"/>
      <c r="D47" s="3"/>
      <c r="E47" s="3"/>
      <c r="F47" s="10"/>
      <c r="G47" s="11"/>
      <c r="H47" s="11"/>
      <c r="I47" s="12">
        <f>SUM(I35:I46)</f>
        <v>233040.92493555002</v>
      </c>
      <c r="J47" s="13"/>
      <c r="K47" s="81"/>
      <c r="L47" s="13"/>
      <c r="M47" s="12">
        <f>SUM(M35:M46)</f>
        <v>215980.778529</v>
      </c>
      <c r="N47" s="84">
        <f>SUM(N35:N46)</f>
        <v>0</v>
      </c>
      <c r="O47" s="12">
        <f>SUM(O35:O46)</f>
        <v>215980.778529</v>
      </c>
      <c r="P47" s="36">
        <f t="shared" si="49"/>
        <v>17060.146406550019</v>
      </c>
    </row>
    <row r="48" spans="1:16" x14ac:dyDescent="0.25">
      <c r="A48" s="32" t="s">
        <v>109</v>
      </c>
      <c r="B48" s="119" t="s">
        <v>110</v>
      </c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120"/>
    </row>
    <row r="49" spans="1:16" ht="38.25" x14ac:dyDescent="0.25">
      <c r="A49" s="77" t="s">
        <v>111</v>
      </c>
      <c r="B49" s="2" t="s">
        <v>112</v>
      </c>
      <c r="C49" s="85" t="s">
        <v>113</v>
      </c>
      <c r="D49" s="2" t="s">
        <v>21</v>
      </c>
      <c r="E49" s="2" t="s">
        <v>69</v>
      </c>
      <c r="F49" s="7">
        <v>876.48</v>
      </c>
      <c r="G49" s="8">
        <v>25.58</v>
      </c>
      <c r="H49" s="8">
        <f t="shared" ref="H49:H58" si="50">G49*$Q$9</f>
        <v>32.576129999999999</v>
      </c>
      <c r="I49" s="9">
        <f t="shared" ref="I49" si="51">F49*H49</f>
        <v>28552.326422400001</v>
      </c>
      <c r="J49" s="5"/>
      <c r="K49" s="91">
        <f>'MEMORIA COBERTA'!D13</f>
        <v>586.1</v>
      </c>
      <c r="L49" s="5">
        <f t="shared" ref="L49" si="52">K49+J49</f>
        <v>586.1</v>
      </c>
      <c r="M49" s="6">
        <f t="shared" ref="M49" si="53">J49*H49</f>
        <v>0</v>
      </c>
      <c r="N49" s="83">
        <f t="shared" ref="N49" si="54">H49*K49</f>
        <v>19092.869793000002</v>
      </c>
      <c r="O49" s="6">
        <f t="shared" ref="O49" si="55">N49+M49</f>
        <v>19092.869793000002</v>
      </c>
      <c r="P49" s="34">
        <f t="shared" ref="P49" si="56">I49-O49</f>
        <v>9459.4566293999997</v>
      </c>
    </row>
    <row r="50" spans="1:16" ht="51" x14ac:dyDescent="0.25">
      <c r="A50" s="77" t="s">
        <v>114</v>
      </c>
      <c r="B50" s="2" t="s">
        <v>115</v>
      </c>
      <c r="C50" s="85" t="s">
        <v>116</v>
      </c>
      <c r="D50" s="2" t="s">
        <v>21</v>
      </c>
      <c r="E50" s="2" t="s">
        <v>117</v>
      </c>
      <c r="F50" s="7">
        <v>18</v>
      </c>
      <c r="G50" s="8">
        <v>1497.33</v>
      </c>
      <c r="H50" s="8">
        <f t="shared" si="50"/>
        <v>1906.849755</v>
      </c>
      <c r="I50" s="9">
        <f t="shared" ref="I50:I58" si="57">F50*H50</f>
        <v>34323.295590000002</v>
      </c>
      <c r="J50" s="5"/>
      <c r="K50" s="81">
        <v>10</v>
      </c>
      <c r="L50" s="5">
        <f t="shared" ref="L50:L58" si="58">K50+J50</f>
        <v>10</v>
      </c>
      <c r="M50" s="6">
        <f t="shared" ref="M50:M58" si="59">J50*H50</f>
        <v>0</v>
      </c>
      <c r="N50" s="83">
        <f t="shared" ref="N50:N58" si="60">H50*K50</f>
        <v>19068.49755</v>
      </c>
      <c r="O50" s="6">
        <f t="shared" ref="O50:O58" si="61">N50+M50</f>
        <v>19068.49755</v>
      </c>
      <c r="P50" s="34">
        <f t="shared" ref="P50:P59" si="62">I50-O50</f>
        <v>15254.798040000001</v>
      </c>
    </row>
    <row r="51" spans="1:16" ht="51" x14ac:dyDescent="0.25">
      <c r="A51" s="77" t="s">
        <v>118</v>
      </c>
      <c r="B51" s="2" t="s">
        <v>119</v>
      </c>
      <c r="C51" s="85" t="s">
        <v>120</v>
      </c>
      <c r="D51" s="2" t="s">
        <v>21</v>
      </c>
      <c r="E51" s="2" t="s">
        <v>117</v>
      </c>
      <c r="F51" s="7">
        <v>4</v>
      </c>
      <c r="G51" s="8">
        <v>1692.77</v>
      </c>
      <c r="H51" s="8">
        <f t="shared" si="50"/>
        <v>2155.7425950000002</v>
      </c>
      <c r="I51" s="9">
        <f t="shared" si="57"/>
        <v>8622.9703800000007</v>
      </c>
      <c r="J51" s="5"/>
      <c r="K51" s="81"/>
      <c r="L51" s="5">
        <f t="shared" si="58"/>
        <v>0</v>
      </c>
      <c r="M51" s="6">
        <f t="shared" si="59"/>
        <v>0</v>
      </c>
      <c r="N51" s="83">
        <f t="shared" si="60"/>
        <v>0</v>
      </c>
      <c r="O51" s="6">
        <f t="shared" si="61"/>
        <v>0</v>
      </c>
      <c r="P51" s="34">
        <f t="shared" si="62"/>
        <v>8622.9703800000007</v>
      </c>
    </row>
    <row r="52" spans="1:16" ht="51" x14ac:dyDescent="0.25">
      <c r="A52" s="77" t="s">
        <v>121</v>
      </c>
      <c r="B52" s="2" t="s">
        <v>122</v>
      </c>
      <c r="C52" s="85" t="s">
        <v>123</v>
      </c>
      <c r="D52" s="2" t="s">
        <v>21</v>
      </c>
      <c r="E52" s="2" t="s">
        <v>22</v>
      </c>
      <c r="F52" s="7">
        <v>98.35</v>
      </c>
      <c r="G52" s="8">
        <v>14.4</v>
      </c>
      <c r="H52" s="8">
        <f t="shared" si="50"/>
        <v>18.3384</v>
      </c>
      <c r="I52" s="9">
        <f t="shared" si="57"/>
        <v>1803.5816399999999</v>
      </c>
      <c r="J52" s="5"/>
      <c r="K52" s="81"/>
      <c r="L52" s="5">
        <f t="shared" si="58"/>
        <v>0</v>
      </c>
      <c r="M52" s="6">
        <f t="shared" si="59"/>
        <v>0</v>
      </c>
      <c r="N52" s="83">
        <f t="shared" si="60"/>
        <v>0</v>
      </c>
      <c r="O52" s="6">
        <f t="shared" si="61"/>
        <v>0</v>
      </c>
      <c r="P52" s="34">
        <f t="shared" si="62"/>
        <v>1803.5816399999999</v>
      </c>
    </row>
    <row r="53" spans="1:16" ht="63.75" x14ac:dyDescent="0.25">
      <c r="A53" s="77" t="s">
        <v>124</v>
      </c>
      <c r="B53" s="2" t="s">
        <v>125</v>
      </c>
      <c r="C53" s="85" t="s">
        <v>126</v>
      </c>
      <c r="D53" s="2" t="s">
        <v>21</v>
      </c>
      <c r="E53" s="2" t="s">
        <v>69</v>
      </c>
      <c r="F53" s="7">
        <v>876.48</v>
      </c>
      <c r="G53" s="8">
        <v>50.08</v>
      </c>
      <c r="H53" s="8">
        <f t="shared" si="50"/>
        <v>63.776879999999998</v>
      </c>
      <c r="I53" s="9">
        <f t="shared" si="57"/>
        <v>55899.159782399998</v>
      </c>
      <c r="J53" s="5"/>
      <c r="K53" s="91">
        <f>K49</f>
        <v>586.1</v>
      </c>
      <c r="L53" s="5">
        <f t="shared" si="58"/>
        <v>586.1</v>
      </c>
      <c r="M53" s="6">
        <f t="shared" si="59"/>
        <v>0</v>
      </c>
      <c r="N53" s="83">
        <f t="shared" si="60"/>
        <v>37379.629368000002</v>
      </c>
      <c r="O53" s="6">
        <f t="shared" si="61"/>
        <v>37379.629368000002</v>
      </c>
      <c r="P53" s="34">
        <f t="shared" si="62"/>
        <v>18519.530414399997</v>
      </c>
    </row>
    <row r="54" spans="1:16" ht="25.5" x14ac:dyDescent="0.25">
      <c r="A54" s="77" t="s">
        <v>127</v>
      </c>
      <c r="B54" s="2" t="s">
        <v>128</v>
      </c>
      <c r="C54" s="85" t="s">
        <v>129</v>
      </c>
      <c r="D54" s="2" t="s">
        <v>21</v>
      </c>
      <c r="E54" s="2" t="s">
        <v>69</v>
      </c>
      <c r="F54" s="7">
        <v>653.14</v>
      </c>
      <c r="G54" s="8">
        <v>27.72</v>
      </c>
      <c r="H54" s="8">
        <f t="shared" si="50"/>
        <v>35.30142</v>
      </c>
      <c r="I54" s="9">
        <f t="shared" si="57"/>
        <v>23056.769458800001</v>
      </c>
      <c r="J54" s="78"/>
      <c r="K54" s="81"/>
      <c r="L54" s="5">
        <f t="shared" si="58"/>
        <v>0</v>
      </c>
      <c r="M54" s="6">
        <f t="shared" si="59"/>
        <v>0</v>
      </c>
      <c r="N54" s="83">
        <f t="shared" si="60"/>
        <v>0</v>
      </c>
      <c r="O54" s="6">
        <f t="shared" si="61"/>
        <v>0</v>
      </c>
      <c r="P54" s="34">
        <f t="shared" si="62"/>
        <v>23056.769458800001</v>
      </c>
    </row>
    <row r="55" spans="1:16" ht="39" customHeight="1" x14ac:dyDescent="0.25">
      <c r="A55" s="77" t="s">
        <v>130</v>
      </c>
      <c r="B55" s="2" t="s">
        <v>131</v>
      </c>
      <c r="C55" s="87" t="s">
        <v>132</v>
      </c>
      <c r="D55" s="2" t="s">
        <v>12</v>
      </c>
      <c r="E55" s="2" t="s">
        <v>133</v>
      </c>
      <c r="F55" s="7">
        <v>91.65</v>
      </c>
      <c r="G55" s="8">
        <v>54.54</v>
      </c>
      <c r="H55" s="8">
        <f t="shared" si="50"/>
        <v>69.456690000000009</v>
      </c>
      <c r="I55" s="9">
        <f t="shared" si="57"/>
        <v>6365.7056385000014</v>
      </c>
      <c r="J55" s="5"/>
      <c r="K55" s="81">
        <f>'VERGAS E CONTRAVERGAS'!E3</f>
        <v>81.06</v>
      </c>
      <c r="L55" s="81">
        <f t="shared" si="58"/>
        <v>81.06</v>
      </c>
      <c r="M55" s="6">
        <f t="shared" si="59"/>
        <v>0</v>
      </c>
      <c r="N55" s="83">
        <f t="shared" si="60"/>
        <v>5630.1592914000012</v>
      </c>
      <c r="O55" s="6">
        <f t="shared" si="61"/>
        <v>5630.1592914000012</v>
      </c>
      <c r="P55" s="34">
        <f t="shared" si="62"/>
        <v>735.54634710000028</v>
      </c>
    </row>
    <row r="56" spans="1:16" ht="38.25" x14ac:dyDescent="0.25">
      <c r="A56" s="77" t="s">
        <v>134</v>
      </c>
      <c r="B56" s="2" t="s">
        <v>135</v>
      </c>
      <c r="C56" s="85" t="s">
        <v>136</v>
      </c>
      <c r="D56" s="2" t="s">
        <v>21</v>
      </c>
      <c r="E56" s="2" t="s">
        <v>22</v>
      </c>
      <c r="F56" s="7">
        <v>178.01</v>
      </c>
      <c r="G56" s="8">
        <v>70.53</v>
      </c>
      <c r="H56" s="8">
        <f t="shared" si="50"/>
        <v>89.819955000000007</v>
      </c>
      <c r="I56" s="9">
        <f t="shared" si="57"/>
        <v>15988.850189550001</v>
      </c>
      <c r="J56" s="5"/>
      <c r="K56" s="81"/>
      <c r="L56" s="5">
        <f t="shared" si="58"/>
        <v>0</v>
      </c>
      <c r="M56" s="6">
        <f t="shared" si="59"/>
        <v>0</v>
      </c>
      <c r="N56" s="83">
        <f t="shared" si="60"/>
        <v>0</v>
      </c>
      <c r="O56" s="6">
        <f t="shared" si="61"/>
        <v>0</v>
      </c>
      <c r="P56" s="34">
        <f t="shared" si="62"/>
        <v>15988.850189550001</v>
      </c>
    </row>
    <row r="57" spans="1:16" ht="38.25" x14ac:dyDescent="0.25">
      <c r="A57" s="77" t="s">
        <v>137</v>
      </c>
      <c r="B57" s="2" t="s">
        <v>138</v>
      </c>
      <c r="C57" s="85" t="s">
        <v>139</v>
      </c>
      <c r="D57" s="2" t="s">
        <v>21</v>
      </c>
      <c r="E57" s="2" t="s">
        <v>22</v>
      </c>
      <c r="F57" s="7">
        <v>72</v>
      </c>
      <c r="G57" s="8">
        <v>22.25</v>
      </c>
      <c r="H57" s="8">
        <f t="shared" si="50"/>
        <v>28.335375000000003</v>
      </c>
      <c r="I57" s="9">
        <f t="shared" si="57"/>
        <v>2040.1470000000002</v>
      </c>
      <c r="J57" s="5"/>
      <c r="K57" s="81"/>
      <c r="L57" s="81">
        <f t="shared" si="58"/>
        <v>0</v>
      </c>
      <c r="M57" s="6">
        <f t="shared" si="59"/>
        <v>0</v>
      </c>
      <c r="N57" s="83">
        <f t="shared" si="60"/>
        <v>0</v>
      </c>
      <c r="O57" s="6">
        <f t="shared" si="61"/>
        <v>0</v>
      </c>
      <c r="P57" s="34">
        <f t="shared" si="62"/>
        <v>2040.1470000000002</v>
      </c>
    </row>
    <row r="58" spans="1:16" ht="38.25" x14ac:dyDescent="0.25">
      <c r="A58" s="77" t="s">
        <v>140</v>
      </c>
      <c r="B58" s="2" t="s">
        <v>141</v>
      </c>
      <c r="C58" s="85" t="s">
        <v>142</v>
      </c>
      <c r="D58" s="2" t="s">
        <v>21</v>
      </c>
      <c r="E58" s="2" t="s">
        <v>22</v>
      </c>
      <c r="F58" s="7">
        <v>24</v>
      </c>
      <c r="G58" s="8">
        <v>52.83</v>
      </c>
      <c r="H58" s="8">
        <f t="shared" si="50"/>
        <v>67.279004999999998</v>
      </c>
      <c r="I58" s="9">
        <f t="shared" si="57"/>
        <v>1614.6961200000001</v>
      </c>
      <c r="J58" s="5"/>
      <c r="K58" s="81"/>
      <c r="L58" s="81">
        <f t="shared" si="58"/>
        <v>0</v>
      </c>
      <c r="M58" s="6">
        <f t="shared" si="59"/>
        <v>0</v>
      </c>
      <c r="N58" s="83">
        <f t="shared" si="60"/>
        <v>0</v>
      </c>
      <c r="O58" s="6">
        <f t="shared" si="61"/>
        <v>0</v>
      </c>
      <c r="P58" s="34">
        <f t="shared" si="62"/>
        <v>1614.6961200000001</v>
      </c>
    </row>
    <row r="59" spans="1:16" x14ac:dyDescent="0.25">
      <c r="A59" s="35"/>
      <c r="B59" s="3"/>
      <c r="C59" s="86"/>
      <c r="D59" s="3"/>
      <c r="E59" s="3"/>
      <c r="F59" s="10"/>
      <c r="G59" s="11"/>
      <c r="H59" s="11"/>
      <c r="I59" s="12">
        <f>SUM(I49:I58)</f>
        <v>178267.50222165001</v>
      </c>
      <c r="J59" s="13"/>
      <c r="K59" s="81"/>
      <c r="L59" s="13"/>
      <c r="M59" s="12">
        <f>SUM(M49:M58)</f>
        <v>0</v>
      </c>
      <c r="N59" s="84">
        <f>SUM(N49:N58)</f>
        <v>81171.156002400021</v>
      </c>
      <c r="O59" s="12">
        <f>SUM(O49:O58)</f>
        <v>81171.156002400021</v>
      </c>
      <c r="P59" s="36">
        <f t="shared" si="62"/>
        <v>97096.346219249986</v>
      </c>
    </row>
    <row r="60" spans="1:16" x14ac:dyDescent="0.25">
      <c r="A60" s="32" t="s">
        <v>143</v>
      </c>
      <c r="B60" s="119" t="s">
        <v>144</v>
      </c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20"/>
    </row>
    <row r="61" spans="1:16" ht="38.25" x14ac:dyDescent="0.25">
      <c r="A61" s="77" t="s">
        <v>145</v>
      </c>
      <c r="B61" s="76" t="s">
        <v>146</v>
      </c>
      <c r="C61" s="85" t="s">
        <v>147</v>
      </c>
      <c r="D61" s="2" t="s">
        <v>21</v>
      </c>
      <c r="E61" s="2" t="s">
        <v>69</v>
      </c>
      <c r="F61" s="7">
        <v>944.79</v>
      </c>
      <c r="G61" s="8">
        <v>19.420000000000002</v>
      </c>
      <c r="H61" s="8">
        <f t="shared" ref="H61:H68" si="63">G61*$Q$9</f>
        <v>24.731370000000005</v>
      </c>
      <c r="I61" s="9">
        <f t="shared" ref="I61" si="64">F61*H61</f>
        <v>23365.951062300006</v>
      </c>
      <c r="J61" s="5"/>
      <c r="K61" s="91">
        <f>'MEMORIA COBERTA'!D20</f>
        <v>273.60000000000002</v>
      </c>
      <c r="L61" s="5">
        <f t="shared" ref="L61" si="65">K61+J61</f>
        <v>273.60000000000002</v>
      </c>
      <c r="M61" s="6">
        <f t="shared" ref="M61" si="66">J61*H61</f>
        <v>0</v>
      </c>
      <c r="N61" s="83">
        <f t="shared" ref="N61" si="67">H61*K61</f>
        <v>6766.5028320000019</v>
      </c>
      <c r="O61" s="6">
        <f t="shared" ref="O61" si="68">N61+M61</f>
        <v>6766.5028320000019</v>
      </c>
      <c r="P61" s="34">
        <f t="shared" ref="P61" si="69">I61-O61</f>
        <v>16599.448230300004</v>
      </c>
    </row>
    <row r="62" spans="1:16" ht="38.25" x14ac:dyDescent="0.25">
      <c r="A62" s="77" t="s">
        <v>148</v>
      </c>
      <c r="B62" s="76" t="s">
        <v>149</v>
      </c>
      <c r="C62" s="85" t="s">
        <v>150</v>
      </c>
      <c r="D62" s="2" t="s">
        <v>12</v>
      </c>
      <c r="E62" s="2" t="s">
        <v>13</v>
      </c>
      <c r="F62" s="7">
        <v>944.79</v>
      </c>
      <c r="G62" s="8">
        <v>29.29</v>
      </c>
      <c r="H62" s="8">
        <f t="shared" si="63"/>
        <v>37.300815</v>
      </c>
      <c r="I62" s="9">
        <f t="shared" ref="I62:I68" si="70">F62*H62</f>
        <v>35241.437003849998</v>
      </c>
      <c r="J62" s="5"/>
      <c r="K62" s="91">
        <f>K61</f>
        <v>273.60000000000002</v>
      </c>
      <c r="L62" s="5">
        <f t="shared" ref="L62:L68" si="71">K62+J62</f>
        <v>273.60000000000002</v>
      </c>
      <c r="M62" s="6">
        <f t="shared" ref="M62:M68" si="72">J62*H62</f>
        <v>0</v>
      </c>
      <c r="N62" s="83">
        <f t="shared" ref="N62:N68" si="73">H62*K62</f>
        <v>10205.502984000001</v>
      </c>
      <c r="O62" s="6">
        <f t="shared" ref="O62:O68" si="74">N62+M62</f>
        <v>10205.502984000001</v>
      </c>
      <c r="P62" s="34">
        <f t="shared" ref="P62:P69" si="75">I62-O62</f>
        <v>25035.934019849999</v>
      </c>
    </row>
    <row r="63" spans="1:16" ht="51" x14ac:dyDescent="0.25">
      <c r="A63" s="77" t="s">
        <v>151</v>
      </c>
      <c r="B63" s="76" t="s">
        <v>152</v>
      </c>
      <c r="C63" s="85" t="s">
        <v>153</v>
      </c>
      <c r="D63" s="2" t="s">
        <v>21</v>
      </c>
      <c r="E63" s="2" t="s">
        <v>69</v>
      </c>
      <c r="F63" s="7">
        <v>944.79</v>
      </c>
      <c r="G63" s="8">
        <v>27.26</v>
      </c>
      <c r="H63" s="8">
        <f t="shared" si="63"/>
        <v>34.715610000000005</v>
      </c>
      <c r="I63" s="9">
        <f t="shared" si="70"/>
        <v>32798.961171900002</v>
      </c>
      <c r="J63" s="5"/>
      <c r="K63" s="81"/>
      <c r="L63" s="5">
        <f t="shared" si="71"/>
        <v>0</v>
      </c>
      <c r="M63" s="6">
        <f t="shared" si="72"/>
        <v>0</v>
      </c>
      <c r="N63" s="83">
        <f t="shared" si="73"/>
        <v>0</v>
      </c>
      <c r="O63" s="6">
        <f t="shared" si="74"/>
        <v>0</v>
      </c>
      <c r="P63" s="34">
        <f t="shared" si="75"/>
        <v>32798.961171900002</v>
      </c>
    </row>
    <row r="64" spans="1:16" ht="38.25" x14ac:dyDescent="0.25">
      <c r="A64" s="33" t="s">
        <v>154</v>
      </c>
      <c r="B64" s="2" t="s">
        <v>155</v>
      </c>
      <c r="C64" s="85" t="s">
        <v>156</v>
      </c>
      <c r="D64" s="2" t="s">
        <v>21</v>
      </c>
      <c r="E64" s="2" t="s">
        <v>31</v>
      </c>
      <c r="F64" s="7">
        <v>72.84</v>
      </c>
      <c r="G64" s="8">
        <v>101.84</v>
      </c>
      <c r="H64" s="8">
        <f t="shared" si="63"/>
        <v>129.69324</v>
      </c>
      <c r="I64" s="9">
        <f t="shared" si="70"/>
        <v>9446.8556016000002</v>
      </c>
      <c r="J64" s="5"/>
      <c r="K64" s="81"/>
      <c r="L64" s="5">
        <f t="shared" si="71"/>
        <v>0</v>
      </c>
      <c r="M64" s="6">
        <f t="shared" si="72"/>
        <v>0</v>
      </c>
      <c r="N64" s="83">
        <f t="shared" si="73"/>
        <v>0</v>
      </c>
      <c r="O64" s="6">
        <f t="shared" si="74"/>
        <v>0</v>
      </c>
      <c r="P64" s="34">
        <f t="shared" si="75"/>
        <v>9446.8556016000002</v>
      </c>
    </row>
    <row r="65" spans="1:16" ht="76.5" x14ac:dyDescent="0.25">
      <c r="A65" s="33" t="s">
        <v>157</v>
      </c>
      <c r="B65" s="2" t="s">
        <v>158</v>
      </c>
      <c r="C65" s="85" t="s">
        <v>159</v>
      </c>
      <c r="D65" s="2" t="s">
        <v>21</v>
      </c>
      <c r="E65" s="2" t="s">
        <v>22</v>
      </c>
      <c r="F65" s="7">
        <v>46.2</v>
      </c>
      <c r="G65" s="8">
        <v>40.869999999999997</v>
      </c>
      <c r="H65" s="8">
        <f t="shared" si="63"/>
        <v>52.047944999999999</v>
      </c>
      <c r="I65" s="9">
        <f t="shared" si="70"/>
        <v>2404.6150590000002</v>
      </c>
      <c r="J65" s="5"/>
      <c r="K65" s="81"/>
      <c r="L65" s="5">
        <f t="shared" si="71"/>
        <v>0</v>
      </c>
      <c r="M65" s="6">
        <f t="shared" si="72"/>
        <v>0</v>
      </c>
      <c r="N65" s="83">
        <f t="shared" si="73"/>
        <v>0</v>
      </c>
      <c r="O65" s="6">
        <f t="shared" si="74"/>
        <v>0</v>
      </c>
      <c r="P65" s="34">
        <f t="shared" si="75"/>
        <v>2404.6150590000002</v>
      </c>
    </row>
    <row r="66" spans="1:16" ht="33.75" customHeight="1" x14ac:dyDescent="0.25">
      <c r="A66" s="33" t="s">
        <v>160</v>
      </c>
      <c r="B66" s="2" t="s">
        <v>161</v>
      </c>
      <c r="C66" s="85" t="s">
        <v>162</v>
      </c>
      <c r="D66" s="2" t="s">
        <v>21</v>
      </c>
      <c r="E66" s="2" t="s">
        <v>22</v>
      </c>
      <c r="F66" s="7">
        <v>436.36</v>
      </c>
      <c r="G66" s="8">
        <v>15.03</v>
      </c>
      <c r="H66" s="8">
        <f t="shared" si="63"/>
        <v>19.140705000000001</v>
      </c>
      <c r="I66" s="9">
        <f t="shared" si="70"/>
        <v>8352.2380338000003</v>
      </c>
      <c r="J66" s="5"/>
      <c r="K66" s="81"/>
      <c r="L66" s="5">
        <f t="shared" si="71"/>
        <v>0</v>
      </c>
      <c r="M66" s="6">
        <f t="shared" si="72"/>
        <v>0</v>
      </c>
      <c r="N66" s="83">
        <f t="shared" si="73"/>
        <v>0</v>
      </c>
      <c r="O66" s="6">
        <f t="shared" si="74"/>
        <v>0</v>
      </c>
      <c r="P66" s="34">
        <f t="shared" si="75"/>
        <v>8352.2380338000003</v>
      </c>
    </row>
    <row r="67" spans="1:16" ht="51" x14ac:dyDescent="0.25">
      <c r="A67" s="33" t="s">
        <v>163</v>
      </c>
      <c r="B67" s="2" t="s">
        <v>164</v>
      </c>
      <c r="C67" s="85" t="s">
        <v>165</v>
      </c>
      <c r="D67" s="2" t="s">
        <v>21</v>
      </c>
      <c r="E67" s="2" t="s">
        <v>69</v>
      </c>
      <c r="F67" s="7">
        <v>393.34</v>
      </c>
      <c r="G67" s="8">
        <v>34.270000000000003</v>
      </c>
      <c r="H67" s="8">
        <f t="shared" si="63"/>
        <v>43.642845000000008</v>
      </c>
      <c r="I67" s="9">
        <f t="shared" si="70"/>
        <v>17166.476652300003</v>
      </c>
      <c r="J67" s="5"/>
      <c r="K67" s="81"/>
      <c r="L67" s="5">
        <f t="shared" si="71"/>
        <v>0</v>
      </c>
      <c r="M67" s="6">
        <f t="shared" si="72"/>
        <v>0</v>
      </c>
      <c r="N67" s="83">
        <f t="shared" si="73"/>
        <v>0</v>
      </c>
      <c r="O67" s="6">
        <f t="shared" si="74"/>
        <v>0</v>
      </c>
      <c r="P67" s="34">
        <f t="shared" si="75"/>
        <v>17166.476652300003</v>
      </c>
    </row>
    <row r="68" spans="1:16" ht="38.25" x14ac:dyDescent="0.25">
      <c r="A68" s="33" t="s">
        <v>166</v>
      </c>
      <c r="B68" s="2" t="s">
        <v>167</v>
      </c>
      <c r="C68" s="85" t="s">
        <v>168</v>
      </c>
      <c r="D68" s="2" t="s">
        <v>21</v>
      </c>
      <c r="E68" s="2" t="s">
        <v>69</v>
      </c>
      <c r="F68" s="7">
        <v>944.79</v>
      </c>
      <c r="G68" s="8">
        <v>72.11</v>
      </c>
      <c r="H68" s="8">
        <f t="shared" si="63"/>
        <v>91.832085000000006</v>
      </c>
      <c r="I68" s="9">
        <f t="shared" si="70"/>
        <v>86762.035587150007</v>
      </c>
      <c r="J68" s="5"/>
      <c r="K68" s="81"/>
      <c r="L68" s="5">
        <f t="shared" si="71"/>
        <v>0</v>
      </c>
      <c r="M68" s="6">
        <f t="shared" si="72"/>
        <v>0</v>
      </c>
      <c r="N68" s="83">
        <f t="shared" si="73"/>
        <v>0</v>
      </c>
      <c r="O68" s="6">
        <f t="shared" si="74"/>
        <v>0</v>
      </c>
      <c r="P68" s="34">
        <f t="shared" si="75"/>
        <v>86762.035587150007</v>
      </c>
    </row>
    <row r="69" spans="1:16" x14ac:dyDescent="0.25">
      <c r="A69" s="35"/>
      <c r="B69" s="3"/>
      <c r="C69" s="86"/>
      <c r="D69" s="3"/>
      <c r="E69" s="3"/>
      <c r="F69" s="10"/>
      <c r="G69" s="11"/>
      <c r="H69" s="11"/>
      <c r="I69" s="12">
        <f>SUM(I61:I68)</f>
        <v>215538.57017190001</v>
      </c>
      <c r="J69" s="13"/>
      <c r="K69" s="81"/>
      <c r="L69" s="13"/>
      <c r="M69" s="12">
        <f>SUM(M61:M68)</f>
        <v>0</v>
      </c>
      <c r="N69" s="84">
        <f>SUM(N61:N68)</f>
        <v>16972.005816000004</v>
      </c>
      <c r="O69" s="12">
        <f>SUM(O61:O68)</f>
        <v>16972.005816000004</v>
      </c>
      <c r="P69" s="36">
        <f t="shared" si="75"/>
        <v>198566.56435589999</v>
      </c>
    </row>
    <row r="70" spans="1:16" x14ac:dyDescent="0.25">
      <c r="A70" s="32" t="s">
        <v>169</v>
      </c>
      <c r="B70" s="119" t="s">
        <v>170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20"/>
    </row>
    <row r="71" spans="1:16" ht="51" x14ac:dyDescent="0.25">
      <c r="A71" s="77" t="s">
        <v>171</v>
      </c>
      <c r="B71" s="2" t="s">
        <v>172</v>
      </c>
      <c r="C71" s="85" t="s">
        <v>173</v>
      </c>
      <c r="D71" s="2" t="s">
        <v>21</v>
      </c>
      <c r="E71" s="2" t="s">
        <v>69</v>
      </c>
      <c r="F71" s="7">
        <v>2367.2199999999998</v>
      </c>
      <c r="G71" s="8">
        <v>2.64</v>
      </c>
      <c r="H71" s="8">
        <f t="shared" ref="H71:H75" si="76">G71*$Q$9</f>
        <v>3.3620400000000004</v>
      </c>
      <c r="I71" s="9">
        <f t="shared" ref="I71" si="77">F71*H71</f>
        <v>7958.6883287999999</v>
      </c>
      <c r="J71" s="5"/>
      <c r="K71" s="81">
        <f>'MEMORIA BM 04'!E66</f>
        <v>1740.1339999999996</v>
      </c>
      <c r="L71" s="5">
        <f t="shared" ref="L71" si="78">K71+J71</f>
        <v>1740.1339999999996</v>
      </c>
      <c r="M71" s="6">
        <f t="shared" ref="M71" si="79">J71*H71</f>
        <v>0</v>
      </c>
      <c r="N71" s="83">
        <f t="shared" ref="N71" si="80">H71*K71</f>
        <v>5850.4001133599995</v>
      </c>
      <c r="O71" s="6">
        <f t="shared" ref="O71" si="81">N71+M71</f>
        <v>5850.4001133599995</v>
      </c>
      <c r="P71" s="34">
        <f t="shared" ref="P71" si="82">I71-O71</f>
        <v>2108.2882154400004</v>
      </c>
    </row>
    <row r="72" spans="1:16" ht="77.25" customHeight="1" x14ac:dyDescent="0.25">
      <c r="A72" s="77" t="s">
        <v>174</v>
      </c>
      <c r="B72" s="2" t="s">
        <v>175</v>
      </c>
      <c r="C72" s="85" t="s">
        <v>176</v>
      </c>
      <c r="D72" s="2" t="s">
        <v>21</v>
      </c>
      <c r="E72" s="2" t="s">
        <v>69</v>
      </c>
      <c r="F72" s="7">
        <v>2197.91</v>
      </c>
      <c r="G72" s="8">
        <v>14.42</v>
      </c>
      <c r="H72" s="8">
        <f t="shared" si="76"/>
        <v>18.363870000000002</v>
      </c>
      <c r="I72" s="9">
        <f t="shared" ref="I72:I75" si="83">F72*H72</f>
        <v>40362.133511700005</v>
      </c>
      <c r="J72" s="5"/>
      <c r="K72" s="81">
        <f>'MEMORIA BM 04'!E67</f>
        <v>1740.1339999999996</v>
      </c>
      <c r="L72" s="5">
        <f t="shared" ref="L72:L75" si="84">K72+J72</f>
        <v>1740.1339999999996</v>
      </c>
      <c r="M72" s="6">
        <f t="shared" ref="M72:M75" si="85">J72*H72</f>
        <v>0</v>
      </c>
      <c r="N72" s="83">
        <f t="shared" ref="N72:N75" si="86">H72*K72</f>
        <v>31955.594558579996</v>
      </c>
      <c r="O72" s="6">
        <f t="shared" ref="O72:O75" si="87">N72+M72</f>
        <v>31955.594558579996</v>
      </c>
      <c r="P72" s="34">
        <f t="shared" ref="P72:P76" si="88">I72-O72</f>
        <v>8406.538953120009</v>
      </c>
    </row>
    <row r="73" spans="1:16" ht="89.25" x14ac:dyDescent="0.25">
      <c r="A73" s="77" t="s">
        <v>177</v>
      </c>
      <c r="B73" s="2" t="s">
        <v>178</v>
      </c>
      <c r="C73" s="85" t="s">
        <v>179</v>
      </c>
      <c r="D73" s="2" t="s">
        <v>21</v>
      </c>
      <c r="E73" s="2" t="s">
        <v>69</v>
      </c>
      <c r="F73" s="7">
        <v>180.48</v>
      </c>
      <c r="G73" s="8">
        <v>11.03</v>
      </c>
      <c r="H73" s="8">
        <f t="shared" si="76"/>
        <v>14.046704999999999</v>
      </c>
      <c r="I73" s="9">
        <f t="shared" si="83"/>
        <v>2535.1493183999996</v>
      </c>
      <c r="J73" s="5"/>
      <c r="K73" s="81"/>
      <c r="L73" s="5">
        <f t="shared" si="84"/>
        <v>0</v>
      </c>
      <c r="M73" s="6">
        <f t="shared" si="85"/>
        <v>0</v>
      </c>
      <c r="N73" s="83">
        <f t="shared" si="86"/>
        <v>0</v>
      </c>
      <c r="O73" s="6">
        <f t="shared" si="87"/>
        <v>0</v>
      </c>
      <c r="P73" s="34">
        <f t="shared" si="88"/>
        <v>2535.1493183999996</v>
      </c>
    </row>
    <row r="74" spans="1:16" ht="51" x14ac:dyDescent="0.25">
      <c r="A74" s="33" t="s">
        <v>180</v>
      </c>
      <c r="B74" s="2" t="s">
        <v>181</v>
      </c>
      <c r="C74" s="85" t="s">
        <v>182</v>
      </c>
      <c r="D74" s="2" t="s">
        <v>21</v>
      </c>
      <c r="E74" s="2" t="s">
        <v>69</v>
      </c>
      <c r="F74" s="7">
        <v>180.48</v>
      </c>
      <c r="G74" s="8">
        <v>41.91</v>
      </c>
      <c r="H74" s="8">
        <f t="shared" si="76"/>
        <v>53.372385000000001</v>
      </c>
      <c r="I74" s="9">
        <f t="shared" si="83"/>
        <v>9632.6480448000002</v>
      </c>
      <c r="J74" s="5"/>
      <c r="K74" s="81"/>
      <c r="L74" s="5">
        <f t="shared" si="84"/>
        <v>0</v>
      </c>
      <c r="M74" s="6">
        <f t="shared" si="85"/>
        <v>0</v>
      </c>
      <c r="N74" s="83">
        <f t="shared" si="86"/>
        <v>0</v>
      </c>
      <c r="O74" s="6">
        <f t="shared" si="87"/>
        <v>0</v>
      </c>
      <c r="P74" s="34">
        <f t="shared" si="88"/>
        <v>9632.6480448000002</v>
      </c>
    </row>
    <row r="75" spans="1:16" ht="76.5" x14ac:dyDescent="0.25">
      <c r="A75" s="33" t="s">
        <v>183</v>
      </c>
      <c r="B75" s="2" t="s">
        <v>184</v>
      </c>
      <c r="C75" s="85" t="s">
        <v>185</v>
      </c>
      <c r="D75" s="2" t="s">
        <v>21</v>
      </c>
      <c r="E75" s="2" t="s">
        <v>31</v>
      </c>
      <c r="F75" s="7">
        <v>0.42</v>
      </c>
      <c r="G75" s="8">
        <v>263.22000000000003</v>
      </c>
      <c r="H75" s="8">
        <f t="shared" si="76"/>
        <v>335.21067000000005</v>
      </c>
      <c r="I75" s="9">
        <f t="shared" si="83"/>
        <v>140.78848140000002</v>
      </c>
      <c r="J75" s="5"/>
      <c r="K75" s="81"/>
      <c r="L75" s="5">
        <f t="shared" si="84"/>
        <v>0</v>
      </c>
      <c r="M75" s="6">
        <f t="shared" si="85"/>
        <v>0</v>
      </c>
      <c r="N75" s="83">
        <f t="shared" si="86"/>
        <v>0</v>
      </c>
      <c r="O75" s="6">
        <f t="shared" si="87"/>
        <v>0</v>
      </c>
      <c r="P75" s="34">
        <f t="shared" si="88"/>
        <v>140.78848140000002</v>
      </c>
    </row>
    <row r="76" spans="1:16" x14ac:dyDescent="0.25">
      <c r="A76" s="35"/>
      <c r="B76" s="3"/>
      <c r="C76" s="86"/>
      <c r="D76" s="3"/>
      <c r="E76" s="3"/>
      <c r="F76" s="10"/>
      <c r="G76" s="11"/>
      <c r="H76" s="11"/>
      <c r="I76" s="12">
        <f>SUM(I71:I75)</f>
        <v>60629.407685100006</v>
      </c>
      <c r="J76" s="13"/>
      <c r="K76" s="81"/>
      <c r="L76" s="13"/>
      <c r="M76" s="12">
        <f>SUM(M71:M75)</f>
        <v>0</v>
      </c>
      <c r="N76" s="84">
        <f>SUM(N71:N75)</f>
        <v>37805.994671939996</v>
      </c>
      <c r="O76" s="12">
        <f>SUM(O71:O75)</f>
        <v>37805.994671939996</v>
      </c>
      <c r="P76" s="36">
        <f t="shared" si="88"/>
        <v>22823.41301316001</v>
      </c>
    </row>
    <row r="77" spans="1:16" x14ac:dyDescent="0.25">
      <c r="A77" s="32" t="s">
        <v>186</v>
      </c>
      <c r="B77" s="119" t="s">
        <v>187</v>
      </c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20"/>
    </row>
    <row r="78" spans="1:16" ht="76.5" x14ac:dyDescent="0.25">
      <c r="A78" s="33" t="s">
        <v>188</v>
      </c>
      <c r="B78" s="2" t="s">
        <v>189</v>
      </c>
      <c r="C78" s="85" t="s">
        <v>190</v>
      </c>
      <c r="D78" s="2" t="s">
        <v>21</v>
      </c>
      <c r="E78" s="2" t="s">
        <v>117</v>
      </c>
      <c r="F78" s="7">
        <v>2</v>
      </c>
      <c r="G78" s="8">
        <v>531.51</v>
      </c>
      <c r="H78" s="8">
        <f t="shared" ref="H78:H91" si="89">G78*$Q$9</f>
        <v>676.87798500000008</v>
      </c>
      <c r="I78" s="9">
        <f t="shared" ref="I78" si="90">F78*H78</f>
        <v>1353.7559700000002</v>
      </c>
      <c r="J78" s="5"/>
      <c r="K78" s="81"/>
      <c r="L78" s="5">
        <f t="shared" ref="L78" si="91">K78+J78</f>
        <v>0</v>
      </c>
      <c r="M78" s="6">
        <f t="shared" ref="M78" si="92">J78*H78</f>
        <v>0</v>
      </c>
      <c r="N78" s="83">
        <f t="shared" ref="N78" si="93">H78*K78</f>
        <v>0</v>
      </c>
      <c r="O78" s="6">
        <f t="shared" ref="O78" si="94">N78+M78</f>
        <v>0</v>
      </c>
      <c r="P78" s="34">
        <f t="shared" ref="P78" si="95">I78-O78</f>
        <v>1353.7559700000002</v>
      </c>
    </row>
    <row r="79" spans="1:16" ht="76.5" x14ac:dyDescent="0.25">
      <c r="A79" s="33" t="s">
        <v>191</v>
      </c>
      <c r="B79" s="2" t="s">
        <v>192</v>
      </c>
      <c r="C79" s="85" t="s">
        <v>193</v>
      </c>
      <c r="D79" s="2" t="s">
        <v>21</v>
      </c>
      <c r="E79" s="2" t="s">
        <v>117</v>
      </c>
      <c r="F79" s="7">
        <v>4</v>
      </c>
      <c r="G79" s="8">
        <v>527.07000000000005</v>
      </c>
      <c r="H79" s="8">
        <f t="shared" si="89"/>
        <v>671.22364500000015</v>
      </c>
      <c r="I79" s="9">
        <f t="shared" ref="I79:I91" si="96">F79*H79</f>
        <v>2684.8945800000006</v>
      </c>
      <c r="J79" s="5"/>
      <c r="K79" s="81"/>
      <c r="L79" s="5">
        <f t="shared" ref="L79:L91" si="97">K79+J79</f>
        <v>0</v>
      </c>
      <c r="M79" s="6">
        <f t="shared" ref="M79:M91" si="98">J79*H79</f>
        <v>0</v>
      </c>
      <c r="N79" s="83">
        <f t="shared" ref="N79:N91" si="99">H79*K79</f>
        <v>0</v>
      </c>
      <c r="O79" s="6">
        <f t="shared" ref="O79:O91" si="100">N79+M79</f>
        <v>0</v>
      </c>
      <c r="P79" s="34">
        <f t="shared" ref="P79:P92" si="101">I79-O79</f>
        <v>2684.8945800000006</v>
      </c>
    </row>
    <row r="80" spans="1:16" ht="76.5" x14ac:dyDescent="0.25">
      <c r="A80" s="33" t="s">
        <v>194</v>
      </c>
      <c r="B80" s="2" t="s">
        <v>195</v>
      </c>
      <c r="C80" s="85" t="s">
        <v>196</v>
      </c>
      <c r="D80" s="2" t="s">
        <v>21</v>
      </c>
      <c r="E80" s="2" t="s">
        <v>117</v>
      </c>
      <c r="F80" s="7">
        <v>10</v>
      </c>
      <c r="G80" s="8">
        <v>552.88</v>
      </c>
      <c r="H80" s="8">
        <f t="shared" si="89"/>
        <v>704.09268000000009</v>
      </c>
      <c r="I80" s="9">
        <f t="shared" si="96"/>
        <v>7040.9268000000011</v>
      </c>
      <c r="J80" s="5"/>
      <c r="K80" s="81"/>
      <c r="L80" s="5">
        <f t="shared" si="97"/>
        <v>0</v>
      </c>
      <c r="M80" s="6">
        <f t="shared" si="98"/>
        <v>0</v>
      </c>
      <c r="N80" s="83">
        <f t="shared" si="99"/>
        <v>0</v>
      </c>
      <c r="O80" s="6">
        <f t="shared" si="100"/>
        <v>0</v>
      </c>
      <c r="P80" s="34">
        <f t="shared" si="101"/>
        <v>7040.9268000000011</v>
      </c>
    </row>
    <row r="81" spans="1:16" ht="76.5" x14ac:dyDescent="0.25">
      <c r="A81" s="33" t="s">
        <v>197</v>
      </c>
      <c r="B81" s="2" t="s">
        <v>198</v>
      </c>
      <c r="C81" s="85" t="s">
        <v>199</v>
      </c>
      <c r="D81" s="2" t="s">
        <v>21</v>
      </c>
      <c r="E81" s="2" t="s">
        <v>117</v>
      </c>
      <c r="F81" s="7">
        <v>6</v>
      </c>
      <c r="G81" s="8">
        <v>603</v>
      </c>
      <c r="H81" s="8">
        <f t="shared" si="89"/>
        <v>767.92050000000006</v>
      </c>
      <c r="I81" s="9">
        <f t="shared" si="96"/>
        <v>4607.5230000000001</v>
      </c>
      <c r="J81" s="5"/>
      <c r="K81" s="81"/>
      <c r="L81" s="5">
        <f t="shared" si="97"/>
        <v>0</v>
      </c>
      <c r="M81" s="6">
        <f t="shared" si="98"/>
        <v>0</v>
      </c>
      <c r="N81" s="83">
        <f t="shared" si="99"/>
        <v>0</v>
      </c>
      <c r="O81" s="6">
        <f t="shared" si="100"/>
        <v>0</v>
      </c>
      <c r="P81" s="34">
        <f t="shared" si="101"/>
        <v>4607.5230000000001</v>
      </c>
    </row>
    <row r="82" spans="1:16" ht="38.25" x14ac:dyDescent="0.25">
      <c r="A82" s="33" t="s">
        <v>200</v>
      </c>
      <c r="B82" s="2" t="s">
        <v>201</v>
      </c>
      <c r="C82" s="85" t="s">
        <v>202</v>
      </c>
      <c r="D82" s="2" t="s">
        <v>21</v>
      </c>
      <c r="E82" s="2" t="s">
        <v>69</v>
      </c>
      <c r="F82" s="7">
        <v>8.82</v>
      </c>
      <c r="G82" s="8">
        <v>433.8</v>
      </c>
      <c r="H82" s="8">
        <f t="shared" si="89"/>
        <v>552.4443</v>
      </c>
      <c r="I82" s="9">
        <f t="shared" si="96"/>
        <v>4872.5587260000002</v>
      </c>
      <c r="J82" s="5"/>
      <c r="K82" s="81"/>
      <c r="L82" s="5">
        <f t="shared" si="97"/>
        <v>0</v>
      </c>
      <c r="M82" s="6">
        <f t="shared" si="98"/>
        <v>0</v>
      </c>
      <c r="N82" s="83">
        <f t="shared" si="99"/>
        <v>0</v>
      </c>
      <c r="O82" s="6">
        <f t="shared" si="100"/>
        <v>0</v>
      </c>
      <c r="P82" s="34">
        <f t="shared" si="101"/>
        <v>4872.5587260000002</v>
      </c>
    </row>
    <row r="83" spans="1:16" ht="25.5" x14ac:dyDescent="0.25">
      <c r="A83" s="33" t="s">
        <v>203</v>
      </c>
      <c r="B83" s="2" t="s">
        <v>204</v>
      </c>
      <c r="C83" s="85" t="s">
        <v>205</v>
      </c>
      <c r="D83" s="2" t="s">
        <v>12</v>
      </c>
      <c r="E83" s="2" t="s">
        <v>13</v>
      </c>
      <c r="F83" s="7">
        <v>33</v>
      </c>
      <c r="G83" s="8">
        <v>445.08</v>
      </c>
      <c r="H83" s="8">
        <f t="shared" si="89"/>
        <v>566.80938000000003</v>
      </c>
      <c r="I83" s="9">
        <f t="shared" si="96"/>
        <v>18704.70954</v>
      </c>
      <c r="J83" s="5"/>
      <c r="K83" s="81"/>
      <c r="L83" s="5">
        <f t="shared" si="97"/>
        <v>0</v>
      </c>
      <c r="M83" s="6">
        <f t="shared" si="98"/>
        <v>0</v>
      </c>
      <c r="N83" s="83">
        <f t="shared" si="99"/>
        <v>0</v>
      </c>
      <c r="O83" s="6">
        <f t="shared" si="100"/>
        <v>0</v>
      </c>
      <c r="P83" s="34">
        <f t="shared" si="101"/>
        <v>18704.70954</v>
      </c>
    </row>
    <row r="84" spans="1:16" x14ac:dyDescent="0.25">
      <c r="A84" s="33" t="s">
        <v>206</v>
      </c>
      <c r="B84" s="2" t="s">
        <v>207</v>
      </c>
      <c r="C84" s="85" t="s">
        <v>208</v>
      </c>
      <c r="D84" s="2" t="s">
        <v>12</v>
      </c>
      <c r="E84" s="2" t="s">
        <v>13</v>
      </c>
      <c r="F84" s="7">
        <v>33</v>
      </c>
      <c r="G84" s="8">
        <v>122.9</v>
      </c>
      <c r="H84" s="8">
        <f t="shared" si="89"/>
        <v>156.51315000000002</v>
      </c>
      <c r="I84" s="9">
        <f t="shared" si="96"/>
        <v>5164.9339500000006</v>
      </c>
      <c r="J84" s="5"/>
      <c r="K84" s="81"/>
      <c r="L84" s="5">
        <f t="shared" si="97"/>
        <v>0</v>
      </c>
      <c r="M84" s="6">
        <f t="shared" si="98"/>
        <v>0</v>
      </c>
      <c r="N84" s="83">
        <f t="shared" si="99"/>
        <v>0</v>
      </c>
      <c r="O84" s="6">
        <f t="shared" si="100"/>
        <v>0</v>
      </c>
      <c r="P84" s="34">
        <f t="shared" si="101"/>
        <v>5164.9339500000006</v>
      </c>
    </row>
    <row r="85" spans="1:16" ht="63.75" x14ac:dyDescent="0.25">
      <c r="A85" s="33" t="s">
        <v>209</v>
      </c>
      <c r="B85" s="2" t="s">
        <v>210</v>
      </c>
      <c r="C85" s="85" t="s">
        <v>211</v>
      </c>
      <c r="D85" s="2" t="s">
        <v>21</v>
      </c>
      <c r="E85" s="2" t="s">
        <v>69</v>
      </c>
      <c r="F85" s="7">
        <v>2.25</v>
      </c>
      <c r="G85" s="8">
        <v>434.36</v>
      </c>
      <c r="H85" s="8">
        <f t="shared" si="89"/>
        <v>553.15746000000001</v>
      </c>
      <c r="I85" s="9">
        <f t="shared" si="96"/>
        <v>1244.6042850000001</v>
      </c>
      <c r="J85" s="5"/>
      <c r="K85" s="81"/>
      <c r="L85" s="5">
        <f t="shared" si="97"/>
        <v>0</v>
      </c>
      <c r="M85" s="6">
        <f t="shared" si="98"/>
        <v>0</v>
      </c>
      <c r="N85" s="83">
        <f t="shared" si="99"/>
        <v>0</v>
      </c>
      <c r="O85" s="6">
        <f t="shared" si="100"/>
        <v>0</v>
      </c>
      <c r="P85" s="34">
        <f t="shared" si="101"/>
        <v>1244.6042850000001</v>
      </c>
    </row>
    <row r="86" spans="1:16" ht="51" x14ac:dyDescent="0.25">
      <c r="A86" s="33" t="s">
        <v>212</v>
      </c>
      <c r="B86" s="2" t="s">
        <v>213</v>
      </c>
      <c r="C86" s="85" t="s">
        <v>214</v>
      </c>
      <c r="D86" s="2" t="s">
        <v>21</v>
      </c>
      <c r="E86" s="2" t="s">
        <v>69</v>
      </c>
      <c r="F86" s="7">
        <v>3.2</v>
      </c>
      <c r="G86" s="8">
        <v>666.48</v>
      </c>
      <c r="H86" s="8">
        <f t="shared" si="89"/>
        <v>848.76228000000003</v>
      </c>
      <c r="I86" s="9">
        <f t="shared" si="96"/>
        <v>2716.0392960000004</v>
      </c>
      <c r="J86" s="5"/>
      <c r="K86" s="81"/>
      <c r="L86" s="5">
        <f t="shared" si="97"/>
        <v>0</v>
      </c>
      <c r="M86" s="6">
        <f t="shared" si="98"/>
        <v>0</v>
      </c>
      <c r="N86" s="83">
        <f t="shared" si="99"/>
        <v>0</v>
      </c>
      <c r="O86" s="6">
        <f t="shared" si="100"/>
        <v>0</v>
      </c>
      <c r="P86" s="34">
        <f t="shared" si="101"/>
        <v>2716.0392960000004</v>
      </c>
    </row>
    <row r="87" spans="1:16" ht="38.25" x14ac:dyDescent="0.25">
      <c r="A87" s="33" t="s">
        <v>215</v>
      </c>
      <c r="B87" s="2" t="s">
        <v>216</v>
      </c>
      <c r="C87" s="85" t="s">
        <v>217</v>
      </c>
      <c r="D87" s="2" t="s">
        <v>12</v>
      </c>
      <c r="E87" s="2" t="s">
        <v>13</v>
      </c>
      <c r="F87" s="7">
        <v>50.71</v>
      </c>
      <c r="G87" s="8">
        <v>282.06</v>
      </c>
      <c r="H87" s="8">
        <f t="shared" si="89"/>
        <v>359.20341000000002</v>
      </c>
      <c r="I87" s="9">
        <f t="shared" si="96"/>
        <v>18215.204921100001</v>
      </c>
      <c r="J87" s="5"/>
      <c r="K87" s="81"/>
      <c r="L87" s="5">
        <f t="shared" si="97"/>
        <v>0</v>
      </c>
      <c r="M87" s="6">
        <f t="shared" si="98"/>
        <v>0</v>
      </c>
      <c r="N87" s="83">
        <f t="shared" si="99"/>
        <v>0</v>
      </c>
      <c r="O87" s="6">
        <f t="shared" si="100"/>
        <v>0</v>
      </c>
      <c r="P87" s="34">
        <f t="shared" si="101"/>
        <v>18215.204921100001</v>
      </c>
    </row>
    <row r="88" spans="1:16" x14ac:dyDescent="0.25">
      <c r="A88" s="33" t="s">
        <v>218</v>
      </c>
      <c r="B88" s="2" t="s">
        <v>219</v>
      </c>
      <c r="C88" s="85" t="s">
        <v>220</v>
      </c>
      <c r="D88" s="2" t="s">
        <v>12</v>
      </c>
      <c r="E88" s="2" t="s">
        <v>13</v>
      </c>
      <c r="F88" s="7">
        <v>16.350000000000001</v>
      </c>
      <c r="G88" s="8">
        <v>174.8</v>
      </c>
      <c r="H88" s="8">
        <f t="shared" si="89"/>
        <v>222.60780000000003</v>
      </c>
      <c r="I88" s="9">
        <f t="shared" si="96"/>
        <v>3639.6375300000009</v>
      </c>
      <c r="J88" s="5"/>
      <c r="K88" s="81"/>
      <c r="L88" s="5">
        <f t="shared" si="97"/>
        <v>0</v>
      </c>
      <c r="M88" s="6">
        <f t="shared" si="98"/>
        <v>0</v>
      </c>
      <c r="N88" s="83">
        <f t="shared" si="99"/>
        <v>0</v>
      </c>
      <c r="O88" s="6">
        <f t="shared" si="100"/>
        <v>0</v>
      </c>
      <c r="P88" s="34">
        <f t="shared" si="101"/>
        <v>3639.6375300000009</v>
      </c>
    </row>
    <row r="89" spans="1:16" ht="25.5" x14ac:dyDescent="0.25">
      <c r="A89" s="33" t="s">
        <v>221</v>
      </c>
      <c r="B89" s="2" t="s">
        <v>222</v>
      </c>
      <c r="C89" s="85" t="s">
        <v>223</v>
      </c>
      <c r="D89" s="2" t="s">
        <v>12</v>
      </c>
      <c r="E89" s="2" t="s">
        <v>13</v>
      </c>
      <c r="F89" s="7">
        <v>14.35</v>
      </c>
      <c r="G89" s="8">
        <v>430.88</v>
      </c>
      <c r="H89" s="8">
        <f t="shared" si="89"/>
        <v>548.72568000000001</v>
      </c>
      <c r="I89" s="9">
        <f t="shared" si="96"/>
        <v>7874.2135079999998</v>
      </c>
      <c r="J89" s="5"/>
      <c r="K89" s="81"/>
      <c r="L89" s="5">
        <f t="shared" si="97"/>
        <v>0</v>
      </c>
      <c r="M89" s="6">
        <f t="shared" si="98"/>
        <v>0</v>
      </c>
      <c r="N89" s="83">
        <f t="shared" si="99"/>
        <v>0</v>
      </c>
      <c r="O89" s="6">
        <f t="shared" si="100"/>
        <v>0</v>
      </c>
      <c r="P89" s="34">
        <f t="shared" si="101"/>
        <v>7874.2135079999998</v>
      </c>
    </row>
    <row r="90" spans="1:16" x14ac:dyDescent="0.25">
      <c r="A90" s="33" t="s">
        <v>224</v>
      </c>
      <c r="B90" s="2" t="s">
        <v>225</v>
      </c>
      <c r="C90" s="85" t="s">
        <v>226</v>
      </c>
      <c r="D90" s="2" t="s">
        <v>12</v>
      </c>
      <c r="E90" s="2" t="s">
        <v>13</v>
      </c>
      <c r="F90" s="7">
        <v>35.159999999999997</v>
      </c>
      <c r="G90" s="8">
        <v>285.70999999999998</v>
      </c>
      <c r="H90" s="8">
        <f t="shared" si="89"/>
        <v>363.85168499999997</v>
      </c>
      <c r="I90" s="9">
        <f t="shared" si="96"/>
        <v>12793.025244599998</v>
      </c>
      <c r="J90" s="5"/>
      <c r="K90" s="81"/>
      <c r="L90" s="5">
        <f t="shared" si="97"/>
        <v>0</v>
      </c>
      <c r="M90" s="6">
        <f t="shared" si="98"/>
        <v>0</v>
      </c>
      <c r="N90" s="83">
        <f t="shared" si="99"/>
        <v>0</v>
      </c>
      <c r="O90" s="6">
        <f t="shared" si="100"/>
        <v>0</v>
      </c>
      <c r="P90" s="34">
        <f t="shared" si="101"/>
        <v>12793.025244599998</v>
      </c>
    </row>
    <row r="91" spans="1:16" x14ac:dyDescent="0.25">
      <c r="A91" s="33" t="s">
        <v>227</v>
      </c>
      <c r="B91" s="2" t="s">
        <v>228</v>
      </c>
      <c r="C91" s="85" t="s">
        <v>229</v>
      </c>
      <c r="D91" s="2" t="s">
        <v>12</v>
      </c>
      <c r="E91" s="2" t="s">
        <v>13</v>
      </c>
      <c r="F91" s="7">
        <v>0.36</v>
      </c>
      <c r="G91" s="8">
        <v>389.08</v>
      </c>
      <c r="H91" s="8">
        <f t="shared" si="89"/>
        <v>495.49338</v>
      </c>
      <c r="I91" s="9">
        <f t="shared" si="96"/>
        <v>178.3776168</v>
      </c>
      <c r="J91" s="5"/>
      <c r="K91" s="81"/>
      <c r="L91" s="5">
        <f t="shared" si="97"/>
        <v>0</v>
      </c>
      <c r="M91" s="6">
        <f t="shared" si="98"/>
        <v>0</v>
      </c>
      <c r="N91" s="83">
        <f t="shared" si="99"/>
        <v>0</v>
      </c>
      <c r="O91" s="6">
        <f t="shared" si="100"/>
        <v>0</v>
      </c>
      <c r="P91" s="34">
        <f t="shared" si="101"/>
        <v>178.3776168</v>
      </c>
    </row>
    <row r="92" spans="1:16" x14ac:dyDescent="0.25">
      <c r="A92" s="35"/>
      <c r="B92" s="3"/>
      <c r="C92" s="86"/>
      <c r="D92" s="3"/>
      <c r="E92" s="3"/>
      <c r="F92" s="10"/>
      <c r="G92" s="11"/>
      <c r="H92" s="11"/>
      <c r="I92" s="12">
        <f>SUM(I78:I91)</f>
        <v>91090.404967500013</v>
      </c>
      <c r="J92" s="13"/>
      <c r="K92" s="81"/>
      <c r="L92" s="13"/>
      <c r="M92" s="12">
        <f>SUM(M78:M91)</f>
        <v>0</v>
      </c>
      <c r="N92" s="84">
        <f>SUM(N78:N91)</f>
        <v>0</v>
      </c>
      <c r="O92" s="12">
        <f>SUM(O78:O91)</f>
        <v>0</v>
      </c>
      <c r="P92" s="36">
        <f t="shared" si="101"/>
        <v>91090.404967500013</v>
      </c>
    </row>
    <row r="93" spans="1:16" x14ac:dyDescent="0.25">
      <c r="A93" s="32" t="s">
        <v>230</v>
      </c>
      <c r="B93" s="119" t="s">
        <v>231</v>
      </c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20"/>
    </row>
    <row r="94" spans="1:16" ht="25.5" x14ac:dyDescent="0.25">
      <c r="A94" s="33" t="s">
        <v>232</v>
      </c>
      <c r="B94" s="2" t="s">
        <v>233</v>
      </c>
      <c r="C94" s="85" t="s">
        <v>234</v>
      </c>
      <c r="D94" s="2" t="s">
        <v>12</v>
      </c>
      <c r="E94" s="2" t="s">
        <v>13</v>
      </c>
      <c r="F94" s="7">
        <v>345.83</v>
      </c>
      <c r="G94" s="8">
        <v>96.53</v>
      </c>
      <c r="H94" s="8">
        <f t="shared" ref="H94:H95" si="102">G94*$Q$9</f>
        <v>122.93095500000001</v>
      </c>
      <c r="I94" s="9">
        <f t="shared" ref="I94:I95" si="103">F94*H94</f>
        <v>42513.212167650003</v>
      </c>
      <c r="J94" s="5"/>
      <c r="K94" s="80"/>
      <c r="L94" s="23">
        <f t="shared" ref="L94" si="104">K94+J94</f>
        <v>0</v>
      </c>
      <c r="M94" s="6">
        <f t="shared" ref="M94:M95" si="105">J94*H94</f>
        <v>0</v>
      </c>
      <c r="N94" s="83">
        <f t="shared" ref="N94:N95" si="106">H94*K94</f>
        <v>0</v>
      </c>
      <c r="O94" s="6">
        <f t="shared" ref="O94" si="107">N94+M94</f>
        <v>0</v>
      </c>
      <c r="P94" s="34">
        <f t="shared" ref="P94" si="108">I94-O94</f>
        <v>42513.212167650003</v>
      </c>
    </row>
    <row r="95" spans="1:16" ht="38.25" x14ac:dyDescent="0.25">
      <c r="A95" s="33" t="s">
        <v>235</v>
      </c>
      <c r="B95" s="2" t="s">
        <v>236</v>
      </c>
      <c r="C95" s="85" t="s">
        <v>237</v>
      </c>
      <c r="D95" s="2" t="s">
        <v>21</v>
      </c>
      <c r="E95" s="2" t="s">
        <v>69</v>
      </c>
      <c r="F95" s="7">
        <v>183.4</v>
      </c>
      <c r="G95" s="8">
        <v>64.89</v>
      </c>
      <c r="H95" s="8">
        <f t="shared" si="102"/>
        <v>82.637415000000004</v>
      </c>
      <c r="I95" s="9">
        <f t="shared" si="103"/>
        <v>15155.701911000002</v>
      </c>
      <c r="J95" s="5"/>
      <c r="K95" s="81"/>
      <c r="L95" s="5">
        <f t="shared" ref="L95" si="109">K95+J95</f>
        <v>0</v>
      </c>
      <c r="M95" s="6">
        <f t="shared" si="105"/>
        <v>0</v>
      </c>
      <c r="N95" s="83">
        <f t="shared" si="106"/>
        <v>0</v>
      </c>
      <c r="O95" s="6">
        <f t="shared" ref="O95" si="110">N95+M95</f>
        <v>0</v>
      </c>
      <c r="P95" s="34">
        <f t="shared" ref="P95:P96" si="111">I95-O95</f>
        <v>15155.701911000002</v>
      </c>
    </row>
    <row r="96" spans="1:16" x14ac:dyDescent="0.25">
      <c r="A96" s="35"/>
      <c r="B96" s="3"/>
      <c r="C96" s="86"/>
      <c r="D96" s="3"/>
      <c r="E96" s="3"/>
      <c r="F96" s="10"/>
      <c r="G96" s="11"/>
      <c r="H96" s="11"/>
      <c r="I96" s="12">
        <f>SUM(I94:I95)</f>
        <v>57668.914078650007</v>
      </c>
      <c r="J96" s="13"/>
      <c r="K96" s="81"/>
      <c r="L96" s="13"/>
      <c r="M96" s="12">
        <f>SUM(M94:M95)</f>
        <v>0</v>
      </c>
      <c r="N96" s="84">
        <f>SUM(N94:N95)</f>
        <v>0</v>
      </c>
      <c r="O96" s="12">
        <f>SUM(O94:O95)</f>
        <v>0</v>
      </c>
      <c r="P96" s="36">
        <f t="shared" si="111"/>
        <v>57668.914078650007</v>
      </c>
    </row>
    <row r="97" spans="1:16" x14ac:dyDescent="0.25">
      <c r="A97" s="32" t="s">
        <v>238</v>
      </c>
      <c r="B97" s="119" t="s">
        <v>239</v>
      </c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20"/>
    </row>
    <row r="98" spans="1:16" ht="38.25" x14ac:dyDescent="0.25">
      <c r="A98" s="33" t="s">
        <v>240</v>
      </c>
      <c r="B98" s="2" t="s">
        <v>241</v>
      </c>
      <c r="C98" s="85" t="s">
        <v>242</v>
      </c>
      <c r="D98" s="2" t="s">
        <v>21</v>
      </c>
      <c r="E98" s="2" t="s">
        <v>117</v>
      </c>
      <c r="F98" s="7">
        <v>2</v>
      </c>
      <c r="G98" s="8">
        <v>186.33</v>
      </c>
      <c r="H98" s="8">
        <f t="shared" ref="H98:H102" si="112">G98*$Q$9</f>
        <v>237.29125500000004</v>
      </c>
      <c r="I98" s="9">
        <f t="shared" ref="I98" si="113">F98*H98</f>
        <v>474.58251000000007</v>
      </c>
      <c r="J98" s="5"/>
      <c r="K98" s="81"/>
      <c r="L98" s="5">
        <f t="shared" ref="L98" si="114">K98+J98</f>
        <v>0</v>
      </c>
      <c r="M98" s="6">
        <f t="shared" ref="M98" si="115">J98*H98</f>
        <v>0</v>
      </c>
      <c r="N98" s="83">
        <f t="shared" ref="N98" si="116">H98*K98</f>
        <v>0</v>
      </c>
      <c r="O98" s="6">
        <f t="shared" ref="O98" si="117">N98+M98</f>
        <v>0</v>
      </c>
      <c r="P98" s="34">
        <f t="shared" ref="P98" si="118">I98-O98</f>
        <v>474.58251000000007</v>
      </c>
    </row>
    <row r="99" spans="1:16" ht="38.25" x14ac:dyDescent="0.25">
      <c r="A99" s="33" t="s">
        <v>243</v>
      </c>
      <c r="B99" s="2" t="s">
        <v>244</v>
      </c>
      <c r="C99" s="85" t="s">
        <v>245</v>
      </c>
      <c r="D99" s="2" t="s">
        <v>21</v>
      </c>
      <c r="E99" s="2" t="s">
        <v>117</v>
      </c>
      <c r="F99" s="7">
        <v>3</v>
      </c>
      <c r="G99" s="8">
        <v>180.65</v>
      </c>
      <c r="H99" s="8">
        <f t="shared" si="112"/>
        <v>230.05777500000002</v>
      </c>
      <c r="I99" s="9">
        <f t="shared" ref="I99:I102" si="119">F99*H99</f>
        <v>690.17332500000009</v>
      </c>
      <c r="J99" s="5"/>
      <c r="K99" s="81"/>
      <c r="L99" s="5">
        <f t="shared" ref="L99:L102" si="120">K99+J99</f>
        <v>0</v>
      </c>
      <c r="M99" s="6">
        <f t="shared" ref="M99:M102" si="121">J99*H99</f>
        <v>0</v>
      </c>
      <c r="N99" s="83">
        <f t="shared" ref="N99:N102" si="122">H99*K99</f>
        <v>0</v>
      </c>
      <c r="O99" s="6">
        <f t="shared" ref="O99:O102" si="123">N99+M99</f>
        <v>0</v>
      </c>
      <c r="P99" s="34">
        <f t="shared" ref="P99:P103" si="124">I99-O99</f>
        <v>690.17332500000009</v>
      </c>
    </row>
    <row r="100" spans="1:16" ht="38.25" x14ac:dyDescent="0.25">
      <c r="A100" s="33" t="s">
        <v>246</v>
      </c>
      <c r="B100" s="2" t="s">
        <v>247</v>
      </c>
      <c r="C100" s="85" t="s">
        <v>248</v>
      </c>
      <c r="D100" s="2" t="s">
        <v>12</v>
      </c>
      <c r="E100" s="2" t="s">
        <v>17</v>
      </c>
      <c r="F100" s="7">
        <v>4</v>
      </c>
      <c r="G100" s="8">
        <v>204.75</v>
      </c>
      <c r="H100" s="8">
        <f t="shared" si="112"/>
        <v>260.74912499999999</v>
      </c>
      <c r="I100" s="9">
        <f t="shared" si="119"/>
        <v>1042.9965</v>
      </c>
      <c r="J100" s="5"/>
      <c r="K100" s="81"/>
      <c r="L100" s="5">
        <f t="shared" si="120"/>
        <v>0</v>
      </c>
      <c r="M100" s="6">
        <f t="shared" si="121"/>
        <v>0</v>
      </c>
      <c r="N100" s="83">
        <f t="shared" si="122"/>
        <v>0</v>
      </c>
      <c r="O100" s="6">
        <f t="shared" si="123"/>
        <v>0</v>
      </c>
      <c r="P100" s="34">
        <f t="shared" si="124"/>
        <v>1042.9965</v>
      </c>
    </row>
    <row r="101" spans="1:16" ht="51" x14ac:dyDescent="0.25">
      <c r="A101" s="33" t="s">
        <v>249</v>
      </c>
      <c r="B101" s="2" t="s">
        <v>250</v>
      </c>
      <c r="C101" s="85" t="s">
        <v>251</v>
      </c>
      <c r="D101" s="2" t="s">
        <v>12</v>
      </c>
      <c r="E101" s="2" t="s">
        <v>252</v>
      </c>
      <c r="F101" s="7">
        <v>9</v>
      </c>
      <c r="G101" s="8">
        <v>26.04</v>
      </c>
      <c r="H101" s="8">
        <f t="shared" si="112"/>
        <v>33.161940000000001</v>
      </c>
      <c r="I101" s="9">
        <f t="shared" si="119"/>
        <v>298.45746000000003</v>
      </c>
      <c r="J101" s="5"/>
      <c r="K101" s="81"/>
      <c r="L101" s="5">
        <f t="shared" si="120"/>
        <v>0</v>
      </c>
      <c r="M101" s="6">
        <f t="shared" si="121"/>
        <v>0</v>
      </c>
      <c r="N101" s="83">
        <f t="shared" si="122"/>
        <v>0</v>
      </c>
      <c r="O101" s="6">
        <f t="shared" si="123"/>
        <v>0</v>
      </c>
      <c r="P101" s="34">
        <f t="shared" si="124"/>
        <v>298.45746000000003</v>
      </c>
    </row>
    <row r="102" spans="1:16" ht="25.5" x14ac:dyDescent="0.25">
      <c r="A102" s="33" t="s">
        <v>253</v>
      </c>
      <c r="B102" s="2" t="s">
        <v>254</v>
      </c>
      <c r="C102" s="85" t="s">
        <v>255</v>
      </c>
      <c r="D102" s="2" t="s">
        <v>12</v>
      </c>
      <c r="E102" s="2" t="s">
        <v>17</v>
      </c>
      <c r="F102" s="7">
        <v>5</v>
      </c>
      <c r="G102" s="8">
        <v>12.94</v>
      </c>
      <c r="H102" s="8">
        <f t="shared" si="112"/>
        <v>16.479089999999999</v>
      </c>
      <c r="I102" s="9">
        <f t="shared" si="119"/>
        <v>82.395449999999997</v>
      </c>
      <c r="J102" s="5"/>
      <c r="K102" s="81"/>
      <c r="L102" s="5">
        <f t="shared" si="120"/>
        <v>0</v>
      </c>
      <c r="M102" s="6">
        <f t="shared" si="121"/>
        <v>0</v>
      </c>
      <c r="N102" s="83">
        <f t="shared" si="122"/>
        <v>0</v>
      </c>
      <c r="O102" s="6">
        <f t="shared" si="123"/>
        <v>0</v>
      </c>
      <c r="P102" s="34">
        <f t="shared" si="124"/>
        <v>82.395449999999997</v>
      </c>
    </row>
    <row r="103" spans="1:16" x14ac:dyDescent="0.25">
      <c r="A103" s="35"/>
      <c r="B103" s="3"/>
      <c r="C103" s="86"/>
      <c r="D103" s="3"/>
      <c r="E103" s="3"/>
      <c r="F103" s="10"/>
      <c r="G103" s="11"/>
      <c r="H103" s="11"/>
      <c r="I103" s="12">
        <f>SUM(I98:I102)</f>
        <v>2588.6052450000002</v>
      </c>
      <c r="J103" s="13"/>
      <c r="K103" s="81"/>
      <c r="L103" s="13"/>
      <c r="M103" s="12">
        <f>SUM(M98:M102)</f>
        <v>0</v>
      </c>
      <c r="N103" s="84">
        <f>SUM(N98:N102)</f>
        <v>0</v>
      </c>
      <c r="O103" s="12">
        <f>SUM(O98:O102)</f>
        <v>0</v>
      </c>
      <c r="P103" s="36">
        <f t="shared" si="124"/>
        <v>2588.6052450000002</v>
      </c>
    </row>
    <row r="104" spans="1:16" x14ac:dyDescent="0.25">
      <c r="A104" s="32" t="s">
        <v>256</v>
      </c>
      <c r="B104" s="119" t="s">
        <v>257</v>
      </c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20"/>
    </row>
    <row r="105" spans="1:16" x14ac:dyDescent="0.25">
      <c r="A105" s="33" t="s">
        <v>258</v>
      </c>
      <c r="B105" s="2" t="s">
        <v>259</v>
      </c>
      <c r="C105" s="85" t="s">
        <v>260</v>
      </c>
      <c r="D105" s="2" t="s">
        <v>261</v>
      </c>
      <c r="E105" s="2" t="s">
        <v>117</v>
      </c>
      <c r="F105" s="7">
        <v>119</v>
      </c>
      <c r="G105" s="8">
        <v>7.07</v>
      </c>
      <c r="H105" s="8">
        <f t="shared" ref="H105:H151" si="125">G105*$Q$9</f>
        <v>9.0036450000000006</v>
      </c>
      <c r="I105" s="9">
        <f t="shared" ref="I105" si="126">F105*H105</f>
        <v>1071.433755</v>
      </c>
      <c r="J105" s="5"/>
      <c r="K105" s="81"/>
      <c r="L105" s="5">
        <f t="shared" ref="L105" si="127">K105+J105</f>
        <v>0</v>
      </c>
      <c r="M105" s="6">
        <f t="shared" ref="M105" si="128">J105*H105</f>
        <v>0</v>
      </c>
      <c r="N105" s="83">
        <f t="shared" ref="N105" si="129">H105*K105</f>
        <v>0</v>
      </c>
      <c r="O105" s="6">
        <f t="shared" ref="O105" si="130">N105+M105</f>
        <v>0</v>
      </c>
      <c r="P105" s="34">
        <f t="shared" ref="P105" si="131">I105-O105</f>
        <v>1071.433755</v>
      </c>
    </row>
    <row r="106" spans="1:16" ht="25.5" x14ac:dyDescent="0.25">
      <c r="A106" s="33" t="s">
        <v>262</v>
      </c>
      <c r="B106" s="2" t="s">
        <v>263</v>
      </c>
      <c r="C106" s="85" t="s">
        <v>264</v>
      </c>
      <c r="D106" s="2" t="s">
        <v>21</v>
      </c>
      <c r="E106" s="2" t="s">
        <v>117</v>
      </c>
      <c r="F106" s="7">
        <v>8</v>
      </c>
      <c r="G106" s="8">
        <v>5.83</v>
      </c>
      <c r="H106" s="8">
        <f t="shared" si="125"/>
        <v>7.4245050000000008</v>
      </c>
      <c r="I106" s="9">
        <f t="shared" ref="I106:I151" si="132">F106*H106</f>
        <v>59.396040000000006</v>
      </c>
      <c r="J106" s="5"/>
      <c r="K106" s="81"/>
      <c r="L106" s="5">
        <f t="shared" ref="L106:L151" si="133">K106+J106</f>
        <v>0</v>
      </c>
      <c r="M106" s="6">
        <f t="shared" ref="M106:M151" si="134">J106*H106</f>
        <v>0</v>
      </c>
      <c r="N106" s="83">
        <f t="shared" ref="N106:N151" si="135">H106*K106</f>
        <v>0</v>
      </c>
      <c r="O106" s="6">
        <f t="shared" ref="O106:O151" si="136">N106+M106</f>
        <v>0</v>
      </c>
      <c r="P106" s="34">
        <f t="shared" ref="P106:P152" si="137">I106-O106</f>
        <v>59.396040000000006</v>
      </c>
    </row>
    <row r="107" spans="1:16" ht="51" x14ac:dyDescent="0.25">
      <c r="A107" s="33" t="s">
        <v>265</v>
      </c>
      <c r="B107" s="2" t="s">
        <v>266</v>
      </c>
      <c r="C107" s="85" t="s">
        <v>267</v>
      </c>
      <c r="D107" s="2" t="s">
        <v>21</v>
      </c>
      <c r="E107" s="2" t="s">
        <v>117</v>
      </c>
      <c r="F107" s="7">
        <v>10</v>
      </c>
      <c r="G107" s="8">
        <v>10.97</v>
      </c>
      <c r="H107" s="8">
        <f t="shared" si="125"/>
        <v>13.970295000000002</v>
      </c>
      <c r="I107" s="9">
        <f t="shared" si="132"/>
        <v>139.70295000000002</v>
      </c>
      <c r="J107" s="5"/>
      <c r="K107" s="81"/>
      <c r="L107" s="5">
        <f t="shared" si="133"/>
        <v>0</v>
      </c>
      <c r="M107" s="6">
        <f t="shared" si="134"/>
        <v>0</v>
      </c>
      <c r="N107" s="83">
        <f t="shared" si="135"/>
        <v>0</v>
      </c>
      <c r="O107" s="6">
        <f t="shared" si="136"/>
        <v>0</v>
      </c>
      <c r="P107" s="34">
        <f t="shared" si="137"/>
        <v>139.70295000000002</v>
      </c>
    </row>
    <row r="108" spans="1:16" ht="51" x14ac:dyDescent="0.25">
      <c r="A108" s="33" t="s">
        <v>268</v>
      </c>
      <c r="B108" s="2" t="s">
        <v>269</v>
      </c>
      <c r="C108" s="85" t="s">
        <v>270</v>
      </c>
      <c r="D108" s="2" t="s">
        <v>21</v>
      </c>
      <c r="E108" s="2" t="s">
        <v>117</v>
      </c>
      <c r="F108" s="7">
        <v>6</v>
      </c>
      <c r="G108" s="8">
        <v>12.5</v>
      </c>
      <c r="H108" s="8">
        <f t="shared" si="125"/>
        <v>15.918750000000001</v>
      </c>
      <c r="I108" s="9">
        <f t="shared" si="132"/>
        <v>95.512500000000003</v>
      </c>
      <c r="J108" s="5"/>
      <c r="K108" s="81"/>
      <c r="L108" s="5">
        <f t="shared" si="133"/>
        <v>0</v>
      </c>
      <c r="M108" s="6">
        <f t="shared" si="134"/>
        <v>0</v>
      </c>
      <c r="N108" s="83">
        <f t="shared" si="135"/>
        <v>0</v>
      </c>
      <c r="O108" s="6">
        <f t="shared" si="136"/>
        <v>0</v>
      </c>
      <c r="P108" s="34">
        <f t="shared" si="137"/>
        <v>95.512500000000003</v>
      </c>
    </row>
    <row r="109" spans="1:16" ht="51" x14ac:dyDescent="0.25">
      <c r="A109" s="33" t="s">
        <v>271</v>
      </c>
      <c r="B109" s="2" t="s">
        <v>272</v>
      </c>
      <c r="C109" s="85" t="s">
        <v>273</v>
      </c>
      <c r="D109" s="2" t="s">
        <v>21</v>
      </c>
      <c r="E109" s="2" t="s">
        <v>22</v>
      </c>
      <c r="F109" s="7">
        <v>203.96</v>
      </c>
      <c r="G109" s="8">
        <v>8.6</v>
      </c>
      <c r="H109" s="8">
        <f t="shared" si="125"/>
        <v>10.9521</v>
      </c>
      <c r="I109" s="9">
        <f t="shared" si="132"/>
        <v>2233.7903160000001</v>
      </c>
      <c r="J109" s="5"/>
      <c r="K109" s="81"/>
      <c r="L109" s="5">
        <f t="shared" si="133"/>
        <v>0</v>
      </c>
      <c r="M109" s="6">
        <f t="shared" si="134"/>
        <v>0</v>
      </c>
      <c r="N109" s="83">
        <f t="shared" si="135"/>
        <v>0</v>
      </c>
      <c r="O109" s="6">
        <f t="shared" si="136"/>
        <v>0</v>
      </c>
      <c r="P109" s="34">
        <f t="shared" si="137"/>
        <v>2233.7903160000001</v>
      </c>
    </row>
    <row r="110" spans="1:16" ht="51" x14ac:dyDescent="0.25">
      <c r="A110" s="33" t="s">
        <v>274</v>
      </c>
      <c r="B110" s="2" t="s">
        <v>275</v>
      </c>
      <c r="C110" s="85" t="s">
        <v>276</v>
      </c>
      <c r="D110" s="2" t="s">
        <v>21</v>
      </c>
      <c r="E110" s="2" t="s">
        <v>22</v>
      </c>
      <c r="F110" s="7">
        <v>18.809999999999999</v>
      </c>
      <c r="G110" s="8">
        <v>9.2899999999999991</v>
      </c>
      <c r="H110" s="8">
        <f t="shared" si="125"/>
        <v>11.830814999999999</v>
      </c>
      <c r="I110" s="9">
        <f t="shared" si="132"/>
        <v>222.53763014999998</v>
      </c>
      <c r="J110" s="5"/>
      <c r="K110" s="81"/>
      <c r="L110" s="5">
        <f t="shared" si="133"/>
        <v>0</v>
      </c>
      <c r="M110" s="6">
        <f t="shared" si="134"/>
        <v>0</v>
      </c>
      <c r="N110" s="83">
        <f t="shared" si="135"/>
        <v>0</v>
      </c>
      <c r="O110" s="6">
        <f t="shared" si="136"/>
        <v>0</v>
      </c>
      <c r="P110" s="34">
        <f t="shared" si="137"/>
        <v>222.53763014999998</v>
      </c>
    </row>
    <row r="111" spans="1:16" ht="51" x14ac:dyDescent="0.25">
      <c r="A111" s="33" t="s">
        <v>277</v>
      </c>
      <c r="B111" s="2" t="s">
        <v>278</v>
      </c>
      <c r="C111" s="85" t="s">
        <v>279</v>
      </c>
      <c r="D111" s="2" t="s">
        <v>21</v>
      </c>
      <c r="E111" s="2" t="s">
        <v>22</v>
      </c>
      <c r="F111" s="7">
        <v>0</v>
      </c>
      <c r="G111" s="8">
        <v>5.36</v>
      </c>
      <c r="H111" s="8">
        <f t="shared" si="125"/>
        <v>6.8259600000000011</v>
      </c>
      <c r="I111" s="9">
        <f t="shared" si="132"/>
        <v>0</v>
      </c>
      <c r="J111" s="5"/>
      <c r="K111" s="81"/>
      <c r="L111" s="5">
        <f t="shared" si="133"/>
        <v>0</v>
      </c>
      <c r="M111" s="6">
        <f t="shared" si="134"/>
        <v>0</v>
      </c>
      <c r="N111" s="83">
        <f t="shared" si="135"/>
        <v>0</v>
      </c>
      <c r="O111" s="6">
        <f t="shared" si="136"/>
        <v>0</v>
      </c>
      <c r="P111" s="34">
        <f t="shared" si="137"/>
        <v>0</v>
      </c>
    </row>
    <row r="112" spans="1:16" ht="25.5" x14ac:dyDescent="0.25">
      <c r="A112" s="33" t="s">
        <v>280</v>
      </c>
      <c r="B112" s="2" t="s">
        <v>281</v>
      </c>
      <c r="C112" s="85" t="s">
        <v>282</v>
      </c>
      <c r="D112" s="2" t="s">
        <v>21</v>
      </c>
      <c r="E112" s="2" t="s">
        <v>22</v>
      </c>
      <c r="F112" s="7">
        <v>0</v>
      </c>
      <c r="G112" s="8">
        <v>9.08</v>
      </c>
      <c r="H112" s="8">
        <f t="shared" si="125"/>
        <v>11.56338</v>
      </c>
      <c r="I112" s="9">
        <f t="shared" si="132"/>
        <v>0</v>
      </c>
      <c r="J112" s="5"/>
      <c r="K112" s="81"/>
      <c r="L112" s="5">
        <f t="shared" si="133"/>
        <v>0</v>
      </c>
      <c r="M112" s="6">
        <f t="shared" si="134"/>
        <v>0</v>
      </c>
      <c r="N112" s="83">
        <f t="shared" si="135"/>
        <v>0</v>
      </c>
      <c r="O112" s="6">
        <f t="shared" si="136"/>
        <v>0</v>
      </c>
      <c r="P112" s="34">
        <f t="shared" si="137"/>
        <v>0</v>
      </c>
    </row>
    <row r="113" spans="1:16" ht="51" x14ac:dyDescent="0.25">
      <c r="A113" s="33" t="s">
        <v>283</v>
      </c>
      <c r="B113" s="2" t="s">
        <v>284</v>
      </c>
      <c r="C113" s="85" t="s">
        <v>285</v>
      </c>
      <c r="D113" s="2" t="s">
        <v>21</v>
      </c>
      <c r="E113" s="2" t="s">
        <v>22</v>
      </c>
      <c r="F113" s="7">
        <v>20.3</v>
      </c>
      <c r="G113" s="8">
        <v>11.61</v>
      </c>
      <c r="H113" s="8">
        <f t="shared" si="125"/>
        <v>14.785335</v>
      </c>
      <c r="I113" s="9">
        <f t="shared" si="132"/>
        <v>300.14230050000003</v>
      </c>
      <c r="J113" s="5"/>
      <c r="K113" s="81"/>
      <c r="L113" s="5">
        <f t="shared" si="133"/>
        <v>0</v>
      </c>
      <c r="M113" s="6">
        <f t="shared" si="134"/>
        <v>0</v>
      </c>
      <c r="N113" s="83">
        <f t="shared" si="135"/>
        <v>0</v>
      </c>
      <c r="O113" s="6">
        <f t="shared" si="136"/>
        <v>0</v>
      </c>
      <c r="P113" s="34">
        <f t="shared" si="137"/>
        <v>300.14230050000003</v>
      </c>
    </row>
    <row r="114" spans="1:16" ht="51" x14ac:dyDescent="0.25">
      <c r="A114" s="33" t="s">
        <v>286</v>
      </c>
      <c r="B114" s="2" t="s">
        <v>287</v>
      </c>
      <c r="C114" s="85" t="s">
        <v>288</v>
      </c>
      <c r="D114" s="2" t="s">
        <v>21</v>
      </c>
      <c r="E114" s="2" t="s">
        <v>22</v>
      </c>
      <c r="F114" s="7">
        <v>205</v>
      </c>
      <c r="G114" s="8">
        <v>9.59</v>
      </c>
      <c r="H114" s="8">
        <f t="shared" si="125"/>
        <v>12.212865000000001</v>
      </c>
      <c r="I114" s="9">
        <f t="shared" si="132"/>
        <v>2503.6373250000001</v>
      </c>
      <c r="J114" s="5"/>
      <c r="K114" s="81"/>
      <c r="L114" s="5">
        <f t="shared" si="133"/>
        <v>0</v>
      </c>
      <c r="M114" s="6">
        <f t="shared" si="134"/>
        <v>0</v>
      </c>
      <c r="N114" s="83">
        <f t="shared" si="135"/>
        <v>0</v>
      </c>
      <c r="O114" s="6">
        <f t="shared" si="136"/>
        <v>0</v>
      </c>
      <c r="P114" s="34">
        <f t="shared" si="137"/>
        <v>2503.6373250000001</v>
      </c>
    </row>
    <row r="115" spans="1:16" ht="51" x14ac:dyDescent="0.25">
      <c r="A115" s="33" t="s">
        <v>289</v>
      </c>
      <c r="B115" s="2" t="s">
        <v>290</v>
      </c>
      <c r="C115" s="85" t="s">
        <v>291</v>
      </c>
      <c r="D115" s="2" t="s">
        <v>21</v>
      </c>
      <c r="E115" s="2" t="s">
        <v>117</v>
      </c>
      <c r="F115" s="7">
        <v>6</v>
      </c>
      <c r="G115" s="8">
        <v>5.3</v>
      </c>
      <c r="H115" s="8">
        <f t="shared" si="125"/>
        <v>6.7495500000000002</v>
      </c>
      <c r="I115" s="9">
        <f t="shared" si="132"/>
        <v>40.497300000000003</v>
      </c>
      <c r="J115" s="5"/>
      <c r="K115" s="81"/>
      <c r="L115" s="5">
        <f t="shared" si="133"/>
        <v>0</v>
      </c>
      <c r="M115" s="6">
        <f t="shared" si="134"/>
        <v>0</v>
      </c>
      <c r="N115" s="83">
        <f t="shared" si="135"/>
        <v>0</v>
      </c>
      <c r="O115" s="6">
        <f t="shared" si="136"/>
        <v>0</v>
      </c>
      <c r="P115" s="34">
        <f t="shared" si="137"/>
        <v>40.497300000000003</v>
      </c>
    </row>
    <row r="116" spans="1:16" ht="51" x14ac:dyDescent="0.25">
      <c r="A116" s="33" t="s">
        <v>292</v>
      </c>
      <c r="B116" s="2" t="s">
        <v>293</v>
      </c>
      <c r="C116" s="85" t="s">
        <v>294</v>
      </c>
      <c r="D116" s="2" t="s">
        <v>21</v>
      </c>
      <c r="E116" s="2" t="s">
        <v>117</v>
      </c>
      <c r="F116" s="7">
        <v>14</v>
      </c>
      <c r="G116" s="8">
        <v>7.01</v>
      </c>
      <c r="H116" s="8">
        <f t="shared" si="125"/>
        <v>8.9272349999999996</v>
      </c>
      <c r="I116" s="9">
        <f t="shared" si="132"/>
        <v>124.98129</v>
      </c>
      <c r="J116" s="5"/>
      <c r="K116" s="81"/>
      <c r="L116" s="5">
        <f t="shared" si="133"/>
        <v>0</v>
      </c>
      <c r="M116" s="6">
        <f t="shared" si="134"/>
        <v>0</v>
      </c>
      <c r="N116" s="83">
        <f t="shared" si="135"/>
        <v>0</v>
      </c>
      <c r="O116" s="6">
        <f t="shared" si="136"/>
        <v>0</v>
      </c>
      <c r="P116" s="34">
        <f t="shared" si="137"/>
        <v>124.98129</v>
      </c>
    </row>
    <row r="117" spans="1:16" ht="38.25" x14ac:dyDescent="0.25">
      <c r="A117" s="33" t="s">
        <v>295</v>
      </c>
      <c r="B117" s="2" t="s">
        <v>296</v>
      </c>
      <c r="C117" s="85" t="s">
        <v>297</v>
      </c>
      <c r="D117" s="2" t="s">
        <v>21</v>
      </c>
      <c r="E117" s="2" t="s">
        <v>117</v>
      </c>
      <c r="F117" s="7">
        <v>0</v>
      </c>
      <c r="G117" s="8">
        <v>9.07</v>
      </c>
      <c r="H117" s="8">
        <f t="shared" si="125"/>
        <v>11.550645000000001</v>
      </c>
      <c r="I117" s="9">
        <f t="shared" si="132"/>
        <v>0</v>
      </c>
      <c r="J117" s="5"/>
      <c r="K117" s="81"/>
      <c r="L117" s="5">
        <f t="shared" si="133"/>
        <v>0</v>
      </c>
      <c r="M117" s="6">
        <f t="shared" si="134"/>
        <v>0</v>
      </c>
      <c r="N117" s="83">
        <f t="shared" si="135"/>
        <v>0</v>
      </c>
      <c r="O117" s="6">
        <f t="shared" si="136"/>
        <v>0</v>
      </c>
      <c r="P117" s="34">
        <f t="shared" si="137"/>
        <v>0</v>
      </c>
    </row>
    <row r="118" spans="1:16" ht="63.75" x14ac:dyDescent="0.25">
      <c r="A118" s="33" t="s">
        <v>298</v>
      </c>
      <c r="B118" s="2" t="s">
        <v>299</v>
      </c>
      <c r="C118" s="85" t="s">
        <v>300</v>
      </c>
      <c r="D118" s="2" t="s">
        <v>21</v>
      </c>
      <c r="E118" s="2" t="s">
        <v>117</v>
      </c>
      <c r="F118" s="7">
        <v>1</v>
      </c>
      <c r="G118" s="8">
        <v>490.95</v>
      </c>
      <c r="H118" s="8">
        <f t="shared" si="125"/>
        <v>625.22482500000001</v>
      </c>
      <c r="I118" s="9">
        <f t="shared" si="132"/>
        <v>625.22482500000001</v>
      </c>
      <c r="J118" s="5"/>
      <c r="K118" s="81"/>
      <c r="L118" s="5">
        <f t="shared" si="133"/>
        <v>0</v>
      </c>
      <c r="M118" s="6">
        <f t="shared" si="134"/>
        <v>0</v>
      </c>
      <c r="N118" s="83">
        <f t="shared" si="135"/>
        <v>0</v>
      </c>
      <c r="O118" s="6">
        <f t="shared" si="136"/>
        <v>0</v>
      </c>
      <c r="P118" s="34">
        <f t="shared" si="137"/>
        <v>625.22482500000001</v>
      </c>
    </row>
    <row r="119" spans="1:16" ht="63.75" x14ac:dyDescent="0.25">
      <c r="A119" s="33" t="s">
        <v>301</v>
      </c>
      <c r="B119" s="2" t="s">
        <v>302</v>
      </c>
      <c r="C119" s="85" t="s">
        <v>303</v>
      </c>
      <c r="D119" s="2" t="s">
        <v>21</v>
      </c>
      <c r="E119" s="2" t="s">
        <v>117</v>
      </c>
      <c r="F119" s="7">
        <v>1</v>
      </c>
      <c r="G119" s="8">
        <v>460.24</v>
      </c>
      <c r="H119" s="8">
        <f t="shared" si="125"/>
        <v>586.1156400000001</v>
      </c>
      <c r="I119" s="9">
        <f t="shared" si="132"/>
        <v>586.1156400000001</v>
      </c>
      <c r="J119" s="5"/>
      <c r="K119" s="81"/>
      <c r="L119" s="5">
        <f t="shared" si="133"/>
        <v>0</v>
      </c>
      <c r="M119" s="6">
        <f t="shared" si="134"/>
        <v>0</v>
      </c>
      <c r="N119" s="83">
        <f t="shared" si="135"/>
        <v>0</v>
      </c>
      <c r="O119" s="6">
        <f t="shared" si="136"/>
        <v>0</v>
      </c>
      <c r="P119" s="34">
        <f t="shared" si="137"/>
        <v>586.1156400000001</v>
      </c>
    </row>
    <row r="120" spans="1:16" x14ac:dyDescent="0.25">
      <c r="A120" s="33" t="s">
        <v>304</v>
      </c>
      <c r="B120" s="2" t="s">
        <v>305</v>
      </c>
      <c r="C120" s="85" t="s">
        <v>306</v>
      </c>
      <c r="D120" s="2"/>
      <c r="E120" s="2" t="s">
        <v>307</v>
      </c>
      <c r="F120" s="7">
        <v>41</v>
      </c>
      <c r="G120" s="8">
        <v>22.26</v>
      </c>
      <c r="H120" s="8">
        <f t="shared" si="125"/>
        <v>28.348110000000002</v>
      </c>
      <c r="I120" s="9">
        <f t="shared" si="132"/>
        <v>1162.27251</v>
      </c>
      <c r="J120" s="5"/>
      <c r="K120" s="81"/>
      <c r="L120" s="5">
        <f t="shared" si="133"/>
        <v>0</v>
      </c>
      <c r="M120" s="6">
        <f t="shared" si="134"/>
        <v>0</v>
      </c>
      <c r="N120" s="83">
        <f t="shared" si="135"/>
        <v>0</v>
      </c>
      <c r="O120" s="6">
        <f t="shared" si="136"/>
        <v>0</v>
      </c>
      <c r="P120" s="34">
        <f t="shared" si="137"/>
        <v>1162.27251</v>
      </c>
    </row>
    <row r="121" spans="1:16" ht="25.5" x14ac:dyDescent="0.25">
      <c r="A121" s="33" t="s">
        <v>308</v>
      </c>
      <c r="B121" s="2" t="s">
        <v>309</v>
      </c>
      <c r="C121" s="85" t="s">
        <v>310</v>
      </c>
      <c r="D121" s="2" t="s">
        <v>12</v>
      </c>
      <c r="E121" s="2" t="s">
        <v>17</v>
      </c>
      <c r="F121" s="7">
        <v>6</v>
      </c>
      <c r="G121" s="8">
        <v>71.28</v>
      </c>
      <c r="H121" s="8">
        <f t="shared" si="125"/>
        <v>90.775080000000003</v>
      </c>
      <c r="I121" s="9">
        <f t="shared" si="132"/>
        <v>544.65048000000002</v>
      </c>
      <c r="J121" s="5"/>
      <c r="K121" s="81"/>
      <c r="L121" s="5">
        <f t="shared" si="133"/>
        <v>0</v>
      </c>
      <c r="M121" s="6">
        <f t="shared" si="134"/>
        <v>0</v>
      </c>
      <c r="N121" s="83">
        <f t="shared" si="135"/>
        <v>0</v>
      </c>
      <c r="O121" s="6">
        <f t="shared" si="136"/>
        <v>0</v>
      </c>
      <c r="P121" s="34">
        <f t="shared" si="137"/>
        <v>544.65048000000002</v>
      </c>
    </row>
    <row r="122" spans="1:16" ht="38.25" x14ac:dyDescent="0.25">
      <c r="A122" s="33" t="s">
        <v>311</v>
      </c>
      <c r="B122" s="2" t="s">
        <v>312</v>
      </c>
      <c r="C122" s="85" t="s">
        <v>313</v>
      </c>
      <c r="D122" s="2" t="s">
        <v>21</v>
      </c>
      <c r="E122" s="2" t="s">
        <v>117</v>
      </c>
      <c r="F122" s="7">
        <v>11</v>
      </c>
      <c r="G122" s="8">
        <v>26.34</v>
      </c>
      <c r="H122" s="8">
        <f t="shared" si="125"/>
        <v>33.543990000000001</v>
      </c>
      <c r="I122" s="9">
        <f t="shared" si="132"/>
        <v>368.98389000000003</v>
      </c>
      <c r="J122" s="5"/>
      <c r="K122" s="81"/>
      <c r="L122" s="5">
        <f t="shared" si="133"/>
        <v>0</v>
      </c>
      <c r="M122" s="6">
        <f t="shared" si="134"/>
        <v>0</v>
      </c>
      <c r="N122" s="83">
        <f t="shared" si="135"/>
        <v>0</v>
      </c>
      <c r="O122" s="6">
        <f t="shared" si="136"/>
        <v>0</v>
      </c>
      <c r="P122" s="34">
        <f t="shared" si="137"/>
        <v>368.98389000000003</v>
      </c>
    </row>
    <row r="123" spans="1:16" ht="38.25" x14ac:dyDescent="0.25">
      <c r="A123" s="33" t="s">
        <v>314</v>
      </c>
      <c r="B123" s="2" t="s">
        <v>315</v>
      </c>
      <c r="C123" s="85" t="s">
        <v>316</v>
      </c>
      <c r="D123" s="2" t="s">
        <v>21</v>
      </c>
      <c r="E123" s="2" t="s">
        <v>117</v>
      </c>
      <c r="F123" s="7">
        <v>8</v>
      </c>
      <c r="G123" s="8">
        <v>30.42</v>
      </c>
      <c r="H123" s="8">
        <f t="shared" si="125"/>
        <v>38.739870000000003</v>
      </c>
      <c r="I123" s="9">
        <f t="shared" si="132"/>
        <v>309.91896000000003</v>
      </c>
      <c r="J123" s="5"/>
      <c r="K123" s="81"/>
      <c r="L123" s="5">
        <f t="shared" si="133"/>
        <v>0</v>
      </c>
      <c r="M123" s="6">
        <f t="shared" si="134"/>
        <v>0</v>
      </c>
      <c r="N123" s="83">
        <f t="shared" si="135"/>
        <v>0</v>
      </c>
      <c r="O123" s="6">
        <f t="shared" si="136"/>
        <v>0</v>
      </c>
      <c r="P123" s="34">
        <f t="shared" si="137"/>
        <v>309.91896000000003</v>
      </c>
    </row>
    <row r="124" spans="1:16" ht="51" x14ac:dyDescent="0.25">
      <c r="A124" s="33" t="s">
        <v>317</v>
      </c>
      <c r="B124" s="2" t="s">
        <v>318</v>
      </c>
      <c r="C124" s="85" t="s">
        <v>319</v>
      </c>
      <c r="D124" s="2" t="s">
        <v>21</v>
      </c>
      <c r="E124" s="2" t="s">
        <v>117</v>
      </c>
      <c r="F124" s="7">
        <v>1</v>
      </c>
      <c r="G124" s="8">
        <v>54.64</v>
      </c>
      <c r="H124" s="8">
        <f t="shared" si="125"/>
        <v>69.584040000000002</v>
      </c>
      <c r="I124" s="9">
        <f t="shared" si="132"/>
        <v>69.584040000000002</v>
      </c>
      <c r="J124" s="5"/>
      <c r="K124" s="81"/>
      <c r="L124" s="5">
        <f t="shared" si="133"/>
        <v>0</v>
      </c>
      <c r="M124" s="6">
        <f t="shared" si="134"/>
        <v>0</v>
      </c>
      <c r="N124" s="83">
        <f t="shared" si="135"/>
        <v>0</v>
      </c>
      <c r="O124" s="6">
        <f t="shared" si="136"/>
        <v>0</v>
      </c>
      <c r="P124" s="34">
        <f t="shared" si="137"/>
        <v>69.584040000000002</v>
      </c>
    </row>
    <row r="125" spans="1:16" ht="51" x14ac:dyDescent="0.25">
      <c r="A125" s="33" t="s">
        <v>320</v>
      </c>
      <c r="B125" s="2" t="s">
        <v>321</v>
      </c>
      <c r="C125" s="85" t="s">
        <v>322</v>
      </c>
      <c r="D125" s="2" t="s">
        <v>21</v>
      </c>
      <c r="E125" s="2" t="s">
        <v>117</v>
      </c>
      <c r="F125" s="7">
        <v>6</v>
      </c>
      <c r="G125" s="8">
        <v>85.63</v>
      </c>
      <c r="H125" s="8">
        <f t="shared" si="125"/>
        <v>109.04980500000001</v>
      </c>
      <c r="I125" s="9">
        <f t="shared" si="132"/>
        <v>654.29883000000007</v>
      </c>
      <c r="J125" s="5"/>
      <c r="K125" s="81"/>
      <c r="L125" s="5">
        <f t="shared" si="133"/>
        <v>0</v>
      </c>
      <c r="M125" s="6">
        <f t="shared" si="134"/>
        <v>0</v>
      </c>
      <c r="N125" s="83">
        <f t="shared" si="135"/>
        <v>0</v>
      </c>
      <c r="O125" s="6">
        <f t="shared" si="136"/>
        <v>0</v>
      </c>
      <c r="P125" s="34">
        <f t="shared" si="137"/>
        <v>654.29883000000007</v>
      </c>
    </row>
    <row r="126" spans="1:16" ht="51" x14ac:dyDescent="0.25">
      <c r="A126" s="33" t="s">
        <v>323</v>
      </c>
      <c r="B126" s="2" t="s">
        <v>324</v>
      </c>
      <c r="C126" s="85" t="s">
        <v>325</v>
      </c>
      <c r="D126" s="2" t="s">
        <v>21</v>
      </c>
      <c r="E126" s="2" t="s">
        <v>117</v>
      </c>
      <c r="F126" s="7">
        <v>81</v>
      </c>
      <c r="G126" s="8">
        <v>117.08</v>
      </c>
      <c r="H126" s="8">
        <f t="shared" si="125"/>
        <v>149.10138000000001</v>
      </c>
      <c r="I126" s="9">
        <f t="shared" si="132"/>
        <v>12077.21178</v>
      </c>
      <c r="J126" s="5"/>
      <c r="K126" s="81"/>
      <c r="L126" s="5">
        <f t="shared" si="133"/>
        <v>0</v>
      </c>
      <c r="M126" s="6">
        <f t="shared" si="134"/>
        <v>0</v>
      </c>
      <c r="N126" s="83">
        <f t="shared" si="135"/>
        <v>0</v>
      </c>
      <c r="O126" s="6">
        <f t="shared" si="136"/>
        <v>0</v>
      </c>
      <c r="P126" s="34">
        <f t="shared" si="137"/>
        <v>12077.21178</v>
      </c>
    </row>
    <row r="127" spans="1:16" ht="51" x14ac:dyDescent="0.25">
      <c r="A127" s="33" t="s">
        <v>326</v>
      </c>
      <c r="B127" s="2" t="s">
        <v>327</v>
      </c>
      <c r="C127" s="85" t="s">
        <v>328</v>
      </c>
      <c r="D127" s="2" t="s">
        <v>21</v>
      </c>
      <c r="E127" s="2" t="s">
        <v>22</v>
      </c>
      <c r="F127" s="7">
        <v>64.95</v>
      </c>
      <c r="G127" s="8">
        <v>13.87</v>
      </c>
      <c r="H127" s="8">
        <f t="shared" si="125"/>
        <v>17.663444999999999</v>
      </c>
      <c r="I127" s="9">
        <f t="shared" si="132"/>
        <v>1147.24075275</v>
      </c>
      <c r="J127" s="5"/>
      <c r="K127" s="81"/>
      <c r="L127" s="5">
        <f t="shared" si="133"/>
        <v>0</v>
      </c>
      <c r="M127" s="6">
        <f t="shared" si="134"/>
        <v>0</v>
      </c>
      <c r="N127" s="83">
        <f t="shared" si="135"/>
        <v>0</v>
      </c>
      <c r="O127" s="6">
        <f t="shared" si="136"/>
        <v>0</v>
      </c>
      <c r="P127" s="34">
        <f t="shared" si="137"/>
        <v>1147.24075275</v>
      </c>
    </row>
    <row r="128" spans="1:16" ht="51" x14ac:dyDescent="0.25">
      <c r="A128" s="33" t="s">
        <v>329</v>
      </c>
      <c r="B128" s="2" t="s">
        <v>327</v>
      </c>
      <c r="C128" s="85" t="s">
        <v>328</v>
      </c>
      <c r="D128" s="2" t="s">
        <v>21</v>
      </c>
      <c r="E128" s="2" t="s">
        <v>22</v>
      </c>
      <c r="F128" s="7">
        <v>21.65</v>
      </c>
      <c r="G128" s="8">
        <v>13.87</v>
      </c>
      <c r="H128" s="8">
        <f t="shared" si="125"/>
        <v>17.663444999999999</v>
      </c>
      <c r="I128" s="9">
        <f t="shared" si="132"/>
        <v>382.41358424999999</v>
      </c>
      <c r="J128" s="5"/>
      <c r="K128" s="81"/>
      <c r="L128" s="5">
        <f t="shared" si="133"/>
        <v>0</v>
      </c>
      <c r="M128" s="6">
        <f t="shared" si="134"/>
        <v>0</v>
      </c>
      <c r="N128" s="83">
        <f t="shared" si="135"/>
        <v>0</v>
      </c>
      <c r="O128" s="6">
        <f t="shared" si="136"/>
        <v>0</v>
      </c>
      <c r="P128" s="34">
        <f t="shared" si="137"/>
        <v>382.41358424999999</v>
      </c>
    </row>
    <row r="129" spans="1:16" ht="51" x14ac:dyDescent="0.25">
      <c r="A129" s="33" t="s">
        <v>330</v>
      </c>
      <c r="B129" s="2" t="s">
        <v>327</v>
      </c>
      <c r="C129" s="85" t="s">
        <v>328</v>
      </c>
      <c r="D129" s="2" t="s">
        <v>21</v>
      </c>
      <c r="E129" s="2" t="s">
        <v>22</v>
      </c>
      <c r="F129" s="7">
        <v>30.65</v>
      </c>
      <c r="G129" s="8">
        <v>13.87</v>
      </c>
      <c r="H129" s="8">
        <f t="shared" si="125"/>
        <v>17.663444999999999</v>
      </c>
      <c r="I129" s="9">
        <f t="shared" si="132"/>
        <v>541.38458924999998</v>
      </c>
      <c r="J129" s="5"/>
      <c r="K129" s="81"/>
      <c r="L129" s="5">
        <f t="shared" si="133"/>
        <v>0</v>
      </c>
      <c r="M129" s="6">
        <f t="shared" si="134"/>
        <v>0</v>
      </c>
      <c r="N129" s="83">
        <f t="shared" si="135"/>
        <v>0</v>
      </c>
      <c r="O129" s="6">
        <f t="shared" si="136"/>
        <v>0</v>
      </c>
      <c r="P129" s="34">
        <f t="shared" si="137"/>
        <v>541.38458924999998</v>
      </c>
    </row>
    <row r="130" spans="1:16" ht="38.25" x14ac:dyDescent="0.25">
      <c r="A130" s="33" t="s">
        <v>331</v>
      </c>
      <c r="B130" s="2" t="s">
        <v>332</v>
      </c>
      <c r="C130" s="85" t="s">
        <v>333</v>
      </c>
      <c r="D130" s="2" t="s">
        <v>12</v>
      </c>
      <c r="E130" s="2" t="s">
        <v>17</v>
      </c>
      <c r="F130" s="7">
        <v>4</v>
      </c>
      <c r="G130" s="8">
        <v>137.51</v>
      </c>
      <c r="H130" s="8">
        <f t="shared" si="125"/>
        <v>175.11898500000001</v>
      </c>
      <c r="I130" s="9">
        <f t="shared" si="132"/>
        <v>700.47594000000004</v>
      </c>
      <c r="J130" s="5"/>
      <c r="K130" s="81"/>
      <c r="L130" s="5">
        <f t="shared" si="133"/>
        <v>0</v>
      </c>
      <c r="M130" s="6">
        <f t="shared" si="134"/>
        <v>0</v>
      </c>
      <c r="N130" s="83">
        <f t="shared" si="135"/>
        <v>0</v>
      </c>
      <c r="O130" s="6">
        <f t="shared" si="136"/>
        <v>0</v>
      </c>
      <c r="P130" s="34">
        <f t="shared" si="137"/>
        <v>700.47594000000004</v>
      </c>
    </row>
    <row r="131" spans="1:16" ht="38.25" x14ac:dyDescent="0.25">
      <c r="A131" s="33" t="s">
        <v>334</v>
      </c>
      <c r="B131" s="2" t="s">
        <v>335</v>
      </c>
      <c r="C131" s="85" t="s">
        <v>336</v>
      </c>
      <c r="D131" s="2" t="s">
        <v>21</v>
      </c>
      <c r="E131" s="2" t="s">
        <v>117</v>
      </c>
      <c r="F131" s="7">
        <v>15</v>
      </c>
      <c r="G131" s="8">
        <v>8.34</v>
      </c>
      <c r="H131" s="8">
        <f t="shared" si="125"/>
        <v>10.620990000000001</v>
      </c>
      <c r="I131" s="9">
        <f t="shared" si="132"/>
        <v>159.31485000000001</v>
      </c>
      <c r="J131" s="5"/>
      <c r="K131" s="81"/>
      <c r="L131" s="5">
        <f t="shared" si="133"/>
        <v>0</v>
      </c>
      <c r="M131" s="6">
        <f t="shared" si="134"/>
        <v>0</v>
      </c>
      <c r="N131" s="83">
        <f t="shared" si="135"/>
        <v>0</v>
      </c>
      <c r="O131" s="6">
        <f t="shared" si="136"/>
        <v>0</v>
      </c>
      <c r="P131" s="34">
        <f t="shared" si="137"/>
        <v>159.31485000000001</v>
      </c>
    </row>
    <row r="132" spans="1:16" ht="38.25" x14ac:dyDescent="0.25">
      <c r="A132" s="33" t="s">
        <v>337</v>
      </c>
      <c r="B132" s="2" t="s">
        <v>338</v>
      </c>
      <c r="C132" s="85" t="s">
        <v>339</v>
      </c>
      <c r="D132" s="2" t="s">
        <v>21</v>
      </c>
      <c r="E132" s="2" t="s">
        <v>117</v>
      </c>
      <c r="F132" s="7">
        <v>3</v>
      </c>
      <c r="G132" s="8">
        <v>7.22</v>
      </c>
      <c r="H132" s="8">
        <f t="shared" si="125"/>
        <v>9.1946700000000003</v>
      </c>
      <c r="I132" s="9">
        <f t="shared" si="132"/>
        <v>27.584009999999999</v>
      </c>
      <c r="J132" s="5"/>
      <c r="K132" s="81"/>
      <c r="L132" s="5">
        <f t="shared" si="133"/>
        <v>0</v>
      </c>
      <c r="M132" s="6">
        <f t="shared" si="134"/>
        <v>0</v>
      </c>
      <c r="N132" s="83">
        <f t="shared" si="135"/>
        <v>0</v>
      </c>
      <c r="O132" s="6">
        <f t="shared" si="136"/>
        <v>0</v>
      </c>
      <c r="P132" s="34">
        <f t="shared" si="137"/>
        <v>27.584009999999999</v>
      </c>
    </row>
    <row r="133" spans="1:16" ht="38.25" x14ac:dyDescent="0.25">
      <c r="A133" s="33" t="s">
        <v>340</v>
      </c>
      <c r="B133" s="2" t="s">
        <v>341</v>
      </c>
      <c r="C133" s="85" t="s">
        <v>342</v>
      </c>
      <c r="D133" s="2" t="s">
        <v>21</v>
      </c>
      <c r="E133" s="2" t="s">
        <v>117</v>
      </c>
      <c r="F133" s="7">
        <v>2</v>
      </c>
      <c r="G133" s="8">
        <v>57.46</v>
      </c>
      <c r="H133" s="8">
        <f t="shared" si="125"/>
        <v>73.17531000000001</v>
      </c>
      <c r="I133" s="9">
        <f t="shared" si="132"/>
        <v>146.35062000000002</v>
      </c>
      <c r="J133" s="5"/>
      <c r="K133" s="81"/>
      <c r="L133" s="5">
        <f t="shared" si="133"/>
        <v>0</v>
      </c>
      <c r="M133" s="6">
        <f t="shared" si="134"/>
        <v>0</v>
      </c>
      <c r="N133" s="83">
        <f t="shared" si="135"/>
        <v>0</v>
      </c>
      <c r="O133" s="6">
        <f t="shared" si="136"/>
        <v>0</v>
      </c>
      <c r="P133" s="34">
        <f t="shared" si="137"/>
        <v>146.35062000000002</v>
      </c>
    </row>
    <row r="134" spans="1:16" ht="38.25" x14ac:dyDescent="0.25">
      <c r="A134" s="33" t="s">
        <v>343</v>
      </c>
      <c r="B134" s="2" t="s">
        <v>341</v>
      </c>
      <c r="C134" s="85" t="s">
        <v>342</v>
      </c>
      <c r="D134" s="2" t="s">
        <v>21</v>
      </c>
      <c r="E134" s="2" t="s">
        <v>117</v>
      </c>
      <c r="F134" s="7">
        <v>2</v>
      </c>
      <c r="G134" s="8">
        <v>57.46</v>
      </c>
      <c r="H134" s="8">
        <f t="shared" si="125"/>
        <v>73.17531000000001</v>
      </c>
      <c r="I134" s="9">
        <f t="shared" si="132"/>
        <v>146.35062000000002</v>
      </c>
      <c r="J134" s="5"/>
      <c r="K134" s="81"/>
      <c r="L134" s="5">
        <f t="shared" si="133"/>
        <v>0</v>
      </c>
      <c r="M134" s="6">
        <f t="shared" si="134"/>
        <v>0</v>
      </c>
      <c r="N134" s="83">
        <f t="shared" si="135"/>
        <v>0</v>
      </c>
      <c r="O134" s="6">
        <f t="shared" si="136"/>
        <v>0</v>
      </c>
      <c r="P134" s="34">
        <f t="shared" si="137"/>
        <v>146.35062000000002</v>
      </c>
    </row>
    <row r="135" spans="1:16" ht="38.25" x14ac:dyDescent="0.25">
      <c r="A135" s="33" t="s">
        <v>344</v>
      </c>
      <c r="B135" s="2" t="s">
        <v>345</v>
      </c>
      <c r="C135" s="85" t="s">
        <v>346</v>
      </c>
      <c r="D135" s="2" t="s">
        <v>21</v>
      </c>
      <c r="E135" s="2" t="s">
        <v>22</v>
      </c>
      <c r="F135" s="7">
        <v>585.29999999999995</v>
      </c>
      <c r="G135" s="8">
        <v>5.22</v>
      </c>
      <c r="H135" s="8">
        <f t="shared" si="125"/>
        <v>6.6476699999999997</v>
      </c>
      <c r="I135" s="9">
        <f t="shared" si="132"/>
        <v>3890.8812509999993</v>
      </c>
      <c r="J135" s="5"/>
      <c r="K135" s="81"/>
      <c r="L135" s="5">
        <f t="shared" si="133"/>
        <v>0</v>
      </c>
      <c r="M135" s="6">
        <f t="shared" si="134"/>
        <v>0</v>
      </c>
      <c r="N135" s="83">
        <f t="shared" si="135"/>
        <v>0</v>
      </c>
      <c r="O135" s="6">
        <f t="shared" si="136"/>
        <v>0</v>
      </c>
      <c r="P135" s="34">
        <f t="shared" si="137"/>
        <v>3890.8812509999993</v>
      </c>
    </row>
    <row r="136" spans="1:16" ht="38.25" x14ac:dyDescent="0.25">
      <c r="A136" s="33" t="s">
        <v>347</v>
      </c>
      <c r="B136" s="2" t="s">
        <v>348</v>
      </c>
      <c r="C136" s="85" t="s">
        <v>349</v>
      </c>
      <c r="D136" s="2" t="s">
        <v>21</v>
      </c>
      <c r="E136" s="2" t="s">
        <v>22</v>
      </c>
      <c r="F136" s="7">
        <v>451.74</v>
      </c>
      <c r="G136" s="8">
        <v>2.14</v>
      </c>
      <c r="H136" s="8">
        <f t="shared" si="125"/>
        <v>2.7252900000000002</v>
      </c>
      <c r="I136" s="9">
        <f t="shared" si="132"/>
        <v>1231.1225046000002</v>
      </c>
      <c r="J136" s="5"/>
      <c r="K136" s="81"/>
      <c r="L136" s="5">
        <f t="shared" si="133"/>
        <v>0</v>
      </c>
      <c r="M136" s="6">
        <f t="shared" si="134"/>
        <v>0</v>
      </c>
      <c r="N136" s="83">
        <f t="shared" si="135"/>
        <v>0</v>
      </c>
      <c r="O136" s="6">
        <f t="shared" si="136"/>
        <v>0</v>
      </c>
      <c r="P136" s="34">
        <f t="shared" si="137"/>
        <v>1231.1225046000002</v>
      </c>
    </row>
    <row r="137" spans="1:16" ht="25.5" x14ac:dyDescent="0.25">
      <c r="A137" s="33" t="s">
        <v>350</v>
      </c>
      <c r="B137" s="2" t="s">
        <v>351</v>
      </c>
      <c r="C137" s="85" t="s">
        <v>352</v>
      </c>
      <c r="D137" s="2"/>
      <c r="E137" s="2" t="s">
        <v>353</v>
      </c>
      <c r="F137" s="7">
        <v>1</v>
      </c>
      <c r="G137" s="8">
        <v>180</v>
      </c>
      <c r="H137" s="8">
        <f t="shared" si="125"/>
        <v>229.23000000000002</v>
      </c>
      <c r="I137" s="9">
        <f t="shared" si="132"/>
        <v>229.23000000000002</v>
      </c>
      <c r="J137" s="5"/>
      <c r="K137" s="81"/>
      <c r="L137" s="5">
        <f t="shared" si="133"/>
        <v>0</v>
      </c>
      <c r="M137" s="6">
        <f t="shared" si="134"/>
        <v>0</v>
      </c>
      <c r="N137" s="83">
        <f t="shared" si="135"/>
        <v>0</v>
      </c>
      <c r="O137" s="6">
        <f t="shared" si="136"/>
        <v>0</v>
      </c>
      <c r="P137" s="34">
        <f t="shared" si="137"/>
        <v>229.23000000000002</v>
      </c>
    </row>
    <row r="138" spans="1:16" ht="38.25" x14ac:dyDescent="0.25">
      <c r="A138" s="33" t="s">
        <v>354</v>
      </c>
      <c r="B138" s="2" t="s">
        <v>355</v>
      </c>
      <c r="C138" s="85" t="s">
        <v>356</v>
      </c>
      <c r="D138" s="2" t="s">
        <v>21</v>
      </c>
      <c r="E138" s="2" t="s">
        <v>117</v>
      </c>
      <c r="F138" s="7">
        <v>3</v>
      </c>
      <c r="G138" s="8">
        <v>31.04</v>
      </c>
      <c r="H138" s="8">
        <f t="shared" si="125"/>
        <v>39.529440000000001</v>
      </c>
      <c r="I138" s="9">
        <f t="shared" si="132"/>
        <v>118.58832000000001</v>
      </c>
      <c r="J138" s="5"/>
      <c r="K138" s="81"/>
      <c r="L138" s="5">
        <f t="shared" si="133"/>
        <v>0</v>
      </c>
      <c r="M138" s="6">
        <f t="shared" si="134"/>
        <v>0</v>
      </c>
      <c r="N138" s="83">
        <f t="shared" si="135"/>
        <v>0</v>
      </c>
      <c r="O138" s="6">
        <f t="shared" si="136"/>
        <v>0</v>
      </c>
      <c r="P138" s="34">
        <f t="shared" si="137"/>
        <v>118.58832000000001</v>
      </c>
    </row>
    <row r="139" spans="1:16" ht="25.5" x14ac:dyDescent="0.25">
      <c r="A139" s="33" t="s">
        <v>357</v>
      </c>
      <c r="B139" s="2" t="s">
        <v>351</v>
      </c>
      <c r="C139" s="85" t="s">
        <v>352</v>
      </c>
      <c r="D139" s="2"/>
      <c r="E139" s="2" t="s">
        <v>307</v>
      </c>
      <c r="F139" s="7">
        <v>3</v>
      </c>
      <c r="G139" s="8">
        <v>4.0199999999999996</v>
      </c>
      <c r="H139" s="8">
        <f t="shared" si="125"/>
        <v>5.1194699999999997</v>
      </c>
      <c r="I139" s="9">
        <f t="shared" si="132"/>
        <v>15.358409999999999</v>
      </c>
      <c r="J139" s="5"/>
      <c r="K139" s="81"/>
      <c r="L139" s="5">
        <f t="shared" si="133"/>
        <v>0</v>
      </c>
      <c r="M139" s="6">
        <f t="shared" si="134"/>
        <v>0</v>
      </c>
      <c r="N139" s="83">
        <f t="shared" si="135"/>
        <v>0</v>
      </c>
      <c r="O139" s="6">
        <f t="shared" si="136"/>
        <v>0</v>
      </c>
      <c r="P139" s="34">
        <f t="shared" si="137"/>
        <v>15.358409999999999</v>
      </c>
    </row>
    <row r="140" spans="1:16" x14ac:dyDescent="0.25">
      <c r="A140" s="33" t="s">
        <v>358</v>
      </c>
      <c r="B140" s="2" t="s">
        <v>359</v>
      </c>
      <c r="C140" s="85" t="s">
        <v>360</v>
      </c>
      <c r="D140" s="2" t="s">
        <v>12</v>
      </c>
      <c r="E140" s="2" t="s">
        <v>361</v>
      </c>
      <c r="F140" s="7">
        <v>0.5</v>
      </c>
      <c r="G140" s="8">
        <v>20.49</v>
      </c>
      <c r="H140" s="8">
        <f t="shared" si="125"/>
        <v>26.094014999999999</v>
      </c>
      <c r="I140" s="9">
        <f t="shared" si="132"/>
        <v>13.047007499999999</v>
      </c>
      <c r="J140" s="5"/>
      <c r="K140" s="81"/>
      <c r="L140" s="5">
        <f t="shared" si="133"/>
        <v>0</v>
      </c>
      <c r="M140" s="6">
        <f t="shared" si="134"/>
        <v>0</v>
      </c>
      <c r="N140" s="83">
        <f t="shared" si="135"/>
        <v>0</v>
      </c>
      <c r="O140" s="6">
        <f t="shared" si="136"/>
        <v>0</v>
      </c>
      <c r="P140" s="34">
        <f t="shared" si="137"/>
        <v>13.047007499999999</v>
      </c>
    </row>
    <row r="141" spans="1:16" ht="25.5" x14ac:dyDescent="0.25">
      <c r="A141" s="33" t="s">
        <v>362</v>
      </c>
      <c r="B141" s="2" t="s">
        <v>363</v>
      </c>
      <c r="C141" s="85" t="s">
        <v>364</v>
      </c>
      <c r="D141" s="2" t="s">
        <v>21</v>
      </c>
      <c r="E141" s="2" t="s">
        <v>117</v>
      </c>
      <c r="F141" s="7">
        <v>3</v>
      </c>
      <c r="G141" s="8">
        <v>47.34</v>
      </c>
      <c r="H141" s="8">
        <f t="shared" si="125"/>
        <v>60.287490000000005</v>
      </c>
      <c r="I141" s="9">
        <f t="shared" si="132"/>
        <v>180.86247000000003</v>
      </c>
      <c r="J141" s="5"/>
      <c r="K141" s="81"/>
      <c r="L141" s="5">
        <f t="shared" si="133"/>
        <v>0</v>
      </c>
      <c r="M141" s="6">
        <f t="shared" si="134"/>
        <v>0</v>
      </c>
      <c r="N141" s="83">
        <f t="shared" si="135"/>
        <v>0</v>
      </c>
      <c r="O141" s="6">
        <f t="shared" si="136"/>
        <v>0</v>
      </c>
      <c r="P141" s="34">
        <f t="shared" si="137"/>
        <v>180.86247000000003</v>
      </c>
    </row>
    <row r="142" spans="1:16" x14ac:dyDescent="0.25">
      <c r="A142" s="33" t="s">
        <v>365</v>
      </c>
      <c r="B142" s="2" t="s">
        <v>366</v>
      </c>
      <c r="C142" s="85" t="s">
        <v>367</v>
      </c>
      <c r="D142" s="2" t="s">
        <v>12</v>
      </c>
      <c r="E142" s="2" t="s">
        <v>252</v>
      </c>
      <c r="F142" s="7">
        <v>10</v>
      </c>
      <c r="G142" s="8">
        <v>9.59</v>
      </c>
      <c r="H142" s="8">
        <f t="shared" si="125"/>
        <v>12.212865000000001</v>
      </c>
      <c r="I142" s="9">
        <f t="shared" si="132"/>
        <v>122.12865000000001</v>
      </c>
      <c r="J142" s="5"/>
      <c r="K142" s="81"/>
      <c r="L142" s="5">
        <f t="shared" si="133"/>
        <v>0</v>
      </c>
      <c r="M142" s="6">
        <f t="shared" si="134"/>
        <v>0</v>
      </c>
      <c r="N142" s="83">
        <f t="shared" si="135"/>
        <v>0</v>
      </c>
      <c r="O142" s="6">
        <f t="shared" si="136"/>
        <v>0</v>
      </c>
      <c r="P142" s="34">
        <f t="shared" si="137"/>
        <v>122.12865000000001</v>
      </c>
    </row>
    <row r="143" spans="1:16" ht="38.25" x14ac:dyDescent="0.25">
      <c r="A143" s="33" t="s">
        <v>368</v>
      </c>
      <c r="B143" s="2" t="s">
        <v>369</v>
      </c>
      <c r="C143" s="85" t="s">
        <v>370</v>
      </c>
      <c r="D143" s="2" t="s">
        <v>21</v>
      </c>
      <c r="E143" s="2" t="s">
        <v>22</v>
      </c>
      <c r="F143" s="7">
        <v>585.29999999999995</v>
      </c>
      <c r="G143" s="8">
        <v>3.16</v>
      </c>
      <c r="H143" s="8">
        <f t="shared" si="125"/>
        <v>4.0242600000000008</v>
      </c>
      <c r="I143" s="9">
        <f t="shared" si="132"/>
        <v>2355.3993780000005</v>
      </c>
      <c r="J143" s="5"/>
      <c r="K143" s="81"/>
      <c r="L143" s="5">
        <f t="shared" si="133"/>
        <v>0</v>
      </c>
      <c r="M143" s="6">
        <f t="shared" si="134"/>
        <v>0</v>
      </c>
      <c r="N143" s="83">
        <f t="shared" si="135"/>
        <v>0</v>
      </c>
      <c r="O143" s="6">
        <f t="shared" si="136"/>
        <v>0</v>
      </c>
      <c r="P143" s="34">
        <f t="shared" si="137"/>
        <v>2355.3993780000005</v>
      </c>
    </row>
    <row r="144" spans="1:16" ht="38.25" x14ac:dyDescent="0.25">
      <c r="A144" s="33" t="s">
        <v>371</v>
      </c>
      <c r="B144" s="2" t="s">
        <v>348</v>
      </c>
      <c r="C144" s="85" t="s">
        <v>349</v>
      </c>
      <c r="D144" s="2" t="s">
        <v>21</v>
      </c>
      <c r="E144" s="2" t="s">
        <v>22</v>
      </c>
      <c r="F144" s="7">
        <v>451.74</v>
      </c>
      <c r="G144" s="8">
        <v>2.14</v>
      </c>
      <c r="H144" s="8">
        <f t="shared" si="125"/>
        <v>2.7252900000000002</v>
      </c>
      <c r="I144" s="9">
        <f t="shared" si="132"/>
        <v>1231.1225046000002</v>
      </c>
      <c r="J144" s="5"/>
      <c r="K144" s="81"/>
      <c r="L144" s="5">
        <f t="shared" si="133"/>
        <v>0</v>
      </c>
      <c r="M144" s="6">
        <f t="shared" si="134"/>
        <v>0</v>
      </c>
      <c r="N144" s="83">
        <f t="shared" si="135"/>
        <v>0</v>
      </c>
      <c r="O144" s="6">
        <f t="shared" si="136"/>
        <v>0</v>
      </c>
      <c r="P144" s="34">
        <f t="shared" si="137"/>
        <v>1231.1225046000002</v>
      </c>
    </row>
    <row r="145" spans="1:16" ht="38.25" x14ac:dyDescent="0.25">
      <c r="A145" s="33" t="s">
        <v>372</v>
      </c>
      <c r="B145" s="2" t="s">
        <v>369</v>
      </c>
      <c r="C145" s="85" t="s">
        <v>370</v>
      </c>
      <c r="D145" s="2" t="s">
        <v>21</v>
      </c>
      <c r="E145" s="2" t="s">
        <v>22</v>
      </c>
      <c r="F145" s="7">
        <v>275.5</v>
      </c>
      <c r="G145" s="8">
        <v>3.16</v>
      </c>
      <c r="H145" s="8">
        <f t="shared" si="125"/>
        <v>4.0242600000000008</v>
      </c>
      <c r="I145" s="9">
        <f t="shared" si="132"/>
        <v>1108.6836300000002</v>
      </c>
      <c r="J145" s="5"/>
      <c r="K145" s="81"/>
      <c r="L145" s="5">
        <f t="shared" si="133"/>
        <v>0</v>
      </c>
      <c r="M145" s="6">
        <f t="shared" si="134"/>
        <v>0</v>
      </c>
      <c r="N145" s="83">
        <f t="shared" si="135"/>
        <v>0</v>
      </c>
      <c r="O145" s="6">
        <f t="shared" si="136"/>
        <v>0</v>
      </c>
      <c r="P145" s="34">
        <f t="shared" si="137"/>
        <v>1108.6836300000002</v>
      </c>
    </row>
    <row r="146" spans="1:16" ht="38.25" x14ac:dyDescent="0.25">
      <c r="A146" s="33" t="s">
        <v>373</v>
      </c>
      <c r="B146" s="2" t="s">
        <v>369</v>
      </c>
      <c r="C146" s="85" t="s">
        <v>370</v>
      </c>
      <c r="D146" s="2" t="s">
        <v>21</v>
      </c>
      <c r="E146" s="2" t="s">
        <v>22</v>
      </c>
      <c r="F146" s="7">
        <v>299.24</v>
      </c>
      <c r="G146" s="8">
        <v>3.16</v>
      </c>
      <c r="H146" s="8">
        <f t="shared" si="125"/>
        <v>4.0242600000000008</v>
      </c>
      <c r="I146" s="9">
        <f t="shared" si="132"/>
        <v>1204.2195624000003</v>
      </c>
      <c r="J146" s="5"/>
      <c r="K146" s="81"/>
      <c r="L146" s="5">
        <f t="shared" si="133"/>
        <v>0</v>
      </c>
      <c r="M146" s="6">
        <f t="shared" si="134"/>
        <v>0</v>
      </c>
      <c r="N146" s="83">
        <f t="shared" si="135"/>
        <v>0</v>
      </c>
      <c r="O146" s="6">
        <f t="shared" si="136"/>
        <v>0</v>
      </c>
      <c r="P146" s="34">
        <f t="shared" si="137"/>
        <v>1204.2195624000003</v>
      </c>
    </row>
    <row r="147" spans="1:16" ht="76.5" x14ac:dyDescent="0.25">
      <c r="A147" s="33" t="s">
        <v>374</v>
      </c>
      <c r="B147" s="2" t="s">
        <v>375</v>
      </c>
      <c r="C147" s="85" t="s">
        <v>376</v>
      </c>
      <c r="D147" s="2" t="s">
        <v>21</v>
      </c>
      <c r="E147" s="2" t="s">
        <v>22</v>
      </c>
      <c r="F147" s="7">
        <v>63.81</v>
      </c>
      <c r="G147" s="8">
        <v>12.72</v>
      </c>
      <c r="H147" s="8">
        <f t="shared" si="125"/>
        <v>16.198920000000001</v>
      </c>
      <c r="I147" s="9">
        <f t="shared" si="132"/>
        <v>1033.6530852000001</v>
      </c>
      <c r="J147" s="5"/>
      <c r="K147" s="81"/>
      <c r="L147" s="5">
        <f t="shared" si="133"/>
        <v>0</v>
      </c>
      <c r="M147" s="6">
        <f t="shared" si="134"/>
        <v>0</v>
      </c>
      <c r="N147" s="83">
        <f t="shared" si="135"/>
        <v>0</v>
      </c>
      <c r="O147" s="6">
        <f t="shared" si="136"/>
        <v>0</v>
      </c>
      <c r="P147" s="34">
        <f t="shared" si="137"/>
        <v>1033.6530852000001</v>
      </c>
    </row>
    <row r="148" spans="1:16" ht="38.25" x14ac:dyDescent="0.25">
      <c r="A148" s="33" t="s">
        <v>377</v>
      </c>
      <c r="B148" s="2" t="s">
        <v>375</v>
      </c>
      <c r="C148" s="85" t="s">
        <v>378</v>
      </c>
      <c r="D148" s="2" t="s">
        <v>21</v>
      </c>
      <c r="E148" s="2" t="s">
        <v>22</v>
      </c>
      <c r="F148" s="7">
        <v>21.27</v>
      </c>
      <c r="G148" s="8">
        <v>12.72</v>
      </c>
      <c r="H148" s="8">
        <f t="shared" si="125"/>
        <v>16.198920000000001</v>
      </c>
      <c r="I148" s="9">
        <f t="shared" si="132"/>
        <v>344.55102840000001</v>
      </c>
      <c r="J148" s="5"/>
      <c r="K148" s="81"/>
      <c r="L148" s="5">
        <f t="shared" si="133"/>
        <v>0</v>
      </c>
      <c r="M148" s="6">
        <f t="shared" si="134"/>
        <v>0</v>
      </c>
      <c r="N148" s="83">
        <f t="shared" si="135"/>
        <v>0</v>
      </c>
      <c r="O148" s="6">
        <f t="shared" si="136"/>
        <v>0</v>
      </c>
      <c r="P148" s="34">
        <f t="shared" si="137"/>
        <v>344.55102840000001</v>
      </c>
    </row>
    <row r="149" spans="1:16" ht="38.25" x14ac:dyDescent="0.25">
      <c r="A149" s="33" t="s">
        <v>379</v>
      </c>
      <c r="B149" s="2" t="s">
        <v>375</v>
      </c>
      <c r="C149" s="85" t="s">
        <v>378</v>
      </c>
      <c r="D149" s="2" t="s">
        <v>21</v>
      </c>
      <c r="E149" s="2" t="s">
        <v>22</v>
      </c>
      <c r="F149" s="7">
        <v>21.27</v>
      </c>
      <c r="G149" s="8">
        <v>12.72</v>
      </c>
      <c r="H149" s="8">
        <f t="shared" si="125"/>
        <v>16.198920000000001</v>
      </c>
      <c r="I149" s="9">
        <f t="shared" si="132"/>
        <v>344.55102840000001</v>
      </c>
      <c r="J149" s="5"/>
      <c r="K149" s="81"/>
      <c r="L149" s="5">
        <f t="shared" si="133"/>
        <v>0</v>
      </c>
      <c r="M149" s="6">
        <f t="shared" si="134"/>
        <v>0</v>
      </c>
      <c r="N149" s="83">
        <f t="shared" si="135"/>
        <v>0</v>
      </c>
      <c r="O149" s="6">
        <f t="shared" si="136"/>
        <v>0</v>
      </c>
      <c r="P149" s="34">
        <f t="shared" si="137"/>
        <v>344.55102840000001</v>
      </c>
    </row>
    <row r="150" spans="1:16" ht="38.25" x14ac:dyDescent="0.25">
      <c r="A150" s="33" t="s">
        <v>380</v>
      </c>
      <c r="B150" s="2" t="s">
        <v>315</v>
      </c>
      <c r="C150" s="85" t="s">
        <v>316</v>
      </c>
      <c r="D150" s="2" t="s">
        <v>21</v>
      </c>
      <c r="E150" s="2" t="s">
        <v>117</v>
      </c>
      <c r="F150" s="7">
        <v>15</v>
      </c>
      <c r="G150" s="8">
        <v>30.42</v>
      </c>
      <c r="H150" s="8">
        <f t="shared" si="125"/>
        <v>38.739870000000003</v>
      </c>
      <c r="I150" s="9">
        <f t="shared" si="132"/>
        <v>581.09805000000006</v>
      </c>
      <c r="J150" s="5"/>
      <c r="K150" s="81"/>
      <c r="L150" s="5">
        <f t="shared" si="133"/>
        <v>0</v>
      </c>
      <c r="M150" s="6">
        <f t="shared" si="134"/>
        <v>0</v>
      </c>
      <c r="N150" s="83">
        <f t="shared" si="135"/>
        <v>0</v>
      </c>
      <c r="O150" s="6">
        <f t="shared" si="136"/>
        <v>0</v>
      </c>
      <c r="P150" s="34">
        <f t="shared" si="137"/>
        <v>581.09805000000006</v>
      </c>
    </row>
    <row r="151" spans="1:16" ht="38.25" x14ac:dyDescent="0.25">
      <c r="A151" s="33" t="s">
        <v>381</v>
      </c>
      <c r="B151" s="2" t="s">
        <v>382</v>
      </c>
      <c r="C151" s="85" t="s">
        <v>383</v>
      </c>
      <c r="D151" s="2" t="s">
        <v>21</v>
      </c>
      <c r="E151" s="2" t="s">
        <v>117</v>
      </c>
      <c r="F151" s="7">
        <v>24</v>
      </c>
      <c r="G151" s="8">
        <v>25.12</v>
      </c>
      <c r="H151" s="8">
        <f t="shared" si="125"/>
        <v>31.990320000000004</v>
      </c>
      <c r="I151" s="9">
        <f t="shared" si="132"/>
        <v>767.76768000000015</v>
      </c>
      <c r="J151" s="5"/>
      <c r="K151" s="81"/>
      <c r="L151" s="5">
        <f t="shared" si="133"/>
        <v>0</v>
      </c>
      <c r="M151" s="6">
        <f t="shared" si="134"/>
        <v>0</v>
      </c>
      <c r="N151" s="83">
        <f t="shared" si="135"/>
        <v>0</v>
      </c>
      <c r="O151" s="6">
        <f t="shared" si="136"/>
        <v>0</v>
      </c>
      <c r="P151" s="34">
        <f t="shared" si="137"/>
        <v>767.76768000000015</v>
      </c>
    </row>
    <row r="152" spans="1:16" x14ac:dyDescent="0.25">
      <c r="A152" s="35"/>
      <c r="B152" s="3"/>
      <c r="C152" s="86"/>
      <c r="D152" s="3"/>
      <c r="E152" s="3"/>
      <c r="F152" s="10"/>
      <c r="G152" s="11"/>
      <c r="H152" s="11"/>
      <c r="I152" s="12">
        <f>SUM(I105:I151)</f>
        <v>41213.271887999996</v>
      </c>
      <c r="J152" s="13"/>
      <c r="K152" s="81"/>
      <c r="L152" s="13"/>
      <c r="M152" s="12">
        <f>SUM(M105:M151)</f>
        <v>0</v>
      </c>
      <c r="N152" s="84">
        <f>SUM(N105:N151)</f>
        <v>0</v>
      </c>
      <c r="O152" s="12">
        <f>SUM(O105:O151)</f>
        <v>0</v>
      </c>
      <c r="P152" s="36">
        <f t="shared" si="137"/>
        <v>41213.271887999996</v>
      </c>
    </row>
    <row r="153" spans="1:16" x14ac:dyDescent="0.25">
      <c r="A153" s="32" t="s">
        <v>384</v>
      </c>
      <c r="B153" s="119" t="s">
        <v>385</v>
      </c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20"/>
    </row>
    <row r="154" spans="1:16" ht="51" x14ac:dyDescent="0.25">
      <c r="A154" s="33" t="s">
        <v>386</v>
      </c>
      <c r="B154" s="2" t="s">
        <v>387</v>
      </c>
      <c r="C154" s="85" t="s">
        <v>388</v>
      </c>
      <c r="D154" s="2" t="s">
        <v>21</v>
      </c>
      <c r="E154" s="2" t="s">
        <v>117</v>
      </c>
      <c r="F154" s="7">
        <v>6</v>
      </c>
      <c r="G154" s="8">
        <v>23.62</v>
      </c>
      <c r="H154" s="8">
        <f t="shared" ref="H154:H213" si="138">G154*$Q$9</f>
        <v>30.080070000000003</v>
      </c>
      <c r="I154" s="9">
        <f t="shared" ref="I154" si="139">F154*H154</f>
        <v>180.48042000000001</v>
      </c>
      <c r="J154" s="5"/>
      <c r="K154" s="81"/>
      <c r="L154" s="5">
        <f t="shared" ref="L154" si="140">K154+J154</f>
        <v>0</v>
      </c>
      <c r="M154" s="6">
        <f t="shared" ref="M154" si="141">J154*H154</f>
        <v>0</v>
      </c>
      <c r="N154" s="83">
        <f t="shared" ref="N154" si="142">H154*K154</f>
        <v>0</v>
      </c>
      <c r="O154" s="6">
        <f t="shared" ref="O154" si="143">N154+M154</f>
        <v>0</v>
      </c>
      <c r="P154" s="34">
        <f t="shared" ref="P154" si="144">I154-O154</f>
        <v>180.48042000000001</v>
      </c>
    </row>
    <row r="155" spans="1:16" ht="25.5" x14ac:dyDescent="0.25">
      <c r="A155" s="33" t="s">
        <v>389</v>
      </c>
      <c r="B155" s="2" t="s">
        <v>390</v>
      </c>
      <c r="C155" s="85" t="s">
        <v>391</v>
      </c>
      <c r="D155" s="2" t="s">
        <v>21</v>
      </c>
      <c r="E155" s="2" t="s">
        <v>117</v>
      </c>
      <c r="F155" s="7">
        <v>0</v>
      </c>
      <c r="G155" s="8">
        <v>24.17</v>
      </c>
      <c r="H155" s="8">
        <f t="shared" si="138"/>
        <v>30.780495000000005</v>
      </c>
      <c r="I155" s="9">
        <f t="shared" ref="I155:I213" si="145">F155*H155</f>
        <v>0</v>
      </c>
      <c r="J155" s="5"/>
      <c r="K155" s="81"/>
      <c r="L155" s="5">
        <f t="shared" ref="L155:L213" si="146">K155+J155</f>
        <v>0</v>
      </c>
      <c r="M155" s="6">
        <f t="shared" ref="M155:M213" si="147">J155*H155</f>
        <v>0</v>
      </c>
      <c r="N155" s="83">
        <f t="shared" ref="N155:N213" si="148">H155*K155</f>
        <v>0</v>
      </c>
      <c r="O155" s="6">
        <f t="shared" ref="O155:O213" si="149">N155+M155</f>
        <v>0</v>
      </c>
      <c r="P155" s="34">
        <f t="shared" ref="P155:P214" si="150">I155-O155</f>
        <v>0</v>
      </c>
    </row>
    <row r="156" spans="1:16" ht="51" x14ac:dyDescent="0.25">
      <c r="A156" s="33" t="s">
        <v>392</v>
      </c>
      <c r="B156" s="2" t="s">
        <v>393</v>
      </c>
      <c r="C156" s="85" t="s">
        <v>394</v>
      </c>
      <c r="D156" s="2" t="s">
        <v>21</v>
      </c>
      <c r="E156" s="2" t="s">
        <v>117</v>
      </c>
      <c r="F156" s="7">
        <v>6</v>
      </c>
      <c r="G156" s="8">
        <v>7.69</v>
      </c>
      <c r="H156" s="8">
        <f t="shared" si="138"/>
        <v>9.7932150000000018</v>
      </c>
      <c r="I156" s="9">
        <f t="shared" si="145"/>
        <v>58.759290000000007</v>
      </c>
      <c r="J156" s="5"/>
      <c r="K156" s="81"/>
      <c r="L156" s="5">
        <f t="shared" si="146"/>
        <v>0</v>
      </c>
      <c r="M156" s="6">
        <f t="shared" si="147"/>
        <v>0</v>
      </c>
      <c r="N156" s="83">
        <f t="shared" si="148"/>
        <v>0</v>
      </c>
      <c r="O156" s="6">
        <f t="shared" si="149"/>
        <v>0</v>
      </c>
      <c r="P156" s="34">
        <f t="shared" si="150"/>
        <v>58.759290000000007</v>
      </c>
    </row>
    <row r="157" spans="1:16" ht="51" x14ac:dyDescent="0.25">
      <c r="A157" s="33" t="s">
        <v>395</v>
      </c>
      <c r="B157" s="2" t="s">
        <v>396</v>
      </c>
      <c r="C157" s="85" t="s">
        <v>397</v>
      </c>
      <c r="D157" s="2" t="s">
        <v>21</v>
      </c>
      <c r="E157" s="2" t="s">
        <v>117</v>
      </c>
      <c r="F157" s="7">
        <v>12</v>
      </c>
      <c r="G157" s="8">
        <v>422.31</v>
      </c>
      <c r="H157" s="8">
        <f t="shared" si="138"/>
        <v>537.81178499999999</v>
      </c>
      <c r="I157" s="9">
        <f t="shared" si="145"/>
        <v>6453.7414200000003</v>
      </c>
      <c r="J157" s="5"/>
      <c r="K157" s="81"/>
      <c r="L157" s="5">
        <f t="shared" si="146"/>
        <v>0</v>
      </c>
      <c r="M157" s="6">
        <f t="shared" si="147"/>
        <v>0</v>
      </c>
      <c r="N157" s="83">
        <f t="shared" si="148"/>
        <v>0</v>
      </c>
      <c r="O157" s="6">
        <f t="shared" si="149"/>
        <v>0</v>
      </c>
      <c r="P157" s="34">
        <f t="shared" si="150"/>
        <v>6453.7414200000003</v>
      </c>
    </row>
    <row r="158" spans="1:16" ht="25.5" x14ac:dyDescent="0.25">
      <c r="A158" s="33" t="s">
        <v>398</v>
      </c>
      <c r="B158" s="2" t="s">
        <v>399</v>
      </c>
      <c r="C158" s="85" t="s">
        <v>400</v>
      </c>
      <c r="D158" s="2" t="s">
        <v>21</v>
      </c>
      <c r="E158" s="2" t="s">
        <v>117</v>
      </c>
      <c r="F158" s="7">
        <v>2</v>
      </c>
      <c r="G158" s="8">
        <v>5.42</v>
      </c>
      <c r="H158" s="8">
        <f t="shared" si="138"/>
        <v>6.9023700000000003</v>
      </c>
      <c r="I158" s="9">
        <f t="shared" si="145"/>
        <v>13.804740000000001</v>
      </c>
      <c r="J158" s="5"/>
      <c r="K158" s="81"/>
      <c r="L158" s="5">
        <f t="shared" si="146"/>
        <v>0</v>
      </c>
      <c r="M158" s="6">
        <f t="shared" si="147"/>
        <v>0</v>
      </c>
      <c r="N158" s="83">
        <f t="shared" si="148"/>
        <v>0</v>
      </c>
      <c r="O158" s="6">
        <f t="shared" si="149"/>
        <v>0</v>
      </c>
      <c r="P158" s="34">
        <f t="shared" si="150"/>
        <v>13.804740000000001</v>
      </c>
    </row>
    <row r="159" spans="1:16" ht="25.5" x14ac:dyDescent="0.25">
      <c r="A159" s="33" t="s">
        <v>401</v>
      </c>
      <c r="B159" s="2" t="s">
        <v>402</v>
      </c>
      <c r="C159" s="85" t="s">
        <v>403</v>
      </c>
      <c r="D159" s="2" t="s">
        <v>21</v>
      </c>
      <c r="E159" s="2" t="s">
        <v>117</v>
      </c>
      <c r="F159" s="7">
        <v>1</v>
      </c>
      <c r="G159" s="8">
        <v>0.43</v>
      </c>
      <c r="H159" s="8">
        <f t="shared" si="138"/>
        <v>0.54760500000000001</v>
      </c>
      <c r="I159" s="9">
        <f t="shared" si="145"/>
        <v>0.54760500000000001</v>
      </c>
      <c r="J159" s="5"/>
      <c r="K159" s="81"/>
      <c r="L159" s="5">
        <f t="shared" si="146"/>
        <v>0</v>
      </c>
      <c r="M159" s="6">
        <f t="shared" si="147"/>
        <v>0</v>
      </c>
      <c r="N159" s="83">
        <f t="shared" si="148"/>
        <v>0</v>
      </c>
      <c r="O159" s="6">
        <f t="shared" si="149"/>
        <v>0</v>
      </c>
      <c r="P159" s="34">
        <f t="shared" si="150"/>
        <v>0.54760500000000001</v>
      </c>
    </row>
    <row r="160" spans="1:16" ht="25.5" x14ac:dyDescent="0.25">
      <c r="A160" s="33" t="s">
        <v>404</v>
      </c>
      <c r="B160" s="2" t="s">
        <v>405</v>
      </c>
      <c r="C160" s="85" t="s">
        <v>406</v>
      </c>
      <c r="D160" s="2" t="s">
        <v>21</v>
      </c>
      <c r="E160" s="2" t="s">
        <v>117</v>
      </c>
      <c r="F160" s="7">
        <v>1</v>
      </c>
      <c r="G160" s="8">
        <v>4.17</v>
      </c>
      <c r="H160" s="8">
        <f t="shared" si="138"/>
        <v>5.3104950000000004</v>
      </c>
      <c r="I160" s="9">
        <f t="shared" si="145"/>
        <v>5.3104950000000004</v>
      </c>
      <c r="J160" s="5"/>
      <c r="K160" s="81"/>
      <c r="L160" s="5">
        <f t="shared" si="146"/>
        <v>0</v>
      </c>
      <c r="M160" s="6">
        <f t="shared" si="147"/>
        <v>0</v>
      </c>
      <c r="N160" s="83">
        <f t="shared" si="148"/>
        <v>0</v>
      </c>
      <c r="O160" s="6">
        <f t="shared" si="149"/>
        <v>0</v>
      </c>
      <c r="P160" s="34">
        <f t="shared" si="150"/>
        <v>5.3104950000000004</v>
      </c>
    </row>
    <row r="161" spans="1:16" ht="25.5" x14ac:dyDescent="0.25">
      <c r="A161" s="33" t="s">
        <v>407</v>
      </c>
      <c r="B161" s="2" t="s">
        <v>408</v>
      </c>
      <c r="C161" s="85" t="s">
        <v>409</v>
      </c>
      <c r="D161" s="2" t="s">
        <v>21</v>
      </c>
      <c r="E161" s="2" t="s">
        <v>117</v>
      </c>
      <c r="F161" s="7">
        <v>11</v>
      </c>
      <c r="G161" s="8">
        <v>5.29</v>
      </c>
      <c r="H161" s="8">
        <f t="shared" si="138"/>
        <v>6.7368150000000009</v>
      </c>
      <c r="I161" s="9">
        <f t="shared" si="145"/>
        <v>74.104965000000007</v>
      </c>
      <c r="J161" s="5"/>
      <c r="K161" s="81"/>
      <c r="L161" s="5">
        <f t="shared" si="146"/>
        <v>0</v>
      </c>
      <c r="M161" s="6">
        <f t="shared" si="147"/>
        <v>0</v>
      </c>
      <c r="N161" s="83">
        <f t="shared" si="148"/>
        <v>0</v>
      </c>
      <c r="O161" s="6">
        <f t="shared" si="149"/>
        <v>0</v>
      </c>
      <c r="P161" s="34">
        <f t="shared" si="150"/>
        <v>74.104965000000007</v>
      </c>
    </row>
    <row r="162" spans="1:16" ht="38.25" x14ac:dyDescent="0.25">
      <c r="A162" s="33" t="s">
        <v>410</v>
      </c>
      <c r="B162" s="2" t="s">
        <v>411</v>
      </c>
      <c r="C162" s="85" t="s">
        <v>412</v>
      </c>
      <c r="D162" s="2" t="s">
        <v>21</v>
      </c>
      <c r="E162" s="2" t="s">
        <v>117</v>
      </c>
      <c r="F162" s="7">
        <v>64</v>
      </c>
      <c r="G162" s="8">
        <v>5.89</v>
      </c>
      <c r="H162" s="8">
        <f t="shared" si="138"/>
        <v>7.500915</v>
      </c>
      <c r="I162" s="9">
        <f t="shared" si="145"/>
        <v>480.05856</v>
      </c>
      <c r="J162" s="5"/>
      <c r="K162" s="81"/>
      <c r="L162" s="5">
        <f t="shared" si="146"/>
        <v>0</v>
      </c>
      <c r="M162" s="6">
        <f t="shared" si="147"/>
        <v>0</v>
      </c>
      <c r="N162" s="83">
        <f t="shared" si="148"/>
        <v>0</v>
      </c>
      <c r="O162" s="6">
        <f t="shared" si="149"/>
        <v>0</v>
      </c>
      <c r="P162" s="34">
        <f t="shared" si="150"/>
        <v>480.05856</v>
      </c>
    </row>
    <row r="163" spans="1:16" ht="38.25" x14ac:dyDescent="0.25">
      <c r="A163" s="33" t="s">
        <v>413</v>
      </c>
      <c r="B163" s="2" t="s">
        <v>414</v>
      </c>
      <c r="C163" s="85" t="s">
        <v>415</v>
      </c>
      <c r="D163" s="2" t="s">
        <v>21</v>
      </c>
      <c r="E163" s="2" t="s">
        <v>117</v>
      </c>
      <c r="F163" s="7">
        <v>5</v>
      </c>
      <c r="G163" s="8">
        <v>10.46</v>
      </c>
      <c r="H163" s="8">
        <f t="shared" si="138"/>
        <v>13.320810000000002</v>
      </c>
      <c r="I163" s="9">
        <f t="shared" si="145"/>
        <v>66.604050000000001</v>
      </c>
      <c r="J163" s="5"/>
      <c r="K163" s="81"/>
      <c r="L163" s="5">
        <f t="shared" si="146"/>
        <v>0</v>
      </c>
      <c r="M163" s="6">
        <f t="shared" si="147"/>
        <v>0</v>
      </c>
      <c r="N163" s="83">
        <f t="shared" si="148"/>
        <v>0</v>
      </c>
      <c r="O163" s="6">
        <f t="shared" si="149"/>
        <v>0</v>
      </c>
      <c r="P163" s="34">
        <f t="shared" si="150"/>
        <v>66.604050000000001</v>
      </c>
    </row>
    <row r="164" spans="1:16" ht="38.25" x14ac:dyDescent="0.25">
      <c r="A164" s="33" t="s">
        <v>416</v>
      </c>
      <c r="B164" s="2" t="s">
        <v>417</v>
      </c>
      <c r="C164" s="85" t="s">
        <v>418</v>
      </c>
      <c r="D164" s="2" t="s">
        <v>21</v>
      </c>
      <c r="E164" s="2" t="s">
        <v>117</v>
      </c>
      <c r="F164" s="7">
        <v>20</v>
      </c>
      <c r="G164" s="8">
        <v>12.41</v>
      </c>
      <c r="H164" s="8">
        <f t="shared" si="138"/>
        <v>15.804135</v>
      </c>
      <c r="I164" s="9">
        <f t="shared" si="145"/>
        <v>316.08269999999999</v>
      </c>
      <c r="J164" s="5"/>
      <c r="K164" s="81"/>
      <c r="L164" s="5">
        <f t="shared" si="146"/>
        <v>0</v>
      </c>
      <c r="M164" s="6">
        <f t="shared" si="147"/>
        <v>0</v>
      </c>
      <c r="N164" s="83">
        <f t="shared" si="148"/>
        <v>0</v>
      </c>
      <c r="O164" s="6">
        <f t="shared" si="149"/>
        <v>0</v>
      </c>
      <c r="P164" s="34">
        <f t="shared" si="150"/>
        <v>316.08269999999999</v>
      </c>
    </row>
    <row r="165" spans="1:16" ht="38.25" x14ac:dyDescent="0.25">
      <c r="A165" s="33" t="s">
        <v>419</v>
      </c>
      <c r="B165" s="2" t="s">
        <v>420</v>
      </c>
      <c r="C165" s="85" t="s">
        <v>421</v>
      </c>
      <c r="D165" s="2" t="s">
        <v>21</v>
      </c>
      <c r="E165" s="2" t="s">
        <v>117</v>
      </c>
      <c r="F165" s="7">
        <v>1</v>
      </c>
      <c r="G165" s="8">
        <v>8.6199999999999992</v>
      </c>
      <c r="H165" s="8">
        <f t="shared" si="138"/>
        <v>10.97757</v>
      </c>
      <c r="I165" s="9">
        <f t="shared" si="145"/>
        <v>10.97757</v>
      </c>
      <c r="J165" s="5"/>
      <c r="K165" s="81"/>
      <c r="L165" s="5">
        <f t="shared" si="146"/>
        <v>0</v>
      </c>
      <c r="M165" s="6">
        <f t="shared" si="147"/>
        <v>0</v>
      </c>
      <c r="N165" s="83">
        <f t="shared" si="148"/>
        <v>0</v>
      </c>
      <c r="O165" s="6">
        <f t="shared" si="149"/>
        <v>0</v>
      </c>
      <c r="P165" s="34">
        <f t="shared" si="150"/>
        <v>10.97757</v>
      </c>
    </row>
    <row r="166" spans="1:16" ht="38.25" x14ac:dyDescent="0.25">
      <c r="A166" s="33" t="s">
        <v>422</v>
      </c>
      <c r="B166" s="2" t="s">
        <v>423</v>
      </c>
      <c r="C166" s="85" t="s">
        <v>424</v>
      </c>
      <c r="D166" s="2" t="s">
        <v>21</v>
      </c>
      <c r="E166" s="2" t="s">
        <v>117</v>
      </c>
      <c r="F166" s="7">
        <v>2</v>
      </c>
      <c r="G166" s="8">
        <v>15.64</v>
      </c>
      <c r="H166" s="8">
        <f t="shared" si="138"/>
        <v>19.917540000000002</v>
      </c>
      <c r="I166" s="9">
        <f t="shared" si="145"/>
        <v>39.835080000000005</v>
      </c>
      <c r="J166" s="5"/>
      <c r="K166" s="81"/>
      <c r="L166" s="5">
        <f t="shared" si="146"/>
        <v>0</v>
      </c>
      <c r="M166" s="6">
        <f t="shared" si="147"/>
        <v>0</v>
      </c>
      <c r="N166" s="83">
        <f t="shared" si="148"/>
        <v>0</v>
      </c>
      <c r="O166" s="6">
        <f t="shared" si="149"/>
        <v>0</v>
      </c>
      <c r="P166" s="34">
        <f t="shared" si="150"/>
        <v>39.835080000000005</v>
      </c>
    </row>
    <row r="167" spans="1:16" ht="38.25" x14ac:dyDescent="0.25">
      <c r="A167" s="33" t="s">
        <v>425</v>
      </c>
      <c r="B167" s="2" t="s">
        <v>426</v>
      </c>
      <c r="C167" s="85" t="s">
        <v>427</v>
      </c>
      <c r="D167" s="2" t="s">
        <v>21</v>
      </c>
      <c r="E167" s="2" t="s">
        <v>117</v>
      </c>
      <c r="F167" s="7">
        <v>2</v>
      </c>
      <c r="G167" s="8">
        <v>6.91</v>
      </c>
      <c r="H167" s="8">
        <f t="shared" si="138"/>
        <v>8.7998850000000015</v>
      </c>
      <c r="I167" s="9">
        <f t="shared" si="145"/>
        <v>17.599770000000003</v>
      </c>
      <c r="J167" s="5"/>
      <c r="K167" s="81"/>
      <c r="L167" s="5">
        <f t="shared" si="146"/>
        <v>0</v>
      </c>
      <c r="M167" s="6">
        <f t="shared" si="147"/>
        <v>0</v>
      </c>
      <c r="N167" s="83">
        <f t="shared" si="148"/>
        <v>0</v>
      </c>
      <c r="O167" s="6">
        <f t="shared" si="149"/>
        <v>0</v>
      </c>
      <c r="P167" s="34">
        <f t="shared" si="150"/>
        <v>17.599770000000003</v>
      </c>
    </row>
    <row r="168" spans="1:16" ht="38.25" x14ac:dyDescent="0.25">
      <c r="A168" s="33" t="s">
        <v>428</v>
      </c>
      <c r="B168" s="2" t="s">
        <v>429</v>
      </c>
      <c r="C168" s="85" t="s">
        <v>430</v>
      </c>
      <c r="D168" s="2" t="s">
        <v>21</v>
      </c>
      <c r="E168" s="2" t="s">
        <v>117</v>
      </c>
      <c r="F168" s="7">
        <v>22</v>
      </c>
      <c r="G168" s="8">
        <v>8.26</v>
      </c>
      <c r="H168" s="8">
        <f t="shared" si="138"/>
        <v>10.51911</v>
      </c>
      <c r="I168" s="9">
        <f t="shared" si="145"/>
        <v>231.42041999999998</v>
      </c>
      <c r="J168" s="5"/>
      <c r="K168" s="81"/>
      <c r="L168" s="5">
        <f t="shared" si="146"/>
        <v>0</v>
      </c>
      <c r="M168" s="6">
        <f t="shared" si="147"/>
        <v>0</v>
      </c>
      <c r="N168" s="83">
        <f t="shared" si="148"/>
        <v>0</v>
      </c>
      <c r="O168" s="6">
        <f t="shared" si="149"/>
        <v>0</v>
      </c>
      <c r="P168" s="34">
        <f t="shared" si="150"/>
        <v>231.42041999999998</v>
      </c>
    </row>
    <row r="169" spans="1:16" ht="38.25" x14ac:dyDescent="0.25">
      <c r="A169" s="33" t="s">
        <v>431</v>
      </c>
      <c r="B169" s="2" t="s">
        <v>432</v>
      </c>
      <c r="C169" s="85" t="s">
        <v>433</v>
      </c>
      <c r="D169" s="2" t="s">
        <v>21</v>
      </c>
      <c r="E169" s="2" t="s">
        <v>117</v>
      </c>
      <c r="F169" s="7">
        <v>1</v>
      </c>
      <c r="G169" s="8">
        <v>16.8</v>
      </c>
      <c r="H169" s="8">
        <f t="shared" si="138"/>
        <v>21.394800000000004</v>
      </c>
      <c r="I169" s="9">
        <f t="shared" si="145"/>
        <v>21.394800000000004</v>
      </c>
      <c r="J169" s="5"/>
      <c r="K169" s="81"/>
      <c r="L169" s="5">
        <f t="shared" si="146"/>
        <v>0</v>
      </c>
      <c r="M169" s="6">
        <f t="shared" si="147"/>
        <v>0</v>
      </c>
      <c r="N169" s="83">
        <f t="shared" si="148"/>
        <v>0</v>
      </c>
      <c r="O169" s="6">
        <f t="shared" si="149"/>
        <v>0</v>
      </c>
      <c r="P169" s="34">
        <f t="shared" si="150"/>
        <v>21.394800000000004</v>
      </c>
    </row>
    <row r="170" spans="1:16" ht="51" x14ac:dyDescent="0.25">
      <c r="A170" s="33" t="s">
        <v>434</v>
      </c>
      <c r="B170" s="2" t="s">
        <v>435</v>
      </c>
      <c r="C170" s="85" t="s">
        <v>436</v>
      </c>
      <c r="D170" s="2" t="s">
        <v>21</v>
      </c>
      <c r="E170" s="2" t="s">
        <v>117</v>
      </c>
      <c r="F170" s="7">
        <v>17</v>
      </c>
      <c r="G170" s="8">
        <v>18.010000000000002</v>
      </c>
      <c r="H170" s="8">
        <f t="shared" si="138"/>
        <v>22.935735000000005</v>
      </c>
      <c r="I170" s="9">
        <f t="shared" si="145"/>
        <v>389.9074950000001</v>
      </c>
      <c r="J170" s="5"/>
      <c r="K170" s="81"/>
      <c r="L170" s="5">
        <f t="shared" si="146"/>
        <v>0</v>
      </c>
      <c r="M170" s="6">
        <f t="shared" si="147"/>
        <v>0</v>
      </c>
      <c r="N170" s="83">
        <f t="shared" si="148"/>
        <v>0</v>
      </c>
      <c r="O170" s="6">
        <f t="shared" si="149"/>
        <v>0</v>
      </c>
      <c r="P170" s="34">
        <f t="shared" si="150"/>
        <v>389.9074950000001</v>
      </c>
    </row>
    <row r="171" spans="1:16" ht="38.25" x14ac:dyDescent="0.25">
      <c r="A171" s="33" t="s">
        <v>437</v>
      </c>
      <c r="B171" s="2" t="s">
        <v>438</v>
      </c>
      <c r="C171" s="85" t="s">
        <v>439</v>
      </c>
      <c r="D171" s="2" t="s">
        <v>21</v>
      </c>
      <c r="E171" s="2" t="s">
        <v>22</v>
      </c>
      <c r="F171" s="7">
        <v>63.76</v>
      </c>
      <c r="G171" s="8">
        <v>6.01</v>
      </c>
      <c r="H171" s="8">
        <f t="shared" si="138"/>
        <v>7.6537350000000002</v>
      </c>
      <c r="I171" s="9">
        <f t="shared" si="145"/>
        <v>488.00214360000001</v>
      </c>
      <c r="J171" s="5"/>
      <c r="K171" s="81"/>
      <c r="L171" s="5">
        <f t="shared" si="146"/>
        <v>0</v>
      </c>
      <c r="M171" s="6">
        <f t="shared" si="147"/>
        <v>0</v>
      </c>
      <c r="N171" s="83">
        <f t="shared" si="148"/>
        <v>0</v>
      </c>
      <c r="O171" s="6">
        <f t="shared" si="149"/>
        <v>0</v>
      </c>
      <c r="P171" s="34">
        <f t="shared" si="150"/>
        <v>488.00214360000001</v>
      </c>
    </row>
    <row r="172" spans="1:16" ht="38.25" x14ac:dyDescent="0.25">
      <c r="A172" s="33" t="s">
        <v>440</v>
      </c>
      <c r="B172" s="2" t="s">
        <v>441</v>
      </c>
      <c r="C172" s="85" t="s">
        <v>442</v>
      </c>
      <c r="D172" s="2" t="s">
        <v>21</v>
      </c>
      <c r="E172" s="2" t="s">
        <v>22</v>
      </c>
      <c r="F172" s="7">
        <v>148.68</v>
      </c>
      <c r="G172" s="8">
        <v>4.4000000000000004</v>
      </c>
      <c r="H172" s="8">
        <f t="shared" si="138"/>
        <v>5.6034000000000006</v>
      </c>
      <c r="I172" s="9">
        <f t="shared" si="145"/>
        <v>833.11351200000013</v>
      </c>
      <c r="J172" s="5"/>
      <c r="K172" s="81"/>
      <c r="L172" s="5">
        <f t="shared" si="146"/>
        <v>0</v>
      </c>
      <c r="M172" s="6">
        <f t="shared" si="147"/>
        <v>0</v>
      </c>
      <c r="N172" s="83">
        <f t="shared" si="148"/>
        <v>0</v>
      </c>
      <c r="O172" s="6">
        <f t="shared" si="149"/>
        <v>0</v>
      </c>
      <c r="P172" s="34">
        <f t="shared" si="150"/>
        <v>833.11351200000013</v>
      </c>
    </row>
    <row r="173" spans="1:16" ht="38.25" x14ac:dyDescent="0.25">
      <c r="A173" s="33" t="s">
        <v>443</v>
      </c>
      <c r="B173" s="2" t="s">
        <v>444</v>
      </c>
      <c r="C173" s="85" t="s">
        <v>445</v>
      </c>
      <c r="D173" s="2" t="s">
        <v>21</v>
      </c>
      <c r="E173" s="2" t="s">
        <v>22</v>
      </c>
      <c r="F173" s="7">
        <v>28.03</v>
      </c>
      <c r="G173" s="8">
        <v>15.6</v>
      </c>
      <c r="H173" s="8">
        <f t="shared" si="138"/>
        <v>19.866600000000002</v>
      </c>
      <c r="I173" s="9">
        <f t="shared" si="145"/>
        <v>556.86079800000005</v>
      </c>
      <c r="J173" s="5"/>
      <c r="K173" s="81"/>
      <c r="L173" s="5">
        <f t="shared" si="146"/>
        <v>0</v>
      </c>
      <c r="M173" s="6">
        <f t="shared" si="147"/>
        <v>0</v>
      </c>
      <c r="N173" s="83">
        <f t="shared" si="148"/>
        <v>0</v>
      </c>
      <c r="O173" s="6">
        <f t="shared" si="149"/>
        <v>0</v>
      </c>
      <c r="P173" s="34">
        <f t="shared" si="150"/>
        <v>556.86079800000005</v>
      </c>
    </row>
    <row r="174" spans="1:16" ht="51" x14ac:dyDescent="0.25">
      <c r="A174" s="33" t="s">
        <v>446</v>
      </c>
      <c r="B174" s="2" t="s">
        <v>447</v>
      </c>
      <c r="C174" s="85" t="s">
        <v>448</v>
      </c>
      <c r="D174" s="2" t="s">
        <v>21</v>
      </c>
      <c r="E174" s="2" t="s">
        <v>22</v>
      </c>
      <c r="F174" s="7">
        <v>65.42</v>
      </c>
      <c r="G174" s="8">
        <v>14.3</v>
      </c>
      <c r="H174" s="8">
        <f t="shared" si="138"/>
        <v>18.211050000000004</v>
      </c>
      <c r="I174" s="9">
        <f t="shared" si="145"/>
        <v>1191.3668910000004</v>
      </c>
      <c r="J174" s="5"/>
      <c r="K174" s="81"/>
      <c r="L174" s="5">
        <f t="shared" si="146"/>
        <v>0</v>
      </c>
      <c r="M174" s="6">
        <f t="shared" si="147"/>
        <v>0</v>
      </c>
      <c r="N174" s="83">
        <f t="shared" si="148"/>
        <v>0</v>
      </c>
      <c r="O174" s="6">
        <f t="shared" si="149"/>
        <v>0</v>
      </c>
      <c r="P174" s="34">
        <f t="shared" si="150"/>
        <v>1191.3668910000004</v>
      </c>
    </row>
    <row r="175" spans="1:16" ht="38.25" x14ac:dyDescent="0.25">
      <c r="A175" s="33" t="s">
        <v>449</v>
      </c>
      <c r="B175" s="2" t="s">
        <v>450</v>
      </c>
      <c r="C175" s="85" t="s">
        <v>451</v>
      </c>
      <c r="D175" s="2" t="s">
        <v>21</v>
      </c>
      <c r="E175" s="2" t="s">
        <v>22</v>
      </c>
      <c r="F175" s="7">
        <v>38.299999999999997</v>
      </c>
      <c r="G175" s="8">
        <v>10.55</v>
      </c>
      <c r="H175" s="8">
        <f t="shared" si="138"/>
        <v>13.435425000000002</v>
      </c>
      <c r="I175" s="9">
        <f t="shared" si="145"/>
        <v>514.57677750000005</v>
      </c>
      <c r="J175" s="5"/>
      <c r="K175" s="81"/>
      <c r="L175" s="5">
        <f t="shared" si="146"/>
        <v>0</v>
      </c>
      <c r="M175" s="6">
        <f t="shared" si="147"/>
        <v>0</v>
      </c>
      <c r="N175" s="83">
        <f t="shared" si="148"/>
        <v>0</v>
      </c>
      <c r="O175" s="6">
        <f t="shared" si="149"/>
        <v>0</v>
      </c>
      <c r="P175" s="34">
        <f t="shared" si="150"/>
        <v>514.57677750000005</v>
      </c>
    </row>
    <row r="176" spans="1:16" ht="38.25" x14ac:dyDescent="0.25">
      <c r="A176" s="33" t="s">
        <v>452</v>
      </c>
      <c r="B176" s="2" t="s">
        <v>453</v>
      </c>
      <c r="C176" s="85" t="s">
        <v>454</v>
      </c>
      <c r="D176" s="2" t="s">
        <v>21</v>
      </c>
      <c r="E176" s="2" t="s">
        <v>22</v>
      </c>
      <c r="F176" s="7">
        <v>30</v>
      </c>
      <c r="G176" s="8">
        <v>20.3</v>
      </c>
      <c r="H176" s="8">
        <f t="shared" si="138"/>
        <v>25.852050000000002</v>
      </c>
      <c r="I176" s="9">
        <f t="shared" si="145"/>
        <v>775.56150000000002</v>
      </c>
      <c r="J176" s="5"/>
      <c r="K176" s="81"/>
      <c r="L176" s="5">
        <f t="shared" si="146"/>
        <v>0</v>
      </c>
      <c r="M176" s="6">
        <f t="shared" si="147"/>
        <v>0</v>
      </c>
      <c r="N176" s="83">
        <f t="shared" si="148"/>
        <v>0</v>
      </c>
      <c r="O176" s="6">
        <f t="shared" si="149"/>
        <v>0</v>
      </c>
      <c r="P176" s="34">
        <f t="shared" si="150"/>
        <v>775.56150000000002</v>
      </c>
    </row>
    <row r="177" spans="1:16" ht="51" x14ac:dyDescent="0.25">
      <c r="A177" s="33" t="s">
        <v>455</v>
      </c>
      <c r="B177" s="2" t="s">
        <v>456</v>
      </c>
      <c r="C177" s="85" t="s">
        <v>457</v>
      </c>
      <c r="D177" s="2" t="s">
        <v>21</v>
      </c>
      <c r="E177" s="2" t="s">
        <v>117</v>
      </c>
      <c r="F177" s="7">
        <v>10</v>
      </c>
      <c r="G177" s="8">
        <v>329.84</v>
      </c>
      <c r="H177" s="8">
        <f t="shared" si="138"/>
        <v>420.05124000000001</v>
      </c>
      <c r="I177" s="9">
        <f t="shared" si="145"/>
        <v>4200.5123999999996</v>
      </c>
      <c r="J177" s="5"/>
      <c r="K177" s="81"/>
      <c r="L177" s="5">
        <f t="shared" si="146"/>
        <v>0</v>
      </c>
      <c r="M177" s="6">
        <f t="shared" si="147"/>
        <v>0</v>
      </c>
      <c r="N177" s="83">
        <f t="shared" si="148"/>
        <v>0</v>
      </c>
      <c r="O177" s="6">
        <f t="shared" si="149"/>
        <v>0</v>
      </c>
      <c r="P177" s="34">
        <f t="shared" si="150"/>
        <v>4200.5123999999996</v>
      </c>
    </row>
    <row r="178" spans="1:16" ht="25.5" x14ac:dyDescent="0.25">
      <c r="A178" s="33" t="s">
        <v>458</v>
      </c>
      <c r="B178" s="2" t="s">
        <v>459</v>
      </c>
      <c r="C178" s="85" t="s">
        <v>460</v>
      </c>
      <c r="D178" s="2" t="s">
        <v>21</v>
      </c>
      <c r="E178" s="2" t="s">
        <v>117</v>
      </c>
      <c r="F178" s="7">
        <v>10</v>
      </c>
      <c r="G178" s="8">
        <v>28.68</v>
      </c>
      <c r="H178" s="8">
        <f t="shared" si="138"/>
        <v>36.523980000000002</v>
      </c>
      <c r="I178" s="9">
        <f t="shared" si="145"/>
        <v>365.2398</v>
      </c>
      <c r="J178" s="5"/>
      <c r="K178" s="81"/>
      <c r="L178" s="5">
        <f t="shared" si="146"/>
        <v>0</v>
      </c>
      <c r="M178" s="6">
        <f t="shared" si="147"/>
        <v>0</v>
      </c>
      <c r="N178" s="83">
        <f t="shared" si="148"/>
        <v>0</v>
      </c>
      <c r="O178" s="6">
        <f t="shared" si="149"/>
        <v>0</v>
      </c>
      <c r="P178" s="34">
        <f t="shared" si="150"/>
        <v>365.2398</v>
      </c>
    </row>
    <row r="179" spans="1:16" ht="25.5" x14ac:dyDescent="0.25">
      <c r="A179" s="33" t="s">
        <v>461</v>
      </c>
      <c r="B179" s="2" t="s">
        <v>462</v>
      </c>
      <c r="C179" s="85" t="s">
        <v>463</v>
      </c>
      <c r="D179" s="2" t="s">
        <v>21</v>
      </c>
      <c r="E179" s="2" t="s">
        <v>117</v>
      </c>
      <c r="F179" s="7">
        <v>10</v>
      </c>
      <c r="G179" s="8">
        <v>86.47</v>
      </c>
      <c r="H179" s="8">
        <f t="shared" si="138"/>
        <v>110.119545</v>
      </c>
      <c r="I179" s="9">
        <f t="shared" si="145"/>
        <v>1101.1954499999999</v>
      </c>
      <c r="J179" s="5"/>
      <c r="K179" s="81"/>
      <c r="L179" s="5">
        <f t="shared" si="146"/>
        <v>0</v>
      </c>
      <c r="M179" s="6">
        <f t="shared" si="147"/>
        <v>0</v>
      </c>
      <c r="N179" s="83">
        <f t="shared" si="148"/>
        <v>0</v>
      </c>
      <c r="O179" s="6">
        <f t="shared" si="149"/>
        <v>0</v>
      </c>
      <c r="P179" s="34">
        <f t="shared" si="150"/>
        <v>1101.1954499999999</v>
      </c>
    </row>
    <row r="180" spans="1:16" ht="38.25" x14ac:dyDescent="0.25">
      <c r="A180" s="33" t="s">
        <v>464</v>
      </c>
      <c r="B180" s="2" t="s">
        <v>465</v>
      </c>
      <c r="C180" s="85" t="s">
        <v>466</v>
      </c>
      <c r="D180" s="2" t="s">
        <v>21</v>
      </c>
      <c r="E180" s="2" t="s">
        <v>117</v>
      </c>
      <c r="F180" s="7">
        <v>2</v>
      </c>
      <c r="G180" s="8">
        <v>6.61</v>
      </c>
      <c r="H180" s="8">
        <f t="shared" si="138"/>
        <v>8.4178350000000002</v>
      </c>
      <c r="I180" s="9">
        <f t="shared" si="145"/>
        <v>16.83567</v>
      </c>
      <c r="J180" s="5"/>
      <c r="K180" s="81"/>
      <c r="L180" s="5">
        <f t="shared" si="146"/>
        <v>0</v>
      </c>
      <c r="M180" s="6">
        <f t="shared" si="147"/>
        <v>0</v>
      </c>
      <c r="N180" s="83">
        <f t="shared" si="148"/>
        <v>0</v>
      </c>
      <c r="O180" s="6">
        <f t="shared" si="149"/>
        <v>0</v>
      </c>
      <c r="P180" s="34">
        <f t="shared" si="150"/>
        <v>16.83567</v>
      </c>
    </row>
    <row r="181" spans="1:16" ht="25.5" x14ac:dyDescent="0.25">
      <c r="A181" s="33" t="s">
        <v>467</v>
      </c>
      <c r="B181" s="2" t="s">
        <v>468</v>
      </c>
      <c r="C181" s="85" t="s">
        <v>469</v>
      </c>
      <c r="D181" s="2" t="s">
        <v>21</v>
      </c>
      <c r="E181" s="2" t="s">
        <v>117</v>
      </c>
      <c r="F181" s="7">
        <v>3</v>
      </c>
      <c r="G181" s="8">
        <v>451.43</v>
      </c>
      <c r="H181" s="8">
        <f t="shared" si="138"/>
        <v>574.89610500000003</v>
      </c>
      <c r="I181" s="9">
        <f t="shared" si="145"/>
        <v>1724.6883150000001</v>
      </c>
      <c r="J181" s="5"/>
      <c r="K181" s="81"/>
      <c r="L181" s="5">
        <f t="shared" si="146"/>
        <v>0</v>
      </c>
      <c r="M181" s="6">
        <f t="shared" si="147"/>
        <v>0</v>
      </c>
      <c r="N181" s="83">
        <f t="shared" si="148"/>
        <v>0</v>
      </c>
      <c r="O181" s="6">
        <f t="shared" si="149"/>
        <v>0</v>
      </c>
      <c r="P181" s="34">
        <f t="shared" si="150"/>
        <v>1724.6883150000001</v>
      </c>
    </row>
    <row r="182" spans="1:16" ht="25.5" x14ac:dyDescent="0.25">
      <c r="A182" s="33" t="s">
        <v>470</v>
      </c>
      <c r="B182" s="2" t="s">
        <v>471</v>
      </c>
      <c r="C182" s="85" t="s">
        <v>472</v>
      </c>
      <c r="D182" s="2" t="s">
        <v>21</v>
      </c>
      <c r="E182" s="2" t="s">
        <v>117</v>
      </c>
      <c r="F182" s="7">
        <v>4</v>
      </c>
      <c r="G182" s="8">
        <v>20.2</v>
      </c>
      <c r="H182" s="8">
        <f t="shared" si="138"/>
        <v>25.724700000000002</v>
      </c>
      <c r="I182" s="9">
        <f t="shared" si="145"/>
        <v>102.89880000000001</v>
      </c>
      <c r="J182" s="5"/>
      <c r="K182" s="81"/>
      <c r="L182" s="5">
        <f t="shared" si="146"/>
        <v>0</v>
      </c>
      <c r="M182" s="6">
        <f t="shared" si="147"/>
        <v>0</v>
      </c>
      <c r="N182" s="83">
        <f t="shared" si="148"/>
        <v>0</v>
      </c>
      <c r="O182" s="6">
        <f t="shared" si="149"/>
        <v>0</v>
      </c>
      <c r="P182" s="34">
        <f t="shared" si="150"/>
        <v>102.89880000000001</v>
      </c>
    </row>
    <row r="183" spans="1:16" ht="51" x14ac:dyDescent="0.25">
      <c r="A183" s="33" t="s">
        <v>473</v>
      </c>
      <c r="B183" s="2" t="s">
        <v>474</v>
      </c>
      <c r="C183" s="85" t="s">
        <v>475</v>
      </c>
      <c r="D183" s="2" t="s">
        <v>21</v>
      </c>
      <c r="E183" s="2" t="s">
        <v>117</v>
      </c>
      <c r="F183" s="7">
        <v>1</v>
      </c>
      <c r="G183" s="8">
        <v>136.12</v>
      </c>
      <c r="H183" s="8">
        <f t="shared" si="138"/>
        <v>173.34882000000002</v>
      </c>
      <c r="I183" s="9">
        <f t="shared" si="145"/>
        <v>173.34882000000002</v>
      </c>
      <c r="J183" s="5"/>
      <c r="K183" s="81"/>
      <c r="L183" s="5">
        <f t="shared" si="146"/>
        <v>0</v>
      </c>
      <c r="M183" s="6">
        <f t="shared" si="147"/>
        <v>0</v>
      </c>
      <c r="N183" s="83">
        <f t="shared" si="148"/>
        <v>0</v>
      </c>
      <c r="O183" s="6">
        <f t="shared" si="149"/>
        <v>0</v>
      </c>
      <c r="P183" s="34">
        <f t="shared" si="150"/>
        <v>173.34882000000002</v>
      </c>
    </row>
    <row r="184" spans="1:16" ht="51" x14ac:dyDescent="0.25">
      <c r="A184" s="33" t="s">
        <v>476</v>
      </c>
      <c r="B184" s="2" t="s">
        <v>477</v>
      </c>
      <c r="C184" s="85" t="s">
        <v>478</v>
      </c>
      <c r="D184" s="2" t="s">
        <v>21</v>
      </c>
      <c r="E184" s="2" t="s">
        <v>117</v>
      </c>
      <c r="F184" s="7">
        <v>4</v>
      </c>
      <c r="G184" s="8">
        <v>187.71</v>
      </c>
      <c r="H184" s="8">
        <f t="shared" si="138"/>
        <v>239.04868500000003</v>
      </c>
      <c r="I184" s="9">
        <f t="shared" si="145"/>
        <v>956.19474000000014</v>
      </c>
      <c r="J184" s="5"/>
      <c r="K184" s="81"/>
      <c r="L184" s="5">
        <f t="shared" si="146"/>
        <v>0</v>
      </c>
      <c r="M184" s="6">
        <f t="shared" si="147"/>
        <v>0</v>
      </c>
      <c r="N184" s="83">
        <f t="shared" si="148"/>
        <v>0</v>
      </c>
      <c r="O184" s="6">
        <f t="shared" si="149"/>
        <v>0</v>
      </c>
      <c r="P184" s="34">
        <f t="shared" si="150"/>
        <v>956.19474000000014</v>
      </c>
    </row>
    <row r="185" spans="1:16" ht="38.25" x14ac:dyDescent="0.25">
      <c r="A185" s="33" t="s">
        <v>479</v>
      </c>
      <c r="B185" s="2" t="s">
        <v>480</v>
      </c>
      <c r="C185" s="85" t="s">
        <v>481</v>
      </c>
      <c r="D185" s="2" t="s">
        <v>21</v>
      </c>
      <c r="E185" s="2" t="s">
        <v>117</v>
      </c>
      <c r="F185" s="7">
        <v>4</v>
      </c>
      <c r="G185" s="8">
        <v>64.790000000000006</v>
      </c>
      <c r="H185" s="8">
        <f t="shared" si="138"/>
        <v>82.510065000000012</v>
      </c>
      <c r="I185" s="9">
        <f t="shared" si="145"/>
        <v>330.04026000000005</v>
      </c>
      <c r="J185" s="5"/>
      <c r="K185" s="81"/>
      <c r="L185" s="5">
        <f t="shared" si="146"/>
        <v>0</v>
      </c>
      <c r="M185" s="6">
        <f t="shared" si="147"/>
        <v>0</v>
      </c>
      <c r="N185" s="83">
        <f t="shared" si="148"/>
        <v>0</v>
      </c>
      <c r="O185" s="6">
        <f t="shared" si="149"/>
        <v>0</v>
      </c>
      <c r="P185" s="34">
        <f t="shared" si="150"/>
        <v>330.04026000000005</v>
      </c>
    </row>
    <row r="186" spans="1:16" ht="51" x14ac:dyDescent="0.25">
      <c r="A186" s="33" t="s">
        <v>482</v>
      </c>
      <c r="B186" s="2" t="s">
        <v>483</v>
      </c>
      <c r="C186" s="85" t="s">
        <v>484</v>
      </c>
      <c r="D186" s="2" t="s">
        <v>21</v>
      </c>
      <c r="E186" s="2" t="s">
        <v>117</v>
      </c>
      <c r="F186" s="7">
        <v>8</v>
      </c>
      <c r="G186" s="8">
        <v>148.03</v>
      </c>
      <c r="H186" s="8">
        <f t="shared" si="138"/>
        <v>188.51620500000001</v>
      </c>
      <c r="I186" s="9">
        <f t="shared" si="145"/>
        <v>1508.1296400000001</v>
      </c>
      <c r="J186" s="5"/>
      <c r="K186" s="81"/>
      <c r="L186" s="5">
        <f t="shared" si="146"/>
        <v>0</v>
      </c>
      <c r="M186" s="6">
        <f t="shared" si="147"/>
        <v>0</v>
      </c>
      <c r="N186" s="83">
        <f t="shared" si="148"/>
        <v>0</v>
      </c>
      <c r="O186" s="6">
        <f t="shared" si="149"/>
        <v>0</v>
      </c>
      <c r="P186" s="34">
        <f t="shared" si="150"/>
        <v>1508.1296400000001</v>
      </c>
    </row>
    <row r="187" spans="1:16" ht="38.25" x14ac:dyDescent="0.25">
      <c r="A187" s="33" t="s">
        <v>485</v>
      </c>
      <c r="B187" s="2" t="s">
        <v>486</v>
      </c>
      <c r="C187" s="85" t="s">
        <v>487</v>
      </c>
      <c r="D187" s="2" t="s">
        <v>21</v>
      </c>
      <c r="E187" s="2" t="s">
        <v>117</v>
      </c>
      <c r="F187" s="7">
        <v>8</v>
      </c>
      <c r="G187" s="8">
        <v>55.37</v>
      </c>
      <c r="H187" s="8">
        <f t="shared" si="138"/>
        <v>70.513694999999998</v>
      </c>
      <c r="I187" s="9">
        <f t="shared" si="145"/>
        <v>564.10955999999999</v>
      </c>
      <c r="J187" s="5"/>
      <c r="K187" s="81"/>
      <c r="L187" s="5">
        <f t="shared" si="146"/>
        <v>0</v>
      </c>
      <c r="M187" s="6">
        <f t="shared" si="147"/>
        <v>0</v>
      </c>
      <c r="N187" s="83">
        <f t="shared" si="148"/>
        <v>0</v>
      </c>
      <c r="O187" s="6">
        <f t="shared" si="149"/>
        <v>0</v>
      </c>
      <c r="P187" s="34">
        <f t="shared" si="150"/>
        <v>564.10955999999999</v>
      </c>
    </row>
    <row r="188" spans="1:16" ht="38.25" x14ac:dyDescent="0.25">
      <c r="A188" s="33" t="s">
        <v>488</v>
      </c>
      <c r="B188" s="2" t="s">
        <v>489</v>
      </c>
      <c r="C188" s="85" t="s">
        <v>490</v>
      </c>
      <c r="D188" s="2" t="s">
        <v>21</v>
      </c>
      <c r="E188" s="2" t="s">
        <v>117</v>
      </c>
      <c r="F188" s="7">
        <v>1</v>
      </c>
      <c r="G188" s="8">
        <v>26.81</v>
      </c>
      <c r="H188" s="8">
        <f t="shared" si="138"/>
        <v>34.142535000000002</v>
      </c>
      <c r="I188" s="9">
        <f t="shared" si="145"/>
        <v>34.142535000000002</v>
      </c>
      <c r="J188" s="5"/>
      <c r="K188" s="81"/>
      <c r="L188" s="5">
        <f t="shared" si="146"/>
        <v>0</v>
      </c>
      <c r="M188" s="6">
        <f t="shared" si="147"/>
        <v>0</v>
      </c>
      <c r="N188" s="83">
        <f t="shared" si="148"/>
        <v>0</v>
      </c>
      <c r="O188" s="6">
        <f t="shared" si="149"/>
        <v>0</v>
      </c>
      <c r="P188" s="34">
        <f t="shared" si="150"/>
        <v>34.142535000000002</v>
      </c>
    </row>
    <row r="189" spans="1:16" ht="38.25" x14ac:dyDescent="0.25">
      <c r="A189" s="33" t="s">
        <v>491</v>
      </c>
      <c r="B189" s="2" t="s">
        <v>492</v>
      </c>
      <c r="C189" s="85" t="s">
        <v>493</v>
      </c>
      <c r="D189" s="2" t="s">
        <v>21</v>
      </c>
      <c r="E189" s="2" t="s">
        <v>117</v>
      </c>
      <c r="F189" s="7">
        <v>2</v>
      </c>
      <c r="G189" s="8">
        <v>190.7</v>
      </c>
      <c r="H189" s="8">
        <f t="shared" si="138"/>
        <v>242.85645</v>
      </c>
      <c r="I189" s="9">
        <f t="shared" si="145"/>
        <v>485.71289999999999</v>
      </c>
      <c r="J189" s="5"/>
      <c r="K189" s="81"/>
      <c r="L189" s="5">
        <f t="shared" si="146"/>
        <v>0</v>
      </c>
      <c r="M189" s="6">
        <f t="shared" si="147"/>
        <v>0</v>
      </c>
      <c r="N189" s="83">
        <f t="shared" si="148"/>
        <v>0</v>
      </c>
      <c r="O189" s="6">
        <f t="shared" si="149"/>
        <v>0</v>
      </c>
      <c r="P189" s="34">
        <f t="shared" si="150"/>
        <v>485.71289999999999</v>
      </c>
    </row>
    <row r="190" spans="1:16" ht="38.25" x14ac:dyDescent="0.25">
      <c r="A190" s="33" t="s">
        <v>494</v>
      </c>
      <c r="B190" s="2" t="s">
        <v>495</v>
      </c>
      <c r="C190" s="85" t="s">
        <v>496</v>
      </c>
      <c r="D190" s="2" t="s">
        <v>21</v>
      </c>
      <c r="E190" s="2" t="s">
        <v>117</v>
      </c>
      <c r="F190" s="7">
        <v>8</v>
      </c>
      <c r="G190" s="8">
        <v>177.5</v>
      </c>
      <c r="H190" s="8">
        <f t="shared" si="138"/>
        <v>226.04625000000001</v>
      </c>
      <c r="I190" s="9">
        <f t="shared" si="145"/>
        <v>1808.3700000000001</v>
      </c>
      <c r="J190" s="5"/>
      <c r="K190" s="81"/>
      <c r="L190" s="5">
        <f t="shared" si="146"/>
        <v>0</v>
      </c>
      <c r="M190" s="6">
        <f t="shared" si="147"/>
        <v>0</v>
      </c>
      <c r="N190" s="83">
        <f t="shared" si="148"/>
        <v>0</v>
      </c>
      <c r="O190" s="6">
        <f t="shared" si="149"/>
        <v>0</v>
      </c>
      <c r="P190" s="34">
        <f t="shared" si="150"/>
        <v>1808.3700000000001</v>
      </c>
    </row>
    <row r="191" spans="1:16" ht="76.5" x14ac:dyDescent="0.25">
      <c r="A191" s="33" t="s">
        <v>497</v>
      </c>
      <c r="B191" s="2" t="s">
        <v>498</v>
      </c>
      <c r="C191" s="85" t="s">
        <v>499</v>
      </c>
      <c r="D191" s="2" t="s">
        <v>21</v>
      </c>
      <c r="E191" s="2" t="s">
        <v>117</v>
      </c>
      <c r="F191" s="7">
        <v>2</v>
      </c>
      <c r="G191" s="8">
        <v>165.39</v>
      </c>
      <c r="H191" s="8">
        <f t="shared" si="138"/>
        <v>210.624165</v>
      </c>
      <c r="I191" s="9">
        <f t="shared" si="145"/>
        <v>421.24833000000001</v>
      </c>
      <c r="J191" s="5"/>
      <c r="K191" s="81"/>
      <c r="L191" s="5">
        <f t="shared" si="146"/>
        <v>0</v>
      </c>
      <c r="M191" s="6">
        <f t="shared" si="147"/>
        <v>0</v>
      </c>
      <c r="N191" s="83">
        <f t="shared" si="148"/>
        <v>0</v>
      </c>
      <c r="O191" s="6">
        <f t="shared" si="149"/>
        <v>0</v>
      </c>
      <c r="P191" s="34">
        <f t="shared" si="150"/>
        <v>421.24833000000001</v>
      </c>
    </row>
    <row r="192" spans="1:16" ht="25.5" x14ac:dyDescent="0.25">
      <c r="A192" s="33" t="s">
        <v>500</v>
      </c>
      <c r="B192" s="2" t="s">
        <v>501</v>
      </c>
      <c r="C192" s="85" t="s">
        <v>502</v>
      </c>
      <c r="D192" s="2" t="s">
        <v>21</v>
      </c>
      <c r="E192" s="2" t="s">
        <v>117</v>
      </c>
      <c r="F192" s="7">
        <v>10</v>
      </c>
      <c r="G192" s="8">
        <v>22.08</v>
      </c>
      <c r="H192" s="8">
        <f t="shared" si="138"/>
        <v>28.118880000000001</v>
      </c>
      <c r="I192" s="9">
        <f t="shared" si="145"/>
        <v>281.18880000000001</v>
      </c>
      <c r="J192" s="5"/>
      <c r="K192" s="81"/>
      <c r="L192" s="5">
        <f t="shared" si="146"/>
        <v>0</v>
      </c>
      <c r="M192" s="6">
        <f t="shared" si="147"/>
        <v>0</v>
      </c>
      <c r="N192" s="83">
        <f t="shared" si="148"/>
        <v>0</v>
      </c>
      <c r="O192" s="6">
        <f t="shared" si="149"/>
        <v>0</v>
      </c>
      <c r="P192" s="34">
        <f t="shared" si="150"/>
        <v>281.18880000000001</v>
      </c>
    </row>
    <row r="193" spans="1:16" ht="25.5" x14ac:dyDescent="0.25">
      <c r="A193" s="33" t="s">
        <v>503</v>
      </c>
      <c r="B193" s="2" t="s">
        <v>504</v>
      </c>
      <c r="C193" s="85" t="s">
        <v>505</v>
      </c>
      <c r="D193" s="2" t="s">
        <v>21</v>
      </c>
      <c r="E193" s="2" t="s">
        <v>117</v>
      </c>
      <c r="F193" s="7">
        <v>2</v>
      </c>
      <c r="G193" s="8">
        <v>117.18</v>
      </c>
      <c r="H193" s="8">
        <f t="shared" si="138"/>
        <v>149.22873000000001</v>
      </c>
      <c r="I193" s="9">
        <f t="shared" si="145"/>
        <v>298.45746000000003</v>
      </c>
      <c r="J193" s="5"/>
      <c r="K193" s="81"/>
      <c r="L193" s="5">
        <f t="shared" si="146"/>
        <v>0</v>
      </c>
      <c r="M193" s="6">
        <f t="shared" si="147"/>
        <v>0</v>
      </c>
      <c r="N193" s="83">
        <f t="shared" si="148"/>
        <v>0</v>
      </c>
      <c r="O193" s="6">
        <f t="shared" si="149"/>
        <v>0</v>
      </c>
      <c r="P193" s="34">
        <f t="shared" si="150"/>
        <v>298.45746000000003</v>
      </c>
    </row>
    <row r="194" spans="1:16" ht="25.5" x14ac:dyDescent="0.25">
      <c r="A194" s="33" t="s">
        <v>506</v>
      </c>
      <c r="B194" s="2" t="s">
        <v>507</v>
      </c>
      <c r="C194" s="85" t="s">
        <v>508</v>
      </c>
      <c r="D194" s="2" t="s">
        <v>21</v>
      </c>
      <c r="E194" s="2" t="s">
        <v>117</v>
      </c>
      <c r="F194" s="7">
        <v>1</v>
      </c>
      <c r="G194" s="8">
        <v>84.73</v>
      </c>
      <c r="H194" s="8">
        <f t="shared" si="138"/>
        <v>107.90365500000001</v>
      </c>
      <c r="I194" s="9">
        <f t="shared" si="145"/>
        <v>107.90365500000001</v>
      </c>
      <c r="J194" s="5"/>
      <c r="K194" s="81"/>
      <c r="L194" s="5">
        <f t="shared" si="146"/>
        <v>0</v>
      </c>
      <c r="M194" s="6">
        <f t="shared" si="147"/>
        <v>0</v>
      </c>
      <c r="N194" s="83">
        <f t="shared" si="148"/>
        <v>0</v>
      </c>
      <c r="O194" s="6">
        <f t="shared" si="149"/>
        <v>0</v>
      </c>
      <c r="P194" s="34">
        <f t="shared" si="150"/>
        <v>107.90365500000001</v>
      </c>
    </row>
    <row r="195" spans="1:16" ht="25.5" x14ac:dyDescent="0.25">
      <c r="A195" s="33" t="s">
        <v>509</v>
      </c>
      <c r="B195" s="2" t="s">
        <v>510</v>
      </c>
      <c r="C195" s="85" t="s">
        <v>511</v>
      </c>
      <c r="D195" s="2" t="s">
        <v>21</v>
      </c>
      <c r="E195" s="2" t="s">
        <v>117</v>
      </c>
      <c r="F195" s="7">
        <v>1</v>
      </c>
      <c r="G195" s="8">
        <v>28.98</v>
      </c>
      <c r="H195" s="8">
        <f t="shared" si="138"/>
        <v>36.906030000000001</v>
      </c>
      <c r="I195" s="9">
        <f t="shared" si="145"/>
        <v>36.906030000000001</v>
      </c>
      <c r="J195" s="5"/>
      <c r="K195" s="81"/>
      <c r="L195" s="5">
        <f t="shared" si="146"/>
        <v>0</v>
      </c>
      <c r="M195" s="6">
        <f t="shared" si="147"/>
        <v>0</v>
      </c>
      <c r="N195" s="83">
        <f t="shared" si="148"/>
        <v>0</v>
      </c>
      <c r="O195" s="6">
        <f t="shared" si="149"/>
        <v>0</v>
      </c>
      <c r="P195" s="34">
        <f t="shared" si="150"/>
        <v>36.906030000000001</v>
      </c>
    </row>
    <row r="196" spans="1:16" ht="25.5" x14ac:dyDescent="0.25">
      <c r="A196" s="33" t="s">
        <v>512</v>
      </c>
      <c r="B196" s="2" t="s">
        <v>513</v>
      </c>
      <c r="C196" s="85" t="s">
        <v>514</v>
      </c>
      <c r="D196" s="2" t="s">
        <v>21</v>
      </c>
      <c r="E196" s="2" t="s">
        <v>117</v>
      </c>
      <c r="F196" s="7">
        <v>13</v>
      </c>
      <c r="G196" s="8">
        <v>31.62</v>
      </c>
      <c r="H196" s="8">
        <f t="shared" si="138"/>
        <v>40.268070000000002</v>
      </c>
      <c r="I196" s="9">
        <f t="shared" si="145"/>
        <v>523.48491000000001</v>
      </c>
      <c r="J196" s="5"/>
      <c r="K196" s="81"/>
      <c r="L196" s="5">
        <f t="shared" si="146"/>
        <v>0</v>
      </c>
      <c r="M196" s="6">
        <f t="shared" si="147"/>
        <v>0</v>
      </c>
      <c r="N196" s="83">
        <f t="shared" si="148"/>
        <v>0</v>
      </c>
      <c r="O196" s="6">
        <f t="shared" si="149"/>
        <v>0</v>
      </c>
      <c r="P196" s="34">
        <f t="shared" si="150"/>
        <v>523.48491000000001</v>
      </c>
    </row>
    <row r="197" spans="1:16" ht="51" x14ac:dyDescent="0.25">
      <c r="A197" s="33" t="s">
        <v>515</v>
      </c>
      <c r="B197" s="2" t="s">
        <v>516</v>
      </c>
      <c r="C197" s="85" t="s">
        <v>517</v>
      </c>
      <c r="D197" s="2" t="s">
        <v>21</v>
      </c>
      <c r="E197" s="2" t="s">
        <v>117</v>
      </c>
      <c r="F197" s="7">
        <v>2</v>
      </c>
      <c r="G197" s="8">
        <v>71.67</v>
      </c>
      <c r="H197" s="8">
        <f t="shared" si="138"/>
        <v>91.27174500000001</v>
      </c>
      <c r="I197" s="9">
        <f t="shared" si="145"/>
        <v>182.54349000000002</v>
      </c>
      <c r="J197" s="5"/>
      <c r="K197" s="81"/>
      <c r="L197" s="5">
        <f t="shared" si="146"/>
        <v>0</v>
      </c>
      <c r="M197" s="6">
        <f t="shared" si="147"/>
        <v>0</v>
      </c>
      <c r="N197" s="83">
        <f t="shared" si="148"/>
        <v>0</v>
      </c>
      <c r="O197" s="6">
        <f t="shared" si="149"/>
        <v>0</v>
      </c>
      <c r="P197" s="34">
        <f t="shared" si="150"/>
        <v>182.54349000000002</v>
      </c>
    </row>
    <row r="198" spans="1:16" ht="38.25" x14ac:dyDescent="0.25">
      <c r="A198" s="33" t="s">
        <v>518</v>
      </c>
      <c r="B198" s="2" t="s">
        <v>519</v>
      </c>
      <c r="C198" s="85" t="s">
        <v>520</v>
      </c>
      <c r="D198" s="2" t="s">
        <v>21</v>
      </c>
      <c r="E198" s="2" t="s">
        <v>117</v>
      </c>
      <c r="F198" s="7">
        <v>20</v>
      </c>
      <c r="G198" s="8">
        <v>27.64</v>
      </c>
      <c r="H198" s="8">
        <f t="shared" si="138"/>
        <v>35.199540000000006</v>
      </c>
      <c r="I198" s="9">
        <f t="shared" si="145"/>
        <v>703.99080000000015</v>
      </c>
      <c r="J198" s="5"/>
      <c r="K198" s="81"/>
      <c r="L198" s="5">
        <f t="shared" si="146"/>
        <v>0</v>
      </c>
      <c r="M198" s="6">
        <f t="shared" si="147"/>
        <v>0</v>
      </c>
      <c r="N198" s="83">
        <f t="shared" si="148"/>
        <v>0</v>
      </c>
      <c r="O198" s="6">
        <f t="shared" si="149"/>
        <v>0</v>
      </c>
      <c r="P198" s="34">
        <f t="shared" si="150"/>
        <v>703.99080000000015</v>
      </c>
    </row>
    <row r="199" spans="1:16" ht="51" x14ac:dyDescent="0.25">
      <c r="A199" s="33" t="s">
        <v>521</v>
      </c>
      <c r="B199" s="2" t="s">
        <v>522</v>
      </c>
      <c r="C199" s="85" t="s">
        <v>523</v>
      </c>
      <c r="D199" s="2" t="s">
        <v>21</v>
      </c>
      <c r="E199" s="2" t="s">
        <v>117</v>
      </c>
      <c r="F199" s="7">
        <v>12</v>
      </c>
      <c r="G199" s="8">
        <v>5.69</v>
      </c>
      <c r="H199" s="8">
        <f t="shared" si="138"/>
        <v>7.2462150000000012</v>
      </c>
      <c r="I199" s="9">
        <f t="shared" si="145"/>
        <v>86.954580000000021</v>
      </c>
      <c r="J199" s="5"/>
      <c r="K199" s="81"/>
      <c r="L199" s="5">
        <f t="shared" si="146"/>
        <v>0</v>
      </c>
      <c r="M199" s="6">
        <f t="shared" si="147"/>
        <v>0</v>
      </c>
      <c r="N199" s="83">
        <f t="shared" si="148"/>
        <v>0</v>
      </c>
      <c r="O199" s="6">
        <f t="shared" si="149"/>
        <v>0</v>
      </c>
      <c r="P199" s="34">
        <f t="shared" si="150"/>
        <v>86.954580000000021</v>
      </c>
    </row>
    <row r="200" spans="1:16" ht="51" x14ac:dyDescent="0.25">
      <c r="A200" s="33" t="s">
        <v>524</v>
      </c>
      <c r="B200" s="2" t="s">
        <v>525</v>
      </c>
      <c r="C200" s="85" t="s">
        <v>526</v>
      </c>
      <c r="D200" s="2" t="s">
        <v>21</v>
      </c>
      <c r="E200" s="2" t="s">
        <v>117</v>
      </c>
      <c r="F200" s="7">
        <v>5</v>
      </c>
      <c r="G200" s="8">
        <v>14.24</v>
      </c>
      <c r="H200" s="8">
        <f t="shared" si="138"/>
        <v>18.134640000000001</v>
      </c>
      <c r="I200" s="9">
        <f t="shared" si="145"/>
        <v>90.673200000000008</v>
      </c>
      <c r="J200" s="5"/>
      <c r="K200" s="81"/>
      <c r="L200" s="5">
        <f t="shared" si="146"/>
        <v>0</v>
      </c>
      <c r="M200" s="6">
        <f t="shared" si="147"/>
        <v>0</v>
      </c>
      <c r="N200" s="83">
        <f t="shared" si="148"/>
        <v>0</v>
      </c>
      <c r="O200" s="6">
        <f t="shared" si="149"/>
        <v>0</v>
      </c>
      <c r="P200" s="34">
        <f t="shared" si="150"/>
        <v>90.673200000000008</v>
      </c>
    </row>
    <row r="201" spans="1:16" ht="51" x14ac:dyDescent="0.25">
      <c r="A201" s="33" t="s">
        <v>527</v>
      </c>
      <c r="B201" s="2" t="s">
        <v>528</v>
      </c>
      <c r="C201" s="85" t="s">
        <v>529</v>
      </c>
      <c r="D201" s="2" t="s">
        <v>21</v>
      </c>
      <c r="E201" s="2" t="s">
        <v>117</v>
      </c>
      <c r="F201" s="7">
        <v>36</v>
      </c>
      <c r="G201" s="8">
        <v>7.4</v>
      </c>
      <c r="H201" s="8">
        <f t="shared" si="138"/>
        <v>9.4239000000000015</v>
      </c>
      <c r="I201" s="9">
        <f t="shared" si="145"/>
        <v>339.26040000000006</v>
      </c>
      <c r="J201" s="5"/>
      <c r="K201" s="81"/>
      <c r="L201" s="5">
        <f t="shared" si="146"/>
        <v>0</v>
      </c>
      <c r="M201" s="6">
        <f t="shared" si="147"/>
        <v>0</v>
      </c>
      <c r="N201" s="83">
        <f t="shared" si="148"/>
        <v>0</v>
      </c>
      <c r="O201" s="6">
        <f t="shared" si="149"/>
        <v>0</v>
      </c>
      <c r="P201" s="34">
        <f t="shared" si="150"/>
        <v>339.26040000000006</v>
      </c>
    </row>
    <row r="202" spans="1:16" ht="51" x14ac:dyDescent="0.25">
      <c r="A202" s="33" t="s">
        <v>530</v>
      </c>
      <c r="B202" s="2" t="s">
        <v>531</v>
      </c>
      <c r="C202" s="85" t="s">
        <v>532</v>
      </c>
      <c r="D202" s="2" t="s">
        <v>21</v>
      </c>
      <c r="E202" s="2" t="s">
        <v>117</v>
      </c>
      <c r="F202" s="7">
        <v>14</v>
      </c>
      <c r="G202" s="8">
        <v>5.12</v>
      </c>
      <c r="H202" s="8">
        <f t="shared" si="138"/>
        <v>6.5203200000000008</v>
      </c>
      <c r="I202" s="9">
        <f t="shared" si="145"/>
        <v>91.284480000000016</v>
      </c>
      <c r="J202" s="5"/>
      <c r="K202" s="81"/>
      <c r="L202" s="5">
        <f t="shared" si="146"/>
        <v>0</v>
      </c>
      <c r="M202" s="6">
        <f t="shared" si="147"/>
        <v>0</v>
      </c>
      <c r="N202" s="83">
        <f t="shared" si="148"/>
        <v>0</v>
      </c>
      <c r="O202" s="6">
        <f t="shared" si="149"/>
        <v>0</v>
      </c>
      <c r="P202" s="34">
        <f t="shared" si="150"/>
        <v>91.284480000000016</v>
      </c>
    </row>
    <row r="203" spans="1:16" ht="51" x14ac:dyDescent="0.25">
      <c r="A203" s="33" t="s">
        <v>533</v>
      </c>
      <c r="B203" s="2" t="s">
        <v>534</v>
      </c>
      <c r="C203" s="85" t="s">
        <v>535</v>
      </c>
      <c r="D203" s="2" t="s">
        <v>21</v>
      </c>
      <c r="E203" s="2" t="s">
        <v>117</v>
      </c>
      <c r="F203" s="7">
        <v>10</v>
      </c>
      <c r="G203" s="8">
        <v>18.22</v>
      </c>
      <c r="H203" s="8">
        <f t="shared" si="138"/>
        <v>23.20317</v>
      </c>
      <c r="I203" s="9">
        <f t="shared" si="145"/>
        <v>232.0317</v>
      </c>
      <c r="J203" s="5"/>
      <c r="K203" s="81"/>
      <c r="L203" s="5">
        <f t="shared" si="146"/>
        <v>0</v>
      </c>
      <c r="M203" s="6">
        <f t="shared" si="147"/>
        <v>0</v>
      </c>
      <c r="N203" s="83">
        <f t="shared" si="148"/>
        <v>0</v>
      </c>
      <c r="O203" s="6">
        <f t="shared" si="149"/>
        <v>0</v>
      </c>
      <c r="P203" s="34">
        <f t="shared" si="150"/>
        <v>232.0317</v>
      </c>
    </row>
    <row r="204" spans="1:16" ht="51" x14ac:dyDescent="0.25">
      <c r="A204" s="33" t="s">
        <v>536</v>
      </c>
      <c r="B204" s="2" t="s">
        <v>537</v>
      </c>
      <c r="C204" s="85" t="s">
        <v>538</v>
      </c>
      <c r="D204" s="2" t="s">
        <v>21</v>
      </c>
      <c r="E204" s="2" t="s">
        <v>117</v>
      </c>
      <c r="F204" s="7">
        <v>1</v>
      </c>
      <c r="G204" s="8">
        <v>13.18</v>
      </c>
      <c r="H204" s="8">
        <f t="shared" si="138"/>
        <v>16.78473</v>
      </c>
      <c r="I204" s="9">
        <f t="shared" si="145"/>
        <v>16.78473</v>
      </c>
      <c r="J204" s="5"/>
      <c r="K204" s="81"/>
      <c r="L204" s="5">
        <f t="shared" si="146"/>
        <v>0</v>
      </c>
      <c r="M204" s="6">
        <f t="shared" si="147"/>
        <v>0</v>
      </c>
      <c r="N204" s="83">
        <f t="shared" si="148"/>
        <v>0</v>
      </c>
      <c r="O204" s="6">
        <f t="shared" si="149"/>
        <v>0</v>
      </c>
      <c r="P204" s="34">
        <f t="shared" si="150"/>
        <v>16.78473</v>
      </c>
    </row>
    <row r="205" spans="1:16" ht="25.5" x14ac:dyDescent="0.25">
      <c r="A205" s="33" t="s">
        <v>539</v>
      </c>
      <c r="B205" s="2" t="s">
        <v>540</v>
      </c>
      <c r="C205" s="85" t="s">
        <v>541</v>
      </c>
      <c r="D205" s="2" t="s">
        <v>21</v>
      </c>
      <c r="E205" s="2" t="s">
        <v>117</v>
      </c>
      <c r="F205" s="7">
        <v>8</v>
      </c>
      <c r="G205" s="8">
        <v>15.03</v>
      </c>
      <c r="H205" s="8">
        <f t="shared" si="138"/>
        <v>19.140705000000001</v>
      </c>
      <c r="I205" s="9">
        <f t="shared" si="145"/>
        <v>153.12564</v>
      </c>
      <c r="J205" s="5"/>
      <c r="K205" s="81"/>
      <c r="L205" s="5">
        <f t="shared" si="146"/>
        <v>0</v>
      </c>
      <c r="M205" s="6">
        <f t="shared" si="147"/>
        <v>0</v>
      </c>
      <c r="N205" s="83">
        <f t="shared" si="148"/>
        <v>0</v>
      </c>
      <c r="O205" s="6">
        <f t="shared" si="149"/>
        <v>0</v>
      </c>
      <c r="P205" s="34">
        <f t="shared" si="150"/>
        <v>153.12564</v>
      </c>
    </row>
    <row r="206" spans="1:16" ht="25.5" x14ac:dyDescent="0.25">
      <c r="A206" s="33" t="s">
        <v>542</v>
      </c>
      <c r="B206" s="2" t="s">
        <v>543</v>
      </c>
      <c r="C206" s="85" t="s">
        <v>544</v>
      </c>
      <c r="D206" s="2" t="s">
        <v>21</v>
      </c>
      <c r="E206" s="2" t="s">
        <v>117</v>
      </c>
      <c r="F206" s="7">
        <v>1</v>
      </c>
      <c r="G206" s="8">
        <v>21.66</v>
      </c>
      <c r="H206" s="8">
        <f t="shared" si="138"/>
        <v>27.584010000000003</v>
      </c>
      <c r="I206" s="9">
        <f t="shared" si="145"/>
        <v>27.584010000000003</v>
      </c>
      <c r="J206" s="5"/>
      <c r="K206" s="81"/>
      <c r="L206" s="5">
        <f t="shared" si="146"/>
        <v>0</v>
      </c>
      <c r="M206" s="6">
        <f t="shared" si="147"/>
        <v>0</v>
      </c>
      <c r="N206" s="83">
        <f t="shared" si="148"/>
        <v>0</v>
      </c>
      <c r="O206" s="6">
        <f t="shared" si="149"/>
        <v>0</v>
      </c>
      <c r="P206" s="34">
        <f t="shared" si="150"/>
        <v>27.584010000000003</v>
      </c>
    </row>
    <row r="207" spans="1:16" ht="63.75" x14ac:dyDescent="0.25">
      <c r="A207" s="33" t="s">
        <v>545</v>
      </c>
      <c r="B207" s="2" t="s">
        <v>546</v>
      </c>
      <c r="C207" s="85" t="s">
        <v>547</v>
      </c>
      <c r="D207" s="2" t="s">
        <v>21</v>
      </c>
      <c r="E207" s="2" t="s">
        <v>117</v>
      </c>
      <c r="F207" s="7">
        <v>5</v>
      </c>
      <c r="G207" s="8">
        <v>35.950000000000003</v>
      </c>
      <c r="H207" s="8">
        <f t="shared" si="138"/>
        <v>45.782325000000007</v>
      </c>
      <c r="I207" s="9">
        <f t="shared" si="145"/>
        <v>228.91162500000004</v>
      </c>
      <c r="J207" s="5"/>
      <c r="K207" s="81"/>
      <c r="L207" s="5">
        <f t="shared" si="146"/>
        <v>0</v>
      </c>
      <c r="M207" s="6">
        <f t="shared" si="147"/>
        <v>0</v>
      </c>
      <c r="N207" s="83">
        <f t="shared" si="148"/>
        <v>0</v>
      </c>
      <c r="O207" s="6">
        <f t="shared" si="149"/>
        <v>0</v>
      </c>
      <c r="P207" s="34">
        <f t="shared" si="150"/>
        <v>228.91162500000004</v>
      </c>
    </row>
    <row r="208" spans="1:16" ht="51" x14ac:dyDescent="0.25">
      <c r="A208" s="33" t="s">
        <v>548</v>
      </c>
      <c r="B208" s="2" t="s">
        <v>549</v>
      </c>
      <c r="C208" s="85" t="s">
        <v>550</v>
      </c>
      <c r="D208" s="2" t="s">
        <v>21</v>
      </c>
      <c r="E208" s="2" t="s">
        <v>117</v>
      </c>
      <c r="F208" s="7">
        <v>20</v>
      </c>
      <c r="G208" s="8">
        <v>5.17</v>
      </c>
      <c r="H208" s="8">
        <f t="shared" si="138"/>
        <v>6.5839950000000007</v>
      </c>
      <c r="I208" s="9">
        <f t="shared" si="145"/>
        <v>131.6799</v>
      </c>
      <c r="J208" s="5"/>
      <c r="K208" s="81"/>
      <c r="L208" s="5">
        <f t="shared" si="146"/>
        <v>0</v>
      </c>
      <c r="M208" s="6">
        <f t="shared" si="147"/>
        <v>0</v>
      </c>
      <c r="N208" s="83">
        <f t="shared" si="148"/>
        <v>0</v>
      </c>
      <c r="O208" s="6">
        <f t="shared" si="149"/>
        <v>0</v>
      </c>
      <c r="P208" s="34">
        <f t="shared" si="150"/>
        <v>131.6799</v>
      </c>
    </row>
    <row r="209" spans="1:16" ht="51" x14ac:dyDescent="0.25">
      <c r="A209" s="33" t="s">
        <v>551</v>
      </c>
      <c r="B209" s="2" t="s">
        <v>552</v>
      </c>
      <c r="C209" s="85" t="s">
        <v>553</v>
      </c>
      <c r="D209" s="2" t="s">
        <v>21</v>
      </c>
      <c r="E209" s="2" t="s">
        <v>117</v>
      </c>
      <c r="F209" s="7">
        <v>4</v>
      </c>
      <c r="G209" s="8">
        <v>9.14</v>
      </c>
      <c r="H209" s="8">
        <f t="shared" si="138"/>
        <v>11.639790000000001</v>
      </c>
      <c r="I209" s="9">
        <f t="shared" si="145"/>
        <v>46.559160000000006</v>
      </c>
      <c r="J209" s="5"/>
      <c r="K209" s="81"/>
      <c r="L209" s="5">
        <f t="shared" si="146"/>
        <v>0</v>
      </c>
      <c r="M209" s="6">
        <f t="shared" si="147"/>
        <v>0</v>
      </c>
      <c r="N209" s="83">
        <f t="shared" si="148"/>
        <v>0</v>
      </c>
      <c r="O209" s="6">
        <f t="shared" si="149"/>
        <v>0</v>
      </c>
      <c r="P209" s="34">
        <f t="shared" si="150"/>
        <v>46.559160000000006</v>
      </c>
    </row>
    <row r="210" spans="1:16" ht="51" x14ac:dyDescent="0.25">
      <c r="A210" s="33" t="s">
        <v>554</v>
      </c>
      <c r="B210" s="2" t="s">
        <v>555</v>
      </c>
      <c r="C210" s="85" t="s">
        <v>556</v>
      </c>
      <c r="D210" s="2" t="s">
        <v>21</v>
      </c>
      <c r="E210" s="2" t="s">
        <v>117</v>
      </c>
      <c r="F210" s="7">
        <v>17</v>
      </c>
      <c r="G210" s="8">
        <v>13.97</v>
      </c>
      <c r="H210" s="8">
        <f t="shared" si="138"/>
        <v>17.790795000000003</v>
      </c>
      <c r="I210" s="9">
        <f t="shared" si="145"/>
        <v>302.44351500000005</v>
      </c>
      <c r="J210" s="5"/>
      <c r="K210" s="81"/>
      <c r="L210" s="5">
        <f t="shared" si="146"/>
        <v>0</v>
      </c>
      <c r="M210" s="6">
        <f t="shared" si="147"/>
        <v>0</v>
      </c>
      <c r="N210" s="83">
        <f t="shared" si="148"/>
        <v>0</v>
      </c>
      <c r="O210" s="6">
        <f t="shared" si="149"/>
        <v>0</v>
      </c>
      <c r="P210" s="34">
        <f t="shared" si="150"/>
        <v>302.44351500000005</v>
      </c>
    </row>
    <row r="211" spans="1:16" ht="51" x14ac:dyDescent="0.25">
      <c r="A211" s="33" t="s">
        <v>557</v>
      </c>
      <c r="B211" s="2" t="s">
        <v>558</v>
      </c>
      <c r="C211" s="85" t="s">
        <v>559</v>
      </c>
      <c r="D211" s="2" t="s">
        <v>21</v>
      </c>
      <c r="E211" s="2" t="s">
        <v>117</v>
      </c>
      <c r="F211" s="7">
        <v>11</v>
      </c>
      <c r="G211" s="8">
        <v>11.55</v>
      </c>
      <c r="H211" s="8">
        <f t="shared" si="138"/>
        <v>14.708925000000002</v>
      </c>
      <c r="I211" s="9">
        <f t="shared" si="145"/>
        <v>161.79817500000001</v>
      </c>
      <c r="J211" s="5"/>
      <c r="K211" s="81"/>
      <c r="L211" s="5">
        <f t="shared" si="146"/>
        <v>0</v>
      </c>
      <c r="M211" s="6">
        <f t="shared" si="147"/>
        <v>0</v>
      </c>
      <c r="N211" s="83">
        <f t="shared" si="148"/>
        <v>0</v>
      </c>
      <c r="O211" s="6">
        <f t="shared" si="149"/>
        <v>0</v>
      </c>
      <c r="P211" s="34">
        <f t="shared" si="150"/>
        <v>161.79817500000001</v>
      </c>
    </row>
    <row r="212" spans="1:16" ht="25.5" x14ac:dyDescent="0.25">
      <c r="A212" s="33" t="s">
        <v>560</v>
      </c>
      <c r="B212" s="2" t="s">
        <v>561</v>
      </c>
      <c r="C212" s="85" t="s">
        <v>562</v>
      </c>
      <c r="D212" s="2" t="s">
        <v>21</v>
      </c>
      <c r="E212" s="2" t="s">
        <v>117</v>
      </c>
      <c r="F212" s="7">
        <v>1</v>
      </c>
      <c r="G212" s="8">
        <v>12.86</v>
      </c>
      <c r="H212" s="8">
        <f t="shared" si="138"/>
        <v>16.377210000000002</v>
      </c>
      <c r="I212" s="9">
        <f t="shared" si="145"/>
        <v>16.377210000000002</v>
      </c>
      <c r="J212" s="5"/>
      <c r="K212" s="81"/>
      <c r="L212" s="5">
        <f t="shared" si="146"/>
        <v>0</v>
      </c>
      <c r="M212" s="6">
        <f t="shared" si="147"/>
        <v>0</v>
      </c>
      <c r="N212" s="83">
        <f t="shared" si="148"/>
        <v>0</v>
      </c>
      <c r="O212" s="6">
        <f t="shared" si="149"/>
        <v>0</v>
      </c>
      <c r="P212" s="34">
        <f t="shared" si="150"/>
        <v>16.377210000000002</v>
      </c>
    </row>
    <row r="213" spans="1:16" ht="25.5" x14ac:dyDescent="0.25">
      <c r="A213" s="33" t="s">
        <v>563</v>
      </c>
      <c r="B213" s="2" t="s">
        <v>564</v>
      </c>
      <c r="C213" s="85" t="s">
        <v>565</v>
      </c>
      <c r="D213" s="2" t="s">
        <v>21</v>
      </c>
      <c r="E213" s="2" t="s">
        <v>117</v>
      </c>
      <c r="F213" s="7">
        <v>4</v>
      </c>
      <c r="G213" s="8">
        <v>14.75</v>
      </c>
      <c r="H213" s="8">
        <f t="shared" si="138"/>
        <v>18.784125</v>
      </c>
      <c r="I213" s="9">
        <f t="shared" si="145"/>
        <v>75.136499999999998</v>
      </c>
      <c r="J213" s="5"/>
      <c r="K213" s="81"/>
      <c r="L213" s="5">
        <f t="shared" si="146"/>
        <v>0</v>
      </c>
      <c r="M213" s="6">
        <f t="shared" si="147"/>
        <v>0</v>
      </c>
      <c r="N213" s="83">
        <f t="shared" si="148"/>
        <v>0</v>
      </c>
      <c r="O213" s="6">
        <f t="shared" si="149"/>
        <v>0</v>
      </c>
      <c r="P213" s="34">
        <f t="shared" si="150"/>
        <v>75.136499999999998</v>
      </c>
    </row>
    <row r="214" spans="1:16" x14ac:dyDescent="0.25">
      <c r="A214" s="35"/>
      <c r="B214" s="3"/>
      <c r="C214" s="86"/>
      <c r="D214" s="3"/>
      <c r="E214" s="3"/>
      <c r="F214" s="10"/>
      <c r="G214" s="11"/>
      <c r="H214" s="11"/>
      <c r="I214" s="12">
        <f>SUM(I154:I213)</f>
        <v>30647.858192099982</v>
      </c>
      <c r="J214" s="13"/>
      <c r="K214" s="81"/>
      <c r="L214" s="13"/>
      <c r="M214" s="12">
        <f>SUM(M154:M213)</f>
        <v>0</v>
      </c>
      <c r="N214" s="84">
        <f>SUM(N154:N213)</f>
        <v>0</v>
      </c>
      <c r="O214" s="12">
        <f>SUM(O154:O213)</f>
        <v>0</v>
      </c>
      <c r="P214" s="36">
        <f t="shared" si="150"/>
        <v>30647.858192099982</v>
      </c>
    </row>
    <row r="215" spans="1:16" x14ac:dyDescent="0.25">
      <c r="A215" s="32" t="s">
        <v>566</v>
      </c>
      <c r="B215" s="119" t="s">
        <v>567</v>
      </c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20"/>
    </row>
    <row r="216" spans="1:16" ht="25.5" x14ac:dyDescent="0.25">
      <c r="A216" s="33" t="s">
        <v>568</v>
      </c>
      <c r="B216" s="2" t="s">
        <v>569</v>
      </c>
      <c r="C216" s="85" t="s">
        <v>570</v>
      </c>
      <c r="D216" s="2" t="s">
        <v>21</v>
      </c>
      <c r="E216" s="2" t="s">
        <v>69</v>
      </c>
      <c r="F216" s="7">
        <v>2197.91</v>
      </c>
      <c r="G216" s="8">
        <v>2.1800000000000002</v>
      </c>
      <c r="H216" s="8">
        <f t="shared" ref="H216:H224" si="151">G216*$Q$9</f>
        <v>2.7762300000000004</v>
      </c>
      <c r="I216" s="9">
        <f t="shared" ref="I216" si="152">F216*H216</f>
        <v>6101.9036793000005</v>
      </c>
      <c r="J216" s="5"/>
      <c r="K216" s="81"/>
      <c r="L216" s="5">
        <f t="shared" ref="L216" si="153">K216+J216</f>
        <v>0</v>
      </c>
      <c r="M216" s="6">
        <f t="shared" ref="M216" si="154">J216*H216</f>
        <v>0</v>
      </c>
      <c r="N216" s="83">
        <f t="shared" ref="N216" si="155">H216*K216</f>
        <v>0</v>
      </c>
      <c r="O216" s="6">
        <f t="shared" ref="O216" si="156">N216+M216</f>
        <v>0</v>
      </c>
      <c r="P216" s="34">
        <f t="shared" ref="P216" si="157">I216-O216</f>
        <v>6101.9036793000005</v>
      </c>
    </row>
    <row r="217" spans="1:16" ht="25.5" x14ac:dyDescent="0.25">
      <c r="A217" s="33" t="s">
        <v>571</v>
      </c>
      <c r="B217" s="2" t="s">
        <v>572</v>
      </c>
      <c r="C217" s="85" t="s">
        <v>573</v>
      </c>
      <c r="D217" s="2" t="s">
        <v>21</v>
      </c>
      <c r="E217" s="2" t="s">
        <v>69</v>
      </c>
      <c r="F217" s="7">
        <v>653.14</v>
      </c>
      <c r="G217" s="8">
        <v>1.89</v>
      </c>
      <c r="H217" s="8">
        <f t="shared" si="151"/>
        <v>2.4069150000000001</v>
      </c>
      <c r="I217" s="9">
        <f t="shared" ref="I217:I224" si="158">F217*H217</f>
        <v>1572.0524631000001</v>
      </c>
      <c r="J217" s="5"/>
      <c r="K217" s="81"/>
      <c r="L217" s="5">
        <f t="shared" ref="L217:L224" si="159">K217+J217</f>
        <v>0</v>
      </c>
      <c r="M217" s="6">
        <f t="shared" ref="M217:M224" si="160">J217*H217</f>
        <v>0</v>
      </c>
      <c r="N217" s="83">
        <f t="shared" ref="N217:N224" si="161">H217*K217</f>
        <v>0</v>
      </c>
      <c r="O217" s="6">
        <f t="shared" ref="O217:O224" si="162">N217+M217</f>
        <v>0</v>
      </c>
      <c r="P217" s="34">
        <f t="shared" ref="P217:P225" si="163">I217-O217</f>
        <v>1572.0524631000001</v>
      </c>
    </row>
    <row r="218" spans="1:16" ht="25.5" x14ac:dyDescent="0.25">
      <c r="A218" s="33" t="s">
        <v>574</v>
      </c>
      <c r="B218" s="2" t="s">
        <v>575</v>
      </c>
      <c r="C218" s="85" t="s">
        <v>576</v>
      </c>
      <c r="D218" s="2" t="s">
        <v>21</v>
      </c>
      <c r="E218" s="2" t="s">
        <v>69</v>
      </c>
      <c r="F218" s="7">
        <v>653.14</v>
      </c>
      <c r="G218" s="8">
        <v>13.66</v>
      </c>
      <c r="H218" s="8">
        <f t="shared" si="151"/>
        <v>17.39601</v>
      </c>
      <c r="I218" s="9">
        <f t="shared" si="158"/>
        <v>11362.029971399999</v>
      </c>
      <c r="J218" s="5"/>
      <c r="K218" s="81"/>
      <c r="L218" s="5">
        <f t="shared" si="159"/>
        <v>0</v>
      </c>
      <c r="M218" s="6">
        <f t="shared" si="160"/>
        <v>0</v>
      </c>
      <c r="N218" s="83">
        <f t="shared" si="161"/>
        <v>0</v>
      </c>
      <c r="O218" s="6">
        <f t="shared" si="162"/>
        <v>0</v>
      </c>
      <c r="P218" s="34">
        <f t="shared" si="163"/>
        <v>11362.029971399999</v>
      </c>
    </row>
    <row r="219" spans="1:16" ht="25.5" x14ac:dyDescent="0.25">
      <c r="A219" s="33" t="s">
        <v>577</v>
      </c>
      <c r="B219" s="2" t="s">
        <v>578</v>
      </c>
      <c r="C219" s="85" t="s">
        <v>579</v>
      </c>
      <c r="D219" s="2" t="s">
        <v>12</v>
      </c>
      <c r="E219" s="2" t="s">
        <v>13</v>
      </c>
      <c r="F219" s="7">
        <v>1933.7</v>
      </c>
      <c r="G219" s="8">
        <v>13.49</v>
      </c>
      <c r="H219" s="8">
        <f t="shared" si="151"/>
        <v>17.179515000000002</v>
      </c>
      <c r="I219" s="9">
        <f t="shared" si="158"/>
        <v>33220.028155500004</v>
      </c>
      <c r="J219" s="5"/>
      <c r="K219" s="81"/>
      <c r="L219" s="5">
        <f t="shared" si="159"/>
        <v>0</v>
      </c>
      <c r="M219" s="6">
        <f t="shared" si="160"/>
        <v>0</v>
      </c>
      <c r="N219" s="83">
        <f t="shared" si="161"/>
        <v>0</v>
      </c>
      <c r="O219" s="6">
        <f t="shared" si="162"/>
        <v>0</v>
      </c>
      <c r="P219" s="34">
        <f t="shared" si="163"/>
        <v>33220.028155500004</v>
      </c>
    </row>
    <row r="220" spans="1:16" ht="25.5" x14ac:dyDescent="0.25">
      <c r="A220" s="33" t="s">
        <v>580</v>
      </c>
      <c r="B220" s="2" t="s">
        <v>581</v>
      </c>
      <c r="C220" s="85" t="s">
        <v>582</v>
      </c>
      <c r="D220" s="2" t="s">
        <v>21</v>
      </c>
      <c r="E220" s="2" t="s">
        <v>69</v>
      </c>
      <c r="F220" s="7">
        <v>2197.91</v>
      </c>
      <c r="G220" s="8">
        <v>9.89</v>
      </c>
      <c r="H220" s="8">
        <f t="shared" si="151"/>
        <v>12.594915000000002</v>
      </c>
      <c r="I220" s="9">
        <f t="shared" si="158"/>
        <v>27682.489627650004</v>
      </c>
      <c r="J220" s="5"/>
      <c r="K220" s="81"/>
      <c r="L220" s="5">
        <f t="shared" si="159"/>
        <v>0</v>
      </c>
      <c r="M220" s="6">
        <f t="shared" si="160"/>
        <v>0</v>
      </c>
      <c r="N220" s="83">
        <f t="shared" si="161"/>
        <v>0</v>
      </c>
      <c r="O220" s="6">
        <f t="shared" si="162"/>
        <v>0</v>
      </c>
      <c r="P220" s="34">
        <f t="shared" si="163"/>
        <v>27682.489627650004</v>
      </c>
    </row>
    <row r="221" spans="1:16" ht="25.5" x14ac:dyDescent="0.25">
      <c r="A221" s="33" t="s">
        <v>583</v>
      </c>
      <c r="B221" s="2" t="s">
        <v>584</v>
      </c>
      <c r="C221" s="85" t="s">
        <v>585</v>
      </c>
      <c r="D221" s="2" t="s">
        <v>21</v>
      </c>
      <c r="E221" s="2" t="s">
        <v>69</v>
      </c>
      <c r="F221" s="7">
        <v>653.14</v>
      </c>
      <c r="G221" s="8">
        <v>11.23</v>
      </c>
      <c r="H221" s="8">
        <f t="shared" si="151"/>
        <v>14.301405000000001</v>
      </c>
      <c r="I221" s="9">
        <f t="shared" si="158"/>
        <v>9340.8196617000012</v>
      </c>
      <c r="J221" s="5"/>
      <c r="K221" s="81"/>
      <c r="L221" s="5">
        <f t="shared" si="159"/>
        <v>0</v>
      </c>
      <c r="M221" s="6">
        <f t="shared" si="160"/>
        <v>0</v>
      </c>
      <c r="N221" s="83">
        <f t="shared" si="161"/>
        <v>0</v>
      </c>
      <c r="O221" s="6">
        <f t="shared" si="162"/>
        <v>0</v>
      </c>
      <c r="P221" s="34">
        <f t="shared" si="163"/>
        <v>9340.8196617000012</v>
      </c>
    </row>
    <row r="222" spans="1:16" ht="38.25" x14ac:dyDescent="0.25">
      <c r="A222" s="33" t="s">
        <v>586</v>
      </c>
      <c r="B222" s="2" t="s">
        <v>587</v>
      </c>
      <c r="C222" s="85" t="s">
        <v>588</v>
      </c>
      <c r="D222" s="2" t="s">
        <v>21</v>
      </c>
      <c r="E222" s="2" t="s">
        <v>69</v>
      </c>
      <c r="F222" s="7">
        <v>69.72</v>
      </c>
      <c r="G222" s="8">
        <v>9.9700000000000006</v>
      </c>
      <c r="H222" s="8">
        <f t="shared" si="151"/>
        <v>12.696795000000002</v>
      </c>
      <c r="I222" s="9">
        <f t="shared" si="158"/>
        <v>885.2205474000001</v>
      </c>
      <c r="J222" s="5"/>
      <c r="K222" s="81"/>
      <c r="L222" s="5">
        <f t="shared" si="159"/>
        <v>0</v>
      </c>
      <c r="M222" s="6">
        <f t="shared" si="160"/>
        <v>0</v>
      </c>
      <c r="N222" s="83">
        <f t="shared" si="161"/>
        <v>0</v>
      </c>
      <c r="O222" s="6">
        <f t="shared" si="162"/>
        <v>0</v>
      </c>
      <c r="P222" s="34">
        <f t="shared" si="163"/>
        <v>885.2205474000001</v>
      </c>
    </row>
    <row r="223" spans="1:16" ht="63.75" x14ac:dyDescent="0.25">
      <c r="A223" s="33" t="s">
        <v>589</v>
      </c>
      <c r="B223" s="2" t="s">
        <v>590</v>
      </c>
      <c r="C223" s="85" t="s">
        <v>591</v>
      </c>
      <c r="D223" s="2" t="s">
        <v>21</v>
      </c>
      <c r="E223" s="2" t="s">
        <v>69</v>
      </c>
      <c r="F223" s="7">
        <v>64.91</v>
      </c>
      <c r="G223" s="8">
        <v>8.27</v>
      </c>
      <c r="H223" s="8">
        <f t="shared" si="151"/>
        <v>10.531845000000001</v>
      </c>
      <c r="I223" s="9">
        <f t="shared" si="158"/>
        <v>683.62205895</v>
      </c>
      <c r="J223" s="5"/>
      <c r="K223" s="81"/>
      <c r="L223" s="5">
        <f t="shared" si="159"/>
        <v>0</v>
      </c>
      <c r="M223" s="6">
        <f t="shared" si="160"/>
        <v>0</v>
      </c>
      <c r="N223" s="83">
        <f t="shared" si="161"/>
        <v>0</v>
      </c>
      <c r="O223" s="6">
        <f t="shared" si="162"/>
        <v>0</v>
      </c>
      <c r="P223" s="34">
        <f t="shared" si="163"/>
        <v>683.62205895</v>
      </c>
    </row>
    <row r="224" spans="1:16" ht="51" x14ac:dyDescent="0.25">
      <c r="A224" s="33" t="s">
        <v>592</v>
      </c>
      <c r="B224" s="2" t="s">
        <v>593</v>
      </c>
      <c r="C224" s="85" t="s">
        <v>594</v>
      </c>
      <c r="D224" s="2" t="s">
        <v>21</v>
      </c>
      <c r="E224" s="2" t="s">
        <v>69</v>
      </c>
      <c r="F224" s="7">
        <v>64.91</v>
      </c>
      <c r="G224" s="8">
        <v>6.5</v>
      </c>
      <c r="H224" s="8">
        <f t="shared" si="151"/>
        <v>8.2777500000000011</v>
      </c>
      <c r="I224" s="9">
        <f t="shared" si="158"/>
        <v>537.30875250000008</v>
      </c>
      <c r="J224" s="5"/>
      <c r="K224" s="81"/>
      <c r="L224" s="5">
        <f t="shared" si="159"/>
        <v>0</v>
      </c>
      <c r="M224" s="6">
        <f t="shared" si="160"/>
        <v>0</v>
      </c>
      <c r="N224" s="83">
        <f t="shared" si="161"/>
        <v>0</v>
      </c>
      <c r="O224" s="6">
        <f t="shared" si="162"/>
        <v>0</v>
      </c>
      <c r="P224" s="34">
        <f t="shared" si="163"/>
        <v>537.30875250000008</v>
      </c>
    </row>
    <row r="225" spans="1:16" x14ac:dyDescent="0.25">
      <c r="A225" s="35"/>
      <c r="B225" s="3"/>
      <c r="C225" s="86"/>
      <c r="D225" s="3"/>
      <c r="E225" s="3"/>
      <c r="F225" s="10"/>
      <c r="G225" s="11"/>
      <c r="H225" s="11"/>
      <c r="I225" s="12">
        <f>SUM(I216:I224)</f>
        <v>91385.474917500003</v>
      </c>
      <c r="J225" s="13"/>
      <c r="K225" s="81"/>
      <c r="L225" s="13"/>
      <c r="M225" s="12">
        <f>SUM(M216:M224)</f>
        <v>0</v>
      </c>
      <c r="N225" s="84">
        <f>SUM(N216:N224)</f>
        <v>0</v>
      </c>
      <c r="O225" s="12">
        <f>SUM(O216:O224)</f>
        <v>0</v>
      </c>
      <c r="P225" s="36">
        <f t="shared" si="163"/>
        <v>91385.474917500003</v>
      </c>
    </row>
    <row r="226" spans="1:16" x14ac:dyDescent="0.25">
      <c r="A226" s="32" t="s">
        <v>595</v>
      </c>
      <c r="B226" s="119" t="s">
        <v>596</v>
      </c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20"/>
    </row>
    <row r="227" spans="1:16" x14ac:dyDescent="0.25">
      <c r="A227" s="33" t="s">
        <v>597</v>
      </c>
      <c r="B227" s="2" t="s">
        <v>598</v>
      </c>
      <c r="C227" s="85" t="s">
        <v>599</v>
      </c>
      <c r="D227" s="2" t="s">
        <v>12</v>
      </c>
      <c r="E227" s="2" t="s">
        <v>13</v>
      </c>
      <c r="F227" s="7">
        <v>1046.48</v>
      </c>
      <c r="G227" s="8">
        <v>1.86</v>
      </c>
      <c r="H227" s="8">
        <f t="shared" ref="H227:H228" si="164">G227*$Q$9</f>
        <v>2.3687100000000001</v>
      </c>
      <c r="I227" s="9">
        <f t="shared" ref="I227:I228" si="165">F227*H227</f>
        <v>2478.8076408000002</v>
      </c>
      <c r="J227" s="5"/>
      <c r="K227" s="81"/>
      <c r="L227" s="5">
        <f t="shared" ref="L227:L228" si="166">K227+J227</f>
        <v>0</v>
      </c>
      <c r="M227" s="6">
        <f t="shared" ref="M227:M228" si="167">J227*H227</f>
        <v>0</v>
      </c>
      <c r="N227" s="83">
        <f t="shared" ref="N227:N228" si="168">H227*K227</f>
        <v>0</v>
      </c>
      <c r="O227" s="6">
        <f t="shared" ref="O227:O228" si="169">N227+M227</f>
        <v>0</v>
      </c>
      <c r="P227" s="34">
        <f t="shared" ref="P227:P229" si="170">I227-O227</f>
        <v>2478.8076408000002</v>
      </c>
    </row>
    <row r="228" spans="1:16" x14ac:dyDescent="0.25">
      <c r="A228" s="33" t="s">
        <v>600</v>
      </c>
      <c r="B228" s="2" t="s">
        <v>601</v>
      </c>
      <c r="C228" s="85" t="s">
        <v>602</v>
      </c>
      <c r="D228" s="2" t="s">
        <v>12</v>
      </c>
      <c r="E228" s="2" t="s">
        <v>133</v>
      </c>
      <c r="F228" s="7">
        <v>7</v>
      </c>
      <c r="G228" s="8">
        <v>466.47</v>
      </c>
      <c r="H228" s="8">
        <f t="shared" si="164"/>
        <v>594.04954500000008</v>
      </c>
      <c r="I228" s="9">
        <f t="shared" si="165"/>
        <v>4158.3468150000008</v>
      </c>
      <c r="J228" s="5"/>
      <c r="K228" s="81"/>
      <c r="L228" s="5">
        <f t="shared" si="166"/>
        <v>0</v>
      </c>
      <c r="M228" s="6">
        <f t="shared" si="167"/>
        <v>0</v>
      </c>
      <c r="N228" s="83">
        <f t="shared" si="168"/>
        <v>0</v>
      </c>
      <c r="O228" s="6">
        <f t="shared" si="169"/>
        <v>0</v>
      </c>
      <c r="P228" s="34">
        <f t="shared" si="170"/>
        <v>4158.3468150000008</v>
      </c>
    </row>
    <row r="229" spans="1:16" x14ac:dyDescent="0.25">
      <c r="A229" s="35"/>
      <c r="B229" s="3"/>
      <c r="C229" s="86"/>
      <c r="D229" s="3"/>
      <c r="E229" s="3"/>
      <c r="F229" s="10"/>
      <c r="G229" s="11"/>
      <c r="H229" s="11"/>
      <c r="I229" s="12">
        <f>SUM(I227:I228)</f>
        <v>6637.1544558000005</v>
      </c>
      <c r="J229" s="13"/>
      <c r="K229" s="81"/>
      <c r="L229" s="13"/>
      <c r="M229" s="12">
        <f>SUM(M227:M228)</f>
        <v>0</v>
      </c>
      <c r="N229" s="84">
        <f>SUM(N227:N228)</f>
        <v>0</v>
      </c>
      <c r="O229" s="12">
        <f>SUM(O227:O228)</f>
        <v>0</v>
      </c>
      <c r="P229" s="36">
        <f t="shared" si="170"/>
        <v>6637.1544558000005</v>
      </c>
    </row>
    <row r="230" spans="1:16" x14ac:dyDescent="0.25">
      <c r="A230" s="140" t="s">
        <v>612</v>
      </c>
      <c r="B230" s="141"/>
      <c r="C230" s="141"/>
      <c r="D230" s="141"/>
      <c r="E230" s="141"/>
      <c r="F230" s="141"/>
      <c r="G230" s="141"/>
      <c r="H230" s="141"/>
      <c r="I230" s="141"/>
      <c r="J230" s="108">
        <f>I229+I225+I214+I152+I103+I96+I92+I76+I69+I59+I47+I33+I28+I18+I13</f>
        <v>1292576.3966884499</v>
      </c>
      <c r="K230" s="108"/>
      <c r="L230" s="108"/>
      <c r="M230" s="112">
        <f>M229+M225+M214+M152+M103+M96+M92+M76+M69+M59+M47+M33+M28+M18+M13</f>
        <v>444776.53739166004</v>
      </c>
      <c r="N230" s="110">
        <f>N229+N225+N214+N152+N103+N96+N92+N76+N69+N59+N47+N33+N28+N18+N13</f>
        <v>135949.15649034001</v>
      </c>
      <c r="O230" s="112">
        <f>O229+O225+O214+O152+O103+O96+O92+O76+O69+O59+O47+O33+O28+O18+O13</f>
        <v>580725.69388200005</v>
      </c>
      <c r="P230" s="114">
        <f>P229+P225+P214+P152+P103+P96+P92+P76+P69+P59+P47+P33+P28+P18+P13</f>
        <v>711850.70280645008</v>
      </c>
    </row>
    <row r="231" spans="1:16" x14ac:dyDescent="0.25">
      <c r="A231" s="140"/>
      <c r="B231" s="141"/>
      <c r="C231" s="141"/>
      <c r="D231" s="141"/>
      <c r="E231" s="141"/>
      <c r="F231" s="141"/>
      <c r="G231" s="141"/>
      <c r="H231" s="141"/>
      <c r="I231" s="141"/>
      <c r="J231" s="108"/>
      <c r="K231" s="108"/>
      <c r="L231" s="108"/>
      <c r="M231" s="112"/>
      <c r="N231" s="110"/>
      <c r="O231" s="112"/>
      <c r="P231" s="114"/>
    </row>
    <row r="232" spans="1:16" ht="15.75" thickBot="1" x14ac:dyDescent="0.3">
      <c r="A232" s="142"/>
      <c r="B232" s="143"/>
      <c r="C232" s="143"/>
      <c r="D232" s="143"/>
      <c r="E232" s="143"/>
      <c r="F232" s="143"/>
      <c r="G232" s="143"/>
      <c r="H232" s="143"/>
      <c r="I232" s="143"/>
      <c r="J232" s="109"/>
      <c r="K232" s="109"/>
      <c r="L232" s="109"/>
      <c r="M232" s="113"/>
      <c r="N232" s="111"/>
      <c r="O232" s="113"/>
      <c r="P232" s="115"/>
    </row>
  </sheetData>
  <mergeCells count="37">
    <mergeCell ref="A1:C3"/>
    <mergeCell ref="D1:M2"/>
    <mergeCell ref="M230:M232"/>
    <mergeCell ref="A230:I232"/>
    <mergeCell ref="B70:P70"/>
    <mergeCell ref="B77:P77"/>
    <mergeCell ref="B93:P93"/>
    <mergeCell ref="B97:P97"/>
    <mergeCell ref="B104:P104"/>
    <mergeCell ref="B34:P34"/>
    <mergeCell ref="B45:P45"/>
    <mergeCell ref="B153:P153"/>
    <mergeCell ref="B215:P215"/>
    <mergeCell ref="B226:P226"/>
    <mergeCell ref="B48:P48"/>
    <mergeCell ref="B60:P60"/>
    <mergeCell ref="N1:P2"/>
    <mergeCell ref="N3:P3"/>
    <mergeCell ref="N4:P5"/>
    <mergeCell ref="J6:L6"/>
    <mergeCell ref="M6:P6"/>
    <mergeCell ref="J230:L232"/>
    <mergeCell ref="N230:N232"/>
    <mergeCell ref="O230:O232"/>
    <mergeCell ref="P230:P232"/>
    <mergeCell ref="D3:M3"/>
    <mergeCell ref="A4:M5"/>
    <mergeCell ref="B8:P8"/>
    <mergeCell ref="B14:P14"/>
    <mergeCell ref="A6:A7"/>
    <mergeCell ref="B6:B7"/>
    <mergeCell ref="C6:C7"/>
    <mergeCell ref="D6:D7"/>
    <mergeCell ref="E6:E7"/>
    <mergeCell ref="F6:I6"/>
    <mergeCell ref="B19:P19"/>
    <mergeCell ref="B29:P29"/>
  </mergeCells>
  <conditionalFormatting sqref="K1:K6 K8:K1048576">
    <cfRule type="cellIs" dxfId="1" priority="2" operator="greaterThan">
      <formula>0</formula>
    </cfRule>
  </conditionalFormatting>
  <conditionalFormatting sqref="N6 N8:N1048576">
    <cfRule type="cellIs" dxfId="0" priority="1" operator="greaterThan">
      <formula>0</formula>
    </cfRule>
  </conditionalFormatting>
  <pageMargins left="0.7" right="0.7" top="0.75" bottom="0.75" header="0.3" footer="0.3"/>
  <pageSetup paperSize="9" scale="45" fitToHeight="0" orientation="landscape" horizontalDpi="360" verticalDpi="360" r:id="rId1"/>
  <rowBreaks count="8" manualBreakCount="8">
    <brk id="33" max="16" man="1"/>
    <brk id="59" max="16" man="1"/>
    <brk id="80" max="16" man="1"/>
    <brk id="112" max="16" man="1"/>
    <brk id="137" max="16" man="1"/>
    <brk id="168" max="16" man="1"/>
    <brk id="196" max="16" man="1"/>
    <brk id="219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943A4-6EDB-4C7D-A1E3-5F294AE29D94}">
  <sheetPr>
    <tabColor rgb="FFFF0000"/>
  </sheetPr>
  <dimension ref="A1:E23"/>
  <sheetViews>
    <sheetView workbookViewId="0">
      <selection activeCell="E18" sqref="E18"/>
    </sheetView>
  </sheetViews>
  <sheetFormatPr defaultRowHeight="15" x14ac:dyDescent="0.25"/>
  <cols>
    <col min="4" max="4" width="23.42578125" bestFit="1" customWidth="1"/>
    <col min="5" max="5" width="32.42578125" bestFit="1" customWidth="1"/>
  </cols>
  <sheetData>
    <row r="1" spans="1:5" x14ac:dyDescent="0.25">
      <c r="A1" s="146" t="s">
        <v>815</v>
      </c>
      <c r="B1" s="145"/>
      <c r="C1" s="102"/>
      <c r="D1" s="146" t="s">
        <v>816</v>
      </c>
      <c r="E1" s="145"/>
    </row>
    <row r="2" spans="1:5" x14ac:dyDescent="0.25">
      <c r="A2" s="147" t="s">
        <v>817</v>
      </c>
      <c r="B2" s="145"/>
      <c r="C2" s="102"/>
      <c r="D2" s="103" t="s">
        <v>818</v>
      </c>
      <c r="E2" s="103" t="s">
        <v>819</v>
      </c>
    </row>
    <row r="3" spans="1:5" x14ac:dyDescent="0.25">
      <c r="A3" s="104" t="s">
        <v>4</v>
      </c>
      <c r="B3" s="104" t="s">
        <v>820</v>
      </c>
      <c r="C3" s="102"/>
      <c r="D3" s="105">
        <v>55</v>
      </c>
      <c r="E3" s="105">
        <v>81.06</v>
      </c>
    </row>
    <row r="4" spans="1:5" x14ac:dyDescent="0.25">
      <c r="A4" s="105">
        <v>6</v>
      </c>
      <c r="B4" s="106">
        <v>1.4</v>
      </c>
      <c r="C4" s="102"/>
      <c r="D4" s="105"/>
      <c r="E4" s="105"/>
    </row>
    <row r="5" spans="1:5" x14ac:dyDescent="0.25">
      <c r="A5" s="105">
        <v>2</v>
      </c>
      <c r="B5" s="106">
        <v>0.8</v>
      </c>
      <c r="C5" s="102"/>
      <c r="D5" s="103" t="s">
        <v>821</v>
      </c>
      <c r="E5" s="103" t="s">
        <v>822</v>
      </c>
    </row>
    <row r="6" spans="1:5" x14ac:dyDescent="0.25">
      <c r="A6" s="105">
        <v>21</v>
      </c>
      <c r="B6" s="106">
        <v>1.9</v>
      </c>
      <c r="C6" s="102"/>
      <c r="D6" s="105">
        <v>29</v>
      </c>
      <c r="E6" s="106">
        <v>49.9</v>
      </c>
    </row>
    <row r="7" spans="1:5" x14ac:dyDescent="0.25">
      <c r="A7" s="144" t="s">
        <v>823</v>
      </c>
      <c r="B7" s="145"/>
      <c r="C7" s="102"/>
      <c r="D7" s="107"/>
      <c r="E7" s="107"/>
    </row>
    <row r="8" spans="1:5" x14ac:dyDescent="0.25">
      <c r="A8" s="104" t="s">
        <v>4</v>
      </c>
      <c r="B8" s="104" t="s">
        <v>820</v>
      </c>
      <c r="C8" s="102"/>
      <c r="D8" s="107"/>
      <c r="E8" s="107"/>
    </row>
    <row r="9" spans="1:5" x14ac:dyDescent="0.25">
      <c r="A9" s="105">
        <v>6</v>
      </c>
      <c r="B9" s="106">
        <v>1.06</v>
      </c>
      <c r="C9" s="102"/>
      <c r="D9" s="107"/>
      <c r="E9" s="107"/>
    </row>
    <row r="10" spans="1:5" x14ac:dyDescent="0.25">
      <c r="A10" s="105">
        <v>9</v>
      </c>
      <c r="B10" s="106">
        <v>1.1599999999999999</v>
      </c>
      <c r="C10" s="102"/>
      <c r="D10" s="102"/>
      <c r="E10" s="102"/>
    </row>
    <row r="11" spans="1:5" x14ac:dyDescent="0.25">
      <c r="A11" s="105">
        <v>6</v>
      </c>
      <c r="B11" s="106">
        <v>1.26</v>
      </c>
      <c r="C11" s="102"/>
      <c r="D11" s="102"/>
      <c r="E11" s="102"/>
    </row>
    <row r="12" spans="1:5" x14ac:dyDescent="0.25">
      <c r="A12" s="105">
        <v>3</v>
      </c>
      <c r="B12" s="106">
        <v>1.4</v>
      </c>
      <c r="C12" s="102"/>
      <c r="D12" s="102"/>
      <c r="E12" s="102"/>
    </row>
    <row r="13" spans="1:5" x14ac:dyDescent="0.25">
      <c r="A13" s="105">
        <v>2</v>
      </c>
      <c r="B13" s="106">
        <v>1.3</v>
      </c>
      <c r="C13" s="102"/>
      <c r="D13" s="102"/>
      <c r="E13" s="102"/>
    </row>
    <row r="14" spans="1:5" x14ac:dyDescent="0.25">
      <c r="A14" s="107"/>
      <c r="B14" s="107"/>
      <c r="C14" s="102"/>
      <c r="D14" s="102"/>
      <c r="E14" s="102"/>
    </row>
    <row r="15" spans="1:5" x14ac:dyDescent="0.25">
      <c r="A15" s="146" t="s">
        <v>824</v>
      </c>
      <c r="B15" s="145"/>
      <c r="C15" s="102"/>
      <c r="D15" s="102"/>
      <c r="E15" s="102"/>
    </row>
    <row r="16" spans="1:5" x14ac:dyDescent="0.25">
      <c r="A16" s="144" t="s">
        <v>817</v>
      </c>
      <c r="B16" s="145"/>
      <c r="C16" s="102"/>
      <c r="D16" s="102"/>
      <c r="E16" s="102"/>
    </row>
    <row r="17" spans="1:2" x14ac:dyDescent="0.25">
      <c r="A17" s="104" t="s">
        <v>4</v>
      </c>
      <c r="B17" s="104" t="s">
        <v>820</v>
      </c>
    </row>
    <row r="18" spans="1:2" x14ac:dyDescent="0.25">
      <c r="A18" s="105">
        <v>6</v>
      </c>
      <c r="B18" s="106">
        <v>1.4</v>
      </c>
    </row>
    <row r="19" spans="1:2" x14ac:dyDescent="0.25">
      <c r="A19" s="105">
        <v>2</v>
      </c>
      <c r="B19" s="106">
        <v>0.8</v>
      </c>
    </row>
    <row r="20" spans="1:2" x14ac:dyDescent="0.25">
      <c r="A20" s="105">
        <v>21</v>
      </c>
      <c r="B20" s="106">
        <v>1.9</v>
      </c>
    </row>
    <row r="21" spans="1:2" x14ac:dyDescent="0.25">
      <c r="A21" s="107"/>
      <c r="B21" s="107"/>
    </row>
    <row r="22" spans="1:2" x14ac:dyDescent="0.25">
      <c r="A22" s="107"/>
      <c r="B22" s="107"/>
    </row>
    <row r="23" spans="1:2" x14ac:dyDescent="0.25">
      <c r="A23" s="107"/>
      <c r="B23" s="107"/>
    </row>
  </sheetData>
  <mergeCells count="6">
    <mergeCell ref="A16:B16"/>
    <mergeCell ref="D1:E1"/>
    <mergeCell ref="A1:B1"/>
    <mergeCell ref="A2:B2"/>
    <mergeCell ref="A7:B7"/>
    <mergeCell ref="A15:B1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24"/>
  <sheetViews>
    <sheetView tabSelected="1" view="pageBreakPreview" topLeftCell="A27" zoomScale="60" zoomScaleNormal="100" workbookViewId="0">
      <selection activeCell="D52" sqref="D52"/>
    </sheetView>
  </sheetViews>
  <sheetFormatPr defaultRowHeight="15" x14ac:dyDescent="0.25"/>
  <cols>
    <col min="2" max="2" width="46.7109375" customWidth="1"/>
    <col min="3" max="3" width="15.42578125" customWidth="1"/>
    <col min="4" max="4" width="150.28515625" customWidth="1"/>
    <col min="5" max="5" width="12.42578125" bestFit="1" customWidth="1"/>
  </cols>
  <sheetData>
    <row r="1" spans="1:16" ht="15" customHeight="1" x14ac:dyDescent="0.25">
      <c r="A1" s="173" t="s">
        <v>611</v>
      </c>
      <c r="B1" s="173"/>
      <c r="C1" s="160" t="s">
        <v>789</v>
      </c>
      <c r="D1" s="161"/>
      <c r="E1" s="162"/>
      <c r="F1" s="65"/>
      <c r="G1" s="65"/>
      <c r="H1" s="65"/>
      <c r="I1" s="65"/>
      <c r="J1" s="65"/>
      <c r="K1" s="65"/>
      <c r="L1" s="65"/>
      <c r="M1" s="65"/>
      <c r="N1" s="176"/>
      <c r="O1" s="176"/>
      <c r="P1" s="176"/>
    </row>
    <row r="2" spans="1:16" ht="15" customHeight="1" x14ac:dyDescent="0.25">
      <c r="A2" s="174"/>
      <c r="B2" s="174"/>
      <c r="C2" s="163"/>
      <c r="D2" s="164"/>
      <c r="E2" s="165"/>
      <c r="F2" s="65"/>
      <c r="G2" s="65"/>
      <c r="H2" s="65"/>
      <c r="I2" s="65"/>
      <c r="J2" s="65"/>
      <c r="K2" s="65"/>
      <c r="L2" s="65"/>
      <c r="M2" s="65"/>
      <c r="N2" s="176"/>
      <c r="O2" s="176"/>
      <c r="P2" s="176"/>
    </row>
    <row r="3" spans="1:16" ht="15" customHeight="1" x14ac:dyDescent="0.25">
      <c r="A3" s="174"/>
      <c r="B3" s="174"/>
      <c r="C3" s="166"/>
      <c r="D3" s="167"/>
      <c r="E3" s="168"/>
      <c r="F3" s="65"/>
      <c r="G3" s="65"/>
      <c r="H3" s="65"/>
      <c r="I3" s="65"/>
      <c r="J3" s="65"/>
      <c r="K3" s="65"/>
      <c r="L3" s="65"/>
      <c r="M3" s="65"/>
      <c r="N3" s="67"/>
      <c r="O3" s="67"/>
      <c r="P3" s="67"/>
    </row>
    <row r="4" spans="1:16" ht="15" customHeight="1" x14ac:dyDescent="0.25">
      <c r="A4" s="174"/>
      <c r="B4" s="174"/>
      <c r="C4" s="169" t="s">
        <v>613</v>
      </c>
      <c r="D4" s="169"/>
      <c r="E4" s="170"/>
      <c r="F4" s="66"/>
      <c r="G4" s="66"/>
      <c r="H4" s="66"/>
      <c r="I4" s="66"/>
      <c r="J4" s="66"/>
      <c r="K4" s="66"/>
      <c r="L4" s="66"/>
      <c r="M4" s="66"/>
      <c r="N4" s="177"/>
      <c r="O4" s="177"/>
      <c r="P4" s="177"/>
    </row>
    <row r="5" spans="1:16" ht="15" customHeight="1" x14ac:dyDescent="0.25">
      <c r="A5" s="175"/>
      <c r="B5" s="175"/>
      <c r="C5" s="171"/>
      <c r="D5" s="171"/>
      <c r="E5" s="172"/>
      <c r="F5" s="66"/>
      <c r="G5" s="66"/>
      <c r="H5" s="66"/>
      <c r="I5" s="66"/>
      <c r="J5" s="66"/>
      <c r="K5" s="66"/>
      <c r="L5" s="66"/>
      <c r="M5" s="66"/>
      <c r="N5" s="68"/>
      <c r="O5" s="68"/>
      <c r="P5" s="68"/>
    </row>
    <row r="6" spans="1:16" ht="26.25" x14ac:dyDescent="0.25">
      <c r="A6" s="152" t="s">
        <v>666</v>
      </c>
      <c r="B6" s="153"/>
      <c r="C6" s="153"/>
      <c r="D6" s="153"/>
      <c r="E6" s="154"/>
    </row>
    <row r="7" spans="1:16" x14ac:dyDescent="0.25">
      <c r="A7" s="149"/>
      <c r="B7" s="150"/>
      <c r="C7" s="150"/>
      <c r="D7" s="150"/>
      <c r="E7" s="151"/>
    </row>
    <row r="8" spans="1:16" x14ac:dyDescent="0.25">
      <c r="A8" s="18" t="s">
        <v>0</v>
      </c>
      <c r="B8" s="19" t="s">
        <v>614</v>
      </c>
      <c r="C8" s="20" t="s">
        <v>615</v>
      </c>
      <c r="D8" s="18" t="s">
        <v>616</v>
      </c>
      <c r="E8" s="21" t="s">
        <v>617</v>
      </c>
    </row>
    <row r="9" spans="1:16" x14ac:dyDescent="0.25">
      <c r="A9" s="149"/>
      <c r="B9" s="150"/>
      <c r="C9" s="150"/>
      <c r="D9" s="150"/>
      <c r="E9" s="151"/>
    </row>
    <row r="10" spans="1:16" x14ac:dyDescent="0.25">
      <c r="A10" s="16">
        <f>'[1]1 MEDIÇÃO'!A9</f>
        <v>1</v>
      </c>
      <c r="B10" s="155" t="str">
        <f>'MEDIÇÃO 04'!B8:P8</f>
        <v>SERVIÇOS PRELIMINARES</v>
      </c>
      <c r="C10" s="156"/>
      <c r="D10" s="156"/>
      <c r="E10" s="156"/>
    </row>
    <row r="11" spans="1:16" x14ac:dyDescent="0.25">
      <c r="A11" s="17" t="str">
        <f>'[1]1 MEDIÇÃO'!A10</f>
        <v xml:space="preserve"> 1.1 </v>
      </c>
      <c r="B11" s="14" t="str">
        <f>'MEDIÇÃO 04'!C9</f>
        <v>Placa de obra em chapa aço galvanizado, instalada</v>
      </c>
      <c r="C11" s="5" t="str">
        <f>'MEDIÇÃO 04'!E9</f>
        <v>m2</v>
      </c>
      <c r="D11" s="15"/>
      <c r="E11" s="23"/>
    </row>
    <row r="12" spans="1:16" ht="30" x14ac:dyDescent="0.25">
      <c r="A12" s="17" t="str">
        <f>'[1]1 MEDIÇÃO'!A11</f>
        <v xml:space="preserve"> 1.2 </v>
      </c>
      <c r="B12" s="14" t="str">
        <f>'MEDIÇÃO 04'!C10</f>
        <v>Barracão para escritório de obra porte pequeno s=25,41m2 com materiais novos</v>
      </c>
      <c r="C12" s="5" t="str">
        <f>'MEDIÇÃO 04'!E10</f>
        <v>un</v>
      </c>
      <c r="D12" s="15"/>
      <c r="E12" s="23"/>
    </row>
    <row r="13" spans="1:16" ht="45" x14ac:dyDescent="0.25">
      <c r="A13" s="17" t="str">
        <f>'[1]1 MEDIÇÃO'!A12</f>
        <v xml:space="preserve"> 1.3 </v>
      </c>
      <c r="B13" s="14" t="str">
        <f>'MEDIÇÃO 04'!C11</f>
        <v>LOCACAO CONVENCIONAL DE OBRA, UTILIZANDO GABARITO DE TÁBUAS CORRIDAS PONTALETADAS A CADA 2,00M -  2 UTILIZAÇÕES. AF_10/2018</v>
      </c>
      <c r="C13" s="5" t="str">
        <f>'MEDIÇÃO 04'!E11</f>
        <v>M</v>
      </c>
      <c r="D13" s="5"/>
      <c r="E13" s="23"/>
    </row>
    <row r="14" spans="1:16" ht="45" x14ac:dyDescent="0.25">
      <c r="A14" s="17" t="str">
        <f>'[1]1 MEDIÇÃO'!A13</f>
        <v xml:space="preserve"> 1.4 </v>
      </c>
      <c r="B14" s="14" t="str">
        <f>'MEDIÇÃO 04'!C12</f>
        <v>Instalação provisória de energia elétrica, aerea, trifasica, em poste galvanizado, exclusive fornecimento do medidor</v>
      </c>
      <c r="C14" s="5" t="str">
        <f>'MEDIÇÃO 04'!E12</f>
        <v>un</v>
      </c>
      <c r="D14" s="15"/>
      <c r="E14" s="23"/>
    </row>
    <row r="15" spans="1:16" x14ac:dyDescent="0.25">
      <c r="A15" s="16" t="str">
        <f>'MEDIÇÃO 04'!A14</f>
        <v>2</v>
      </c>
      <c r="B15" s="148" t="str">
        <f>'MEDIÇÃO 04'!B14:P14</f>
        <v>MOVIMENTO DE TERRA</v>
      </c>
      <c r="C15" s="148"/>
      <c r="D15" s="148"/>
      <c r="E15" s="148"/>
    </row>
    <row r="16" spans="1:16" ht="45" x14ac:dyDescent="0.25">
      <c r="A16" s="5" t="str">
        <f>'MEDIÇÃO 04'!A15</f>
        <v>2.1</v>
      </c>
      <c r="B16" s="22" t="str">
        <f>'MEDIÇÃO 04'!C15</f>
        <v>ATERRO MANUAL DE VALAS COM SOLO ARGILO-ARENOSO E COMPACTAÇÃO MECANIZADA. AF_05/2016</v>
      </c>
      <c r="C16" s="24" t="str">
        <f>'MEDIÇÃO 04'!E15</f>
        <v>M3</v>
      </c>
      <c r="D16" s="28"/>
      <c r="E16" s="69"/>
    </row>
    <row r="17" spans="1:6" ht="60" x14ac:dyDescent="0.25">
      <c r="A17" s="5" t="str">
        <f>'MEDIÇÃO 04'!A16</f>
        <v>2.2</v>
      </c>
      <c r="B17" s="14" t="str">
        <f>'MEDIÇÃO 04'!C16</f>
        <v>ESCAVAÇÃO MANUAL PARA BLOCO DE COROAMENTO OU SAPATA (INCLUINDO ESCAVAÇÃO PARA COLOCAÇÃO DE FÔRMAS). AF_06/2017</v>
      </c>
      <c r="C17" s="5" t="str">
        <f>'MEDIÇÃO 04'!E16</f>
        <v>M3</v>
      </c>
      <c r="D17" s="27"/>
      <c r="E17" s="29"/>
      <c r="F17">
        <f>2*2.45*2.55*1.5</f>
        <v>18.7425</v>
      </c>
    </row>
    <row r="18" spans="1:6" ht="45" x14ac:dyDescent="0.25">
      <c r="A18" s="5" t="str">
        <f>'MEDIÇÃO 04'!A17</f>
        <v>2.3</v>
      </c>
      <c r="B18" s="14" t="str">
        <f>'MEDIÇÃO 04'!C17</f>
        <v>ATERRO MANUAL DE VALAS COM SOLO ARGILO-ARENOSO E COMPACTAÇÃO MECANIZADA. AF_05/2016</v>
      </c>
      <c r="C18" s="5" t="str">
        <f>'MEDIÇÃO 04'!E17</f>
        <v>M3</v>
      </c>
      <c r="D18" s="28"/>
      <c r="E18" s="69"/>
    </row>
    <row r="19" spans="1:6" x14ac:dyDescent="0.25">
      <c r="A19" s="16" t="str">
        <f>'MEDIÇÃO 04'!A19</f>
        <v>3</v>
      </c>
      <c r="B19" s="148" t="str">
        <f>'MEDIÇÃO 04'!B19:P19</f>
        <v>FUNDAÇÃO</v>
      </c>
      <c r="C19" s="148"/>
      <c r="D19" s="148"/>
      <c r="E19" s="148"/>
    </row>
    <row r="20" spans="1:6" ht="60" x14ac:dyDescent="0.25">
      <c r="A20" s="5" t="str">
        <f>'MEDIÇÃO 04'!A20</f>
        <v>3.1</v>
      </c>
      <c r="B20" s="22" t="str">
        <f>'MEDIÇÃO 04'!C20</f>
        <v>CONCRETO MAGRO PARA LASTRO, TRAÇO 1:4,5:4,5 (EM MASSA SECA DE CIMENTO/ AREIA MÉDIA/ BRITA 1) - PREPARO MECÂNICO COM BETONEIRA 400 L. AF_05/2021</v>
      </c>
      <c r="C20" s="24" t="str">
        <f>'MEDIÇÃO 04'!E20</f>
        <v>M3</v>
      </c>
      <c r="D20" s="27"/>
      <c r="E20" s="29"/>
      <c r="F20">
        <f>2*1.6*1.65*0.1</f>
        <v>0.52800000000000002</v>
      </c>
    </row>
    <row r="21" spans="1:6" ht="30" x14ac:dyDescent="0.25">
      <c r="A21" s="5" t="str">
        <f>'MEDIÇÃO 04'!A21</f>
        <v>3.2</v>
      </c>
      <c r="B21" s="22" t="str">
        <f>'MEDIÇÃO 04'!C21</f>
        <v>Forma plana para fundações, em tábuas de pinho, 07 usos</v>
      </c>
      <c r="C21" s="24" t="str">
        <f>'MEDIÇÃO 04'!E21</f>
        <v>m²</v>
      </c>
      <c r="D21" s="15"/>
      <c r="E21" s="29"/>
    </row>
    <row r="22" spans="1:6" ht="45" x14ac:dyDescent="0.25">
      <c r="A22" s="5" t="str">
        <f>'MEDIÇÃO 04'!A22</f>
        <v>3.3</v>
      </c>
      <c r="B22" s="22" t="str">
        <f>'MEDIÇÃO 04'!C22</f>
        <v>ARMAÇÃO DE BLOCO, VIGA BALDRAME OU SAPATA UTILIZANDO AÇO CA-50 DE 6,3 MM - MONTAGEM. AF_06/2017</v>
      </c>
      <c r="C22" s="24" t="str">
        <f>'MEDIÇÃO 04'!E22</f>
        <v>KG</v>
      </c>
      <c r="D22" s="37"/>
      <c r="E22" s="28"/>
    </row>
    <row r="23" spans="1:6" ht="45" x14ac:dyDescent="0.25">
      <c r="A23" s="5" t="str">
        <f>'MEDIÇÃO 04'!A23</f>
        <v>3.4</v>
      </c>
      <c r="B23" s="22" t="str">
        <f>'MEDIÇÃO 04'!C23</f>
        <v>ARMAÇÃO DE BLOCO, VIGA BALDRAME OU SAPATA UTILIZANDO AÇO CA-50 DE 10 MM - MONTAGEM. AF_06/2017</v>
      </c>
      <c r="C23" s="24" t="str">
        <f>'MEDIÇÃO 04'!E23</f>
        <v>KG</v>
      </c>
      <c r="D23" s="37"/>
      <c r="E23" s="29"/>
    </row>
    <row r="24" spans="1:6" ht="45" x14ac:dyDescent="0.25">
      <c r="A24" s="5" t="str">
        <f>'MEDIÇÃO 04'!A24</f>
        <v>3.5</v>
      </c>
      <c r="B24" s="22" t="str">
        <f>'MEDIÇÃO 04'!C24</f>
        <v>ARMAÇÃO DE BLOCO, VIGA BALDRAME OU SAPATA UTILIZANDO AÇO CA-50 DE 12,5 MM - MONTAGEM. AF_06/2017</v>
      </c>
      <c r="C24" s="24" t="str">
        <f>'MEDIÇÃO 04'!E24</f>
        <v>KG</v>
      </c>
      <c r="D24" s="38"/>
      <c r="E24" s="28"/>
    </row>
    <row r="25" spans="1:6" ht="45" x14ac:dyDescent="0.25">
      <c r="A25" s="5" t="str">
        <f>'MEDIÇÃO 04'!A25</f>
        <v>3.6</v>
      </c>
      <c r="B25" s="22" t="str">
        <f>'MEDIÇÃO 04'!C25</f>
        <v>ARMAÇÃO DE BLOCO, VIGA BALDRAME E SAPATA UTILIZANDO AÇO CA-60 DE 5 MM - MONTAGEM. AF_06/2017</v>
      </c>
      <c r="C25" s="24" t="str">
        <f>'MEDIÇÃO 04'!E25</f>
        <v>KG</v>
      </c>
      <c r="D25" s="37"/>
      <c r="E25" s="29"/>
      <c r="F25" s="71"/>
    </row>
    <row r="26" spans="1:6" ht="60" x14ac:dyDescent="0.25">
      <c r="A26" s="5" t="str">
        <f>'MEDIÇÃO 04'!A26</f>
        <v>3.7</v>
      </c>
      <c r="B26" s="22" t="str">
        <f>'MEDIÇÃO 04'!C26</f>
        <v>CONCRETO FCK = 25MPA, TRAÇO 1:2,3:2,7 (EM MASSA SECA DE CIMENTO/ AREIA MÉDIA/ BRITA 1) - PREPARO MECÂNICO COM BETONEIRA 400 L. AF_05/2021</v>
      </c>
      <c r="C26" s="24" t="str">
        <f>'MEDIÇÃO 04'!E26</f>
        <v>M3</v>
      </c>
      <c r="D26" s="15"/>
      <c r="E26" s="29"/>
    </row>
    <row r="27" spans="1:6" ht="45" x14ac:dyDescent="0.25">
      <c r="A27" s="5" t="str">
        <f>'MEDIÇÃO 04'!A27</f>
        <v>3.8</v>
      </c>
      <c r="B27" s="22" t="str">
        <f>'MEDIÇÃO 04'!C27</f>
        <v>LANÇAMENTO COM USO DE BOMBA, ADENSAMENTO E ACABAMENTO DE CONCRETO EM ESTRUTURAS. AF_12/2015</v>
      </c>
      <c r="C27" s="24" t="str">
        <f>'MEDIÇÃO 04'!E27</f>
        <v>M3</v>
      </c>
      <c r="D27" s="15"/>
      <c r="E27" s="29"/>
    </row>
    <row r="28" spans="1:6" x14ac:dyDescent="0.25">
      <c r="A28" s="16" t="str">
        <f>'MEDIÇÃO 04'!A29</f>
        <v>4</v>
      </c>
      <c r="B28" s="148" t="str">
        <f>'MEDIÇÃO 04'!B29:P29</f>
        <v>ELEMENTO VAZADO</v>
      </c>
      <c r="C28" s="148"/>
      <c r="D28" s="148"/>
      <c r="E28" s="148"/>
    </row>
    <row r="29" spans="1:6" ht="90" x14ac:dyDescent="0.25">
      <c r="A29" s="5" t="str">
        <f>'MEDIÇÃO 04'!A30</f>
        <v>4.1</v>
      </c>
      <c r="B29" s="14" t="str">
        <f>'MEDIÇÃO 04'!C30</f>
        <v>ALVENARIA DE VEDAÇÃO DE BLOCOS CERÂMICOS FURADOS NA HORIZONTAL DE 9X19X19CM (ESPESSURA 9CM) DE PAREDES COM ÁREA LÍQUIDA MAIOR OU IGUAL A 6M² SEM VÃOS E ARGAMASSA DE ASSENTAMENTO COM PREPARO EM BETONEIRA. AF_06/2014</v>
      </c>
      <c r="C29" s="5" t="str">
        <f>'MEDIÇÃO 04'!E30</f>
        <v>M2</v>
      </c>
      <c r="D29" s="27"/>
      <c r="E29" s="28"/>
    </row>
    <row r="30" spans="1:6" ht="60" x14ac:dyDescent="0.25">
      <c r="A30" s="5" t="str">
        <f>'MEDIÇÃO 04'!A31</f>
        <v>4.2</v>
      </c>
      <c r="B30" s="14" t="str">
        <f>'MEDIÇÃO 04'!C31</f>
        <v>ALVENARIA DE VEDAÇÃO COM ELEMENTO VAZADO DE CONCRETO (COBOGÓ) DE 7X50X50CM E ARGAMASSA DE ASSENTAMENTO COM PREPARO EM BETONEIRA. AF_05/2020</v>
      </c>
      <c r="C30" s="5" t="str">
        <f>'MEDIÇÃO 04'!E31</f>
        <v>M2</v>
      </c>
      <c r="D30" s="27"/>
      <c r="E30" s="28"/>
    </row>
    <row r="31" spans="1:6" ht="90" x14ac:dyDescent="0.25">
      <c r="A31" s="5" t="str">
        <f>'MEDIÇÃO 04'!A32</f>
        <v>4.3</v>
      </c>
      <c r="B31" s="14" t="str">
        <f>'MEDIÇÃO 04'!C32</f>
        <v>ALVENARIA DE VEDAÇÃO DE BLOCOS CERÂMICOS FURADOS NA HORIZONTAL DE 9X19X19CM (ESPESSURA 9CM) DE PAREDES COM ÁREA LÍQUIDA MAIOR OU IGUAL A 6M² SEM VÃOS E ARGAMASSA DE ASSENTAMENTO COM PREPARO EM BETONEIRA. AF_06/2014</v>
      </c>
      <c r="C31" s="5" t="str">
        <f>'MEDIÇÃO 04'!E32</f>
        <v>M2</v>
      </c>
      <c r="D31" s="28"/>
      <c r="E31" s="28">
        <v>0</v>
      </c>
    </row>
    <row r="32" spans="1:6" x14ac:dyDescent="0.25">
      <c r="A32" s="16" t="str">
        <f>'MEDIÇÃO 04'!A34</f>
        <v>5</v>
      </c>
      <c r="B32" s="148" t="str">
        <f>'MEDIÇÃO 04'!B34:P34</f>
        <v>ESTRUTURA</v>
      </c>
      <c r="C32" s="148"/>
      <c r="D32" s="148"/>
      <c r="E32" s="148"/>
    </row>
    <row r="33" spans="1:6" ht="45" x14ac:dyDescent="0.25">
      <c r="A33" s="5" t="str">
        <f>'MEDIÇÃO 04'!A35</f>
        <v>5.1</v>
      </c>
      <c r="B33" s="15" t="str">
        <f>'MEDIÇÃO 04'!C35</f>
        <v>Forma plana para estruturas, em compensado plastificado de 12mm, 07 usos, inclusive escoramento - Revisada 07.2015</v>
      </c>
      <c r="C33" s="5" t="str">
        <f>'MEDIÇÃO 04'!E35</f>
        <v>m2</v>
      </c>
      <c r="D33" s="27"/>
      <c r="E33" s="29"/>
      <c r="F33">
        <f>(1*((0.174*3.2*2)+(0.324*3.2*2)))+(1*((0.224*3.2)+(0.324*3.2)))</f>
        <v>4.9408000000000003</v>
      </c>
    </row>
    <row r="34" spans="1:6" ht="60" x14ac:dyDescent="0.25">
      <c r="A34" s="5" t="str">
        <f>'MEDIÇÃO 04'!A36</f>
        <v>5.2</v>
      </c>
      <c r="B34" s="15" t="str">
        <f>'MEDIÇÃO 04'!C36</f>
        <v>ARMAÇÃO DE PILAR OU VIGA DE UMA ESTRUTURA CONVENCIONAL DE CONCRETO ARMADO EM UMA EDIFICAÇÃO TÉRREA OU SOBRADO UTILIZANDO AÇO CA-50 DE 6,3 MM - MONTAGEM. AF_12/2015</v>
      </c>
      <c r="C34" s="5" t="str">
        <f>'MEDIÇÃO 04'!E36</f>
        <v>KG</v>
      </c>
      <c r="D34" s="28"/>
      <c r="E34" s="5"/>
    </row>
    <row r="35" spans="1:6" ht="60" x14ac:dyDescent="0.25">
      <c r="A35" s="5" t="str">
        <f>'MEDIÇÃO 04'!A37</f>
        <v>5.3</v>
      </c>
      <c r="B35" s="15" t="str">
        <f>'MEDIÇÃO 04'!C37</f>
        <v>ARMAÇÃO DE PILAR OU VIGA DE UMA ESTRUTURA CONVENCIONAL DE CONCRETO ARMADO EM UMA EDIFICAÇÃO TÉRREA OU SOBRADO UTILIZANDO AÇO CA-50 DE 10,0 MM - MONTAGEM. AF_12/2015</v>
      </c>
      <c r="C35" s="5" t="str">
        <f>'MEDIÇÃO 04'!E37</f>
        <v>KG</v>
      </c>
      <c r="D35" s="27"/>
      <c r="E35" s="29"/>
    </row>
    <row r="36" spans="1:6" ht="60" x14ac:dyDescent="0.25">
      <c r="A36" s="5" t="str">
        <f>'MEDIÇÃO 04'!A38</f>
        <v>5.4</v>
      </c>
      <c r="B36" s="15" t="str">
        <f>'MEDIÇÃO 04'!C38</f>
        <v>ARMAÇÃO DE PILAR OU VIGA DE UMA ESTRUTURA CONVENCIONAL DE CONCRETO ARMADO EM UMA EDIFICAÇÃO TÉRREA OU SOBRADO UTILIZANDO AÇO CA-50 DE 12,5 MM - MONTAGEM. AF_12/2015</v>
      </c>
      <c r="C36" s="5" t="str">
        <f>'MEDIÇÃO 04'!E38</f>
        <v>KG</v>
      </c>
      <c r="D36" s="27"/>
      <c r="E36" s="29"/>
    </row>
    <row r="37" spans="1:6" ht="60" x14ac:dyDescent="0.25">
      <c r="A37" s="5" t="str">
        <f>'MEDIÇÃO 04'!A39</f>
        <v>5.5</v>
      </c>
      <c r="B37" s="15" t="str">
        <f>'MEDIÇÃO 04'!C39</f>
        <v>ARMAÇÃO DE PILAR OU VIGA DE UMA ESTRUTURA CONVENCIONAL DE CONCRETO ARMADO EM UMA EDIFICAÇÃO TÉRREA OU SOBRADO UTILIZANDO AÇO CA-60 DE 5,0 MM - MONTAGEM. AF_12/2015</v>
      </c>
      <c r="C37" s="5" t="str">
        <f>'MEDIÇÃO 04'!E39</f>
        <v>KG</v>
      </c>
      <c r="D37" s="27"/>
      <c r="E37" s="29"/>
    </row>
    <row r="38" spans="1:6" ht="60" x14ac:dyDescent="0.25">
      <c r="A38" s="5" t="str">
        <f>'MEDIÇÃO 04'!A40</f>
        <v>5.6</v>
      </c>
      <c r="B38" s="15" t="str">
        <f>'MEDIÇÃO 04'!C40</f>
        <v>CONCRETO FCK = 25MPA, TRAÇO 1:2,3:2,7 (EM MASSA SECA DE CIMENTO/ AREIA MÉDIA/ BRITA 1) - PREPARO MECÂNICO COM BETONEIRA 600 L. AF_05/2021</v>
      </c>
      <c r="C38" s="5" t="str">
        <f>'MEDIÇÃO 04'!E40</f>
        <v>M3</v>
      </c>
      <c r="D38" s="27"/>
      <c r="E38" s="29"/>
    </row>
    <row r="39" spans="1:6" ht="45" x14ac:dyDescent="0.25">
      <c r="A39" s="5" t="str">
        <f>'MEDIÇÃO 04'!A41</f>
        <v>5.7</v>
      </c>
      <c r="B39" s="15" t="str">
        <f>'MEDIÇÃO 04'!C41</f>
        <v>LANÇAMENTO COM USO DE BOMBA, ADENSAMENTO E ACABAMENTO DE CONCRETO EM ESTRUTURAS. AF_12/2015</v>
      </c>
      <c r="C39" s="5" t="str">
        <f>'MEDIÇÃO 04'!E41</f>
        <v>M3</v>
      </c>
      <c r="D39" s="27"/>
      <c r="E39" s="29"/>
    </row>
    <row r="40" spans="1:6" ht="60" x14ac:dyDescent="0.25">
      <c r="A40" s="5" t="str">
        <f>'MEDIÇÃO 04'!A42</f>
        <v>5.8</v>
      </c>
      <c r="B40" s="15" t="str">
        <f>'MEDIÇÃO 04'!C42</f>
        <v>LAJE PRÉ-MOLDADA UNIDIRECIONAL, BIAPOIADA, PARA PISO, ENCHIMENTO EM CERÂMICA, VIGOTA CONVENCIONAL, ALTURA TOTAL DA LAJE (ENCHIMENTO+CAPA) = (8+4). AF_11/2020</v>
      </c>
      <c r="C40" s="5" t="str">
        <f>'MEDIÇÃO 04'!E42</f>
        <v>M2</v>
      </c>
      <c r="D40" s="15"/>
      <c r="E40" s="5"/>
    </row>
    <row r="41" spans="1:6" ht="30" x14ac:dyDescent="0.25">
      <c r="A41" s="5" t="str">
        <f>'MEDIÇÃO 04'!A43</f>
        <v>5.9</v>
      </c>
      <c r="B41" s="15" t="str">
        <f>'MEDIÇÃO 04'!C43</f>
        <v>VERGA PRÉ-MOLDADA PARA PORTAS COM ATÉ 1,5 M DE VÃO. AF_03/2016</v>
      </c>
      <c r="C41" s="5" t="str">
        <f>'MEDIÇÃO 04'!E43</f>
        <v>M</v>
      </c>
      <c r="D41" s="27"/>
      <c r="E41" s="28"/>
    </row>
    <row r="42" spans="1:6" ht="30" x14ac:dyDescent="0.25">
      <c r="A42" s="5" t="str">
        <f>'MEDIÇÃO 04'!A44</f>
        <v>5.10</v>
      </c>
      <c r="B42" s="15" t="str">
        <f>'MEDIÇÃO 04'!C44</f>
        <v>VERGA PRÉ-MOLDADA PARA JANELAS COM ATÉ 1,5 M DE VÃO. AF_03/2016</v>
      </c>
      <c r="C42" s="5" t="str">
        <f>'MEDIÇÃO 04'!E44</f>
        <v>M</v>
      </c>
      <c r="D42" s="27"/>
      <c r="E42" s="28"/>
    </row>
    <row r="43" spans="1:6" x14ac:dyDescent="0.25">
      <c r="A43" s="25" t="str">
        <f>'MEDIÇÃO 04'!A45</f>
        <v>5.11</v>
      </c>
      <c r="B43" s="157" t="str">
        <f>'MEDIÇÃO 04'!B45:P45</f>
        <v>MURO DE CONTORNO</v>
      </c>
      <c r="C43" s="158"/>
      <c r="D43" s="158"/>
      <c r="E43" s="159"/>
    </row>
    <row r="44" spans="1:6" ht="75" x14ac:dyDescent="0.25">
      <c r="A44" s="5" t="str">
        <f>'MEDIÇÃO 04'!A46</f>
        <v>5.11.1</v>
      </c>
      <c r="B44" s="15" t="str">
        <f>'MEDIÇÃO 04'!C46</f>
        <v>Muro em alvenaria bloco cerâmico, e= 0,09m, c/ alv de pedra granítica, 0,35 x 0,60m, colunas (9x20cm) e cintamento (9x15cm) superior e inferior concreto armado fck = 15,0 Mpa cada 3,00m, chapisco e reboco</v>
      </c>
      <c r="C44" s="5" t="str">
        <f>'MEDIÇÃO 04'!E46</f>
        <v>m2</v>
      </c>
      <c r="D44" s="15"/>
      <c r="E44" s="5"/>
    </row>
    <row r="45" spans="1:6" x14ac:dyDescent="0.25">
      <c r="A45" s="16" t="str">
        <f>'MEDIÇÃO 04'!A48</f>
        <v>6</v>
      </c>
      <c r="B45" s="148" t="str">
        <f>'MEDIÇÃO 04'!B48:P48</f>
        <v>COBERTA</v>
      </c>
      <c r="C45" s="148"/>
      <c r="D45" s="148"/>
      <c r="E45" s="148"/>
    </row>
    <row r="46" spans="1:6" ht="60" x14ac:dyDescent="0.25">
      <c r="A46" s="5" t="str">
        <f>'MEDIÇÃO 04'!A49</f>
        <v>6.1</v>
      </c>
      <c r="B46" s="15" t="str">
        <f>'MEDIÇÃO 04'!C49</f>
        <v>TELHAMENTO COM TELHA CERÂMICA CAPA-CANAL, TIPO COLONIAL, COM ATÉ 2 ÁGUAS, INCLUSO TRANSPORTE VERTICAL. AF_07/2019</v>
      </c>
      <c r="C46" s="5" t="str">
        <f>'MEDIÇÃO 04'!E49</f>
        <v>M2</v>
      </c>
      <c r="D46" s="15" t="s">
        <v>800</v>
      </c>
      <c r="E46" s="5">
        <v>876.42</v>
      </c>
    </row>
    <row r="47" spans="1:6" ht="60" x14ac:dyDescent="0.25">
      <c r="A47" s="5" t="str">
        <f>'MEDIÇÃO 04'!A50</f>
        <v>6.2</v>
      </c>
      <c r="B47" s="15" t="str">
        <f>'MEDIÇÃO 04'!C50</f>
        <v>FABRICAÇÃO E INSTALAÇÃO DE TESOURA INTEIRA EM MADEIRA NÃO APARELHADA, VÃO DE 8 M, PARA TELHA CERÂMICA OU DE CONCRETO, INCLUSO IÇAMENTO. AF_07/2019</v>
      </c>
      <c r="C47" s="5" t="str">
        <f>'MEDIÇÃO 04'!E50</f>
        <v>UN</v>
      </c>
      <c r="D47" s="5" t="s">
        <v>793</v>
      </c>
      <c r="E47" s="5">
        <v>18</v>
      </c>
    </row>
    <row r="48" spans="1:6" ht="60" x14ac:dyDescent="0.25">
      <c r="A48" s="5" t="str">
        <f>'MEDIÇÃO 04'!A51</f>
        <v>6.3</v>
      </c>
      <c r="B48" s="15" t="str">
        <f>'MEDIÇÃO 04'!C51</f>
        <v>FABRICAÇÃO E INSTALAÇÃO DE TESOURA INTEIRA EM MADEIRA NÃO APARELHADA, VÃO DE 10 M, PARA TELHA CERÂMICA OU DE CONCRETO, INCLUSO IÇAMENTO. AF_07/2019</v>
      </c>
      <c r="C48" s="5" t="str">
        <f>'MEDIÇÃO 04'!E51</f>
        <v>UN</v>
      </c>
      <c r="D48" s="5" t="s">
        <v>794</v>
      </c>
      <c r="E48" s="5">
        <v>4</v>
      </c>
    </row>
    <row r="49" spans="1:5" ht="60" x14ac:dyDescent="0.25">
      <c r="A49" s="5" t="str">
        <f>'MEDIÇÃO 04'!A52</f>
        <v>6.4</v>
      </c>
      <c r="B49" s="15" t="str">
        <f>'MEDIÇÃO 04'!C52</f>
        <v>CUMEEIRA PARA TELHA CERÂMICA EMBOÇADA COM ARGAMASSA TRAÇO 1:2:9 (CIMENTO, CAL E AREIA) PARA TELHADOS COM ATÉ 2 ÁGUAS, INCLUSO TRANSPORTE VERTICAL. AF_07/2019</v>
      </c>
      <c r="C49" s="5" t="str">
        <f>'MEDIÇÃO 04'!E52</f>
        <v>M</v>
      </c>
      <c r="D49" s="5" t="s">
        <v>798</v>
      </c>
      <c r="E49" s="5">
        <v>98.35</v>
      </c>
    </row>
    <row r="50" spans="1:5" ht="75" x14ac:dyDescent="0.25">
      <c r="A50" s="5" t="str">
        <f>'MEDIÇÃO 04'!A53</f>
        <v>6.5</v>
      </c>
      <c r="B50" s="15" t="str">
        <f>'MEDIÇÃO 04'!C53</f>
        <v>TRAMA DE MADEIRA COMPOSTA POR RIPAS, CAIBROS E TERÇAS PARA TELHADOS DE ATÉ 2 ÁGUAS PARA TELHA DE ENCAIXE DE CERÂMICA OU DE CONCRETO, INCLUSO TRANSPORTE VERTICAL. AF_07/2019</v>
      </c>
      <c r="C50" s="5" t="str">
        <f>'MEDIÇÃO 04'!E53</f>
        <v>M2</v>
      </c>
      <c r="D50" s="15" t="s">
        <v>800</v>
      </c>
      <c r="E50" s="5">
        <v>876.42</v>
      </c>
    </row>
    <row r="51" spans="1:5" ht="255" x14ac:dyDescent="0.25">
      <c r="A51" s="5" t="str">
        <f>'MEDIÇÃO 04'!A54</f>
        <v>6.6</v>
      </c>
      <c r="B51" s="15" t="str">
        <f>'MEDIÇÃO 04'!C54</f>
        <v>FORRO EM PLACAS DE GESSO, PARA AMBIENTES COMERCIAIS. AF_05/2017_P</v>
      </c>
      <c r="C51" s="5" t="str">
        <f>'MEDIÇÃO 04'!E54</f>
        <v>M2</v>
      </c>
      <c r="D51" s="15" t="s">
        <v>799</v>
      </c>
      <c r="E51" s="5">
        <f>72.1+44.81+13.5+13.49+37.32+2.42+2.49+12+19.4+15.34+2.7+2.7+7.87+23.55+4.5+268.8+110.15</f>
        <v>653.14</v>
      </c>
    </row>
    <row r="52" spans="1:5" ht="45" x14ac:dyDescent="0.25">
      <c r="A52" s="5" t="str">
        <f>'MEDIÇÃO 04'!A55</f>
        <v>6.7</v>
      </c>
      <c r="B52" s="15" t="str">
        <f>'MEDIÇÃO 04'!C55</f>
        <v>Fornecimento e implantação de viga em concreto pré-moldado, seção = 12x20cm</v>
      </c>
      <c r="C52" s="5" t="str">
        <f>'MEDIÇÃO 04'!E55</f>
        <v>m</v>
      </c>
      <c r="D52" s="92" t="s">
        <v>786</v>
      </c>
      <c r="E52" s="5">
        <f>2.35*39</f>
        <v>91.65</v>
      </c>
    </row>
    <row r="53" spans="1:5" ht="45" x14ac:dyDescent="0.25">
      <c r="A53" s="5" t="str">
        <f>'MEDIÇÃO 04'!A56</f>
        <v>6.8</v>
      </c>
      <c r="B53" s="15" t="str">
        <f>'MEDIÇÃO 04'!C56</f>
        <v>CALHA EM CHAPA DE AÇO GALVANIZADO NÚMERO 24, DESENVOLVIMENTO DE 50 CM, INCLUSO TRANSPORTE VERTICAL. AF_07/2019</v>
      </c>
      <c r="C53" s="5" t="str">
        <f>'MEDIÇÃO 04'!E56</f>
        <v>M</v>
      </c>
      <c r="D53" s="5" t="s">
        <v>795</v>
      </c>
      <c r="E53" s="5">
        <f>22.95+28.49+37.7+31.25+37.7</f>
        <v>158.09</v>
      </c>
    </row>
    <row r="54" spans="1:5" ht="45" x14ac:dyDescent="0.25">
      <c r="A54" s="5" t="str">
        <f>'MEDIÇÃO 04'!A57</f>
        <v>6.9</v>
      </c>
      <c r="B54" s="15" t="str">
        <f>'MEDIÇÃO 04'!C57</f>
        <v>TUBO PVC, SÉRIE R, ÁGUA PLUVIAL, DN 75 MM, FORNECIDO E INSTALADO EM CONDUTORES VERTICAIS DE ÁGUAS PLUVIAIS. AF_12/2014</v>
      </c>
      <c r="C54" s="5" t="str">
        <f>'MEDIÇÃO 04'!E57</f>
        <v>M</v>
      </c>
      <c r="D54" s="5" t="s">
        <v>796</v>
      </c>
      <c r="E54" s="5">
        <v>72</v>
      </c>
    </row>
    <row r="55" spans="1:5" ht="45" x14ac:dyDescent="0.25">
      <c r="A55" s="5" t="str">
        <f>'MEDIÇÃO 04'!A58</f>
        <v>6.10</v>
      </c>
      <c r="B55" s="15" t="str">
        <f>'MEDIÇÃO 04'!C58</f>
        <v>TUBO PVC, SÉRIE R, ÁGUA PLUVIAL, DN 100 MM, FORNECIDO E INSTALADO EM RAMAL DE ENCAMINHAMENTO. AF_12/2014</v>
      </c>
      <c r="C55" s="5" t="str">
        <f>'MEDIÇÃO 04'!E58</f>
        <v>M</v>
      </c>
      <c r="D55" s="5" t="s">
        <v>797</v>
      </c>
      <c r="E55" s="5">
        <v>24</v>
      </c>
    </row>
    <row r="56" spans="1:5" x14ac:dyDescent="0.25">
      <c r="A56" s="16" t="str">
        <f>'MEDIÇÃO 04'!A60</f>
        <v>7</v>
      </c>
      <c r="B56" s="148" t="str">
        <f>'MEDIÇÃO 04'!B60:P60</f>
        <v>PAVIMENTAÇÃO</v>
      </c>
      <c r="C56" s="148"/>
      <c r="D56" s="148"/>
      <c r="E56" s="148"/>
    </row>
    <row r="57" spans="1:5" ht="360" x14ac:dyDescent="0.25">
      <c r="A57" s="5" t="str">
        <f>'MEDIÇÃO 04'!A61</f>
        <v>7.1</v>
      </c>
      <c r="B57" s="15" t="str">
        <f>'MEDIÇÃO 04'!C61</f>
        <v>LASTRO DE CONCRETO MAGRO, APLICADO EM PISOS, LAJES SOBRE SOLO OU RADIERS, ESPESSURA DE 5 CM. AF_07/2016</v>
      </c>
      <c r="C57" s="5" t="str">
        <f>'MEDIÇÃO 04'!E61</f>
        <v>M2</v>
      </c>
      <c r="D57" s="15" t="s">
        <v>801</v>
      </c>
      <c r="E57" s="5">
        <v>944.79</v>
      </c>
    </row>
    <row r="58" spans="1:5" ht="360" x14ac:dyDescent="0.25">
      <c r="A58" s="5" t="str">
        <f>'MEDIÇÃO 04'!A62</f>
        <v>7.2</v>
      </c>
      <c r="B58" s="15" t="str">
        <f>'MEDIÇÃO 04'!C62</f>
        <v>Fornecimento e instalação de tela aço soldada nervurada CA-60, malha 15x15cm, ferro 4.2mm, painel 2x3m, (1,50kg/m²), Malha Pop Reforçada Gerdau ou similar</v>
      </c>
      <c r="C58" s="5" t="str">
        <f>'MEDIÇÃO 04'!E62</f>
        <v>m2</v>
      </c>
      <c r="D58" s="15" t="s">
        <v>801</v>
      </c>
      <c r="E58" s="5">
        <v>944.79</v>
      </c>
    </row>
    <row r="59" spans="1:5" ht="360" x14ac:dyDescent="0.25">
      <c r="A59" s="5" t="str">
        <f>'MEDIÇÃO 04'!A63</f>
        <v>7.3</v>
      </c>
      <c r="B59" s="15" t="str">
        <f>'MEDIÇÃO 04'!C63</f>
        <v>CONTRAPISO EM ARGAMASSA TRAÇO 1:4 (CIMENTO E AREIA), PREPARO MANUAL, APLICADO EM ÁREAS SECAS SOBRE LAJE, ADERIDO, ACABAMENTO NÃO REFORÇADO, ESPESSURA 3CM. AF_07/2021</v>
      </c>
      <c r="C59" s="5" t="str">
        <f>'MEDIÇÃO 04'!E63</f>
        <v>M2</v>
      </c>
      <c r="D59" s="15" t="s">
        <v>801</v>
      </c>
      <c r="E59" s="5">
        <v>944.79</v>
      </c>
    </row>
    <row r="60" spans="1:5" ht="45" x14ac:dyDescent="0.25">
      <c r="A60" s="5" t="str">
        <f>'MEDIÇÃO 04'!A64</f>
        <v>7.4</v>
      </c>
      <c r="B60" s="15" t="str">
        <f>'MEDIÇÃO 04'!C64</f>
        <v>LASTRO COM MATERIAL GRANULAR (AREIA MÉDIA), APLICADO EM PISOS OU LAJES SOBRE SOLO, ESPESSURA DE *10 CM*. AF_07/2019</v>
      </c>
      <c r="C60" s="5" t="str">
        <f>'MEDIÇÃO 04'!E64</f>
        <v>M3</v>
      </c>
      <c r="D60" s="5"/>
      <c r="E60" s="5"/>
    </row>
    <row r="61" spans="1:5" ht="90" x14ac:dyDescent="0.25">
      <c r="A61" s="5" t="str">
        <f>'MEDIÇÃO 04'!A65</f>
        <v>7.5</v>
      </c>
      <c r="B61" s="15" t="str">
        <f>'MEDIÇÃO 04'!C65</f>
        <v>ASSENTAMENTO DE GUIA (MEIO-FIO) EM TRECHO RETO, CONFECCIONADA EM CONCRETO PRÉ-FABRICADO, DIMENSÕES 100X15X13X30 CM (COMPRIMENTO X BASE INFERIOR X BASE SUPERIOR X ALTURA), PARA VIAS URBANAS (USO VIÁRIO). AF_06/2016</v>
      </c>
      <c r="C61" s="5" t="str">
        <f>'MEDIÇÃO 04'!E65</f>
        <v>M</v>
      </c>
      <c r="D61" s="5"/>
      <c r="E61" s="5"/>
    </row>
    <row r="62" spans="1:5" ht="30" x14ac:dyDescent="0.25">
      <c r="A62" s="5" t="str">
        <f>'MEDIÇÃO 04'!A66</f>
        <v>7.6</v>
      </c>
      <c r="B62" s="15" t="str">
        <f>'MEDIÇÃO 04'!C66</f>
        <v>RODAPÉ EM MARMORITE, ALTURA 10CM. AF_09/2020</v>
      </c>
      <c r="C62" s="5" t="str">
        <f>'MEDIÇÃO 04'!E66</f>
        <v>M</v>
      </c>
      <c r="D62" s="5"/>
      <c r="E62" s="5"/>
    </row>
    <row r="63" spans="1:5" ht="60" x14ac:dyDescent="0.25">
      <c r="A63" s="5" t="str">
        <f>'MEDIÇÃO 04'!A67</f>
        <v>7.7</v>
      </c>
      <c r="B63" s="15" t="str">
        <f>'MEDIÇÃO 04'!C67</f>
        <v>EXECUÇÃO DE PÁTIO/ESTACIONAMENTO EM PISO INTERTRAVADO, COM BLOCO RETANGULAR COR NATURAL DE 20 X 10 CM, ESPESSURA 6 CM. AF_12/2015</v>
      </c>
      <c r="C63" s="5" t="str">
        <f>'MEDIÇÃO 04'!E67</f>
        <v>M2</v>
      </c>
      <c r="D63" s="5"/>
      <c r="E63" s="5"/>
    </row>
    <row r="64" spans="1:5" ht="45" x14ac:dyDescent="0.25">
      <c r="A64" s="5" t="str">
        <f>'MEDIÇÃO 04'!A68</f>
        <v>7.8</v>
      </c>
      <c r="B64" s="15" t="str">
        <f>'MEDIÇÃO 04'!C68</f>
        <v>PISO EM GRANILITE, MARMORITE OU GRANITINA, AGREGADO COR PRETO, CINZA, PALHA OU BRANCO, E=  *8* MM (INCLUSO EXECUCAO)</v>
      </c>
      <c r="C64" s="5" t="str">
        <f>'MEDIÇÃO 04'!E68</f>
        <v>M2</v>
      </c>
      <c r="D64" s="5"/>
      <c r="E64" s="5"/>
    </row>
    <row r="65" spans="1:5" x14ac:dyDescent="0.25">
      <c r="A65" s="16" t="str">
        <f>'MEDIÇÃO 04'!A70</f>
        <v>8</v>
      </c>
      <c r="B65" s="148" t="str">
        <f>'MEDIÇÃO 04'!B70:P70</f>
        <v>REVESTIMENTOS</v>
      </c>
      <c r="C65" s="148"/>
      <c r="D65" s="148"/>
      <c r="E65" s="148"/>
    </row>
    <row r="66" spans="1:5" ht="300" x14ac:dyDescent="0.25">
      <c r="A66" s="5" t="str">
        <f>'MEDIÇÃO 04'!A71</f>
        <v>8.1</v>
      </c>
      <c r="B66" s="15" t="str">
        <f>'MEDIÇÃO 04'!C71</f>
        <v>CHAPISCO APLICADO EM ALVENARIAS E ESTRUTURAS DE CONCRETO INTERNAS, COM COLHER DE PEDREIRO.  ARGAMASSA TRAÇO 1:3 COM PREPARO EM BETONEIRA 400L. AF_06/2014</v>
      </c>
      <c r="C66" s="5" t="str">
        <f>'MEDIÇÃO 04'!E71</f>
        <v>M2</v>
      </c>
      <c r="D66" s="27" t="s">
        <v>803</v>
      </c>
      <c r="E66" s="5">
        <f>((50.814+79.7+1.89+46.16+12.738+58.175+21.279+16.915+4.86+37.388+22.539+22.539+5.052+8.65+20.25+16.875+22.113+13.284+12.708+22.689+37.893+16.743+19.746+21.762+10.935+4.995+4.3605+2.925+4.3605+22.005+21.6+21.6+40.887+40.887+21.6+21.6+22.41+24.18+4.86+8.1)*2)</f>
        <v>1740.1339999999996</v>
      </c>
    </row>
    <row r="67" spans="1:5" ht="300" x14ac:dyDescent="0.25">
      <c r="A67" s="5" t="str">
        <f>'MEDIÇÃO 04'!A72</f>
        <v>8.2</v>
      </c>
      <c r="B67" s="15" t="str">
        <f>'MEDIÇÃO 04'!C72</f>
        <v>MASSA ÚNICA, PARA RECEBIMENTO DE PINTURA, EM ARGAMASSA TRAÇO 1:2:8, PREPARO MECÂNICO COM BETONEIRA 400L, APLICADA MANUALMENTE EM FACES INTERNAS DE PAREDES, ESPESSURA DE 10MM, COM EXECUÇÃO DE TALISCAS. AF_06/2014</v>
      </c>
      <c r="C67" s="5" t="str">
        <f>'MEDIÇÃO 04'!E72</f>
        <v>M2</v>
      </c>
      <c r="D67" s="27" t="s">
        <v>803</v>
      </c>
      <c r="E67" s="5">
        <f>((50.814+79.7+1.89+46.16+12.738+58.175+21.279+16.915+4.86+37.388+22.539+22.539+5.052+8.65+20.25+16.875+22.113+13.284+12.708+22.689+37.893+16.743+19.746+21.762+10.935+4.995+4.3605+2.925+4.3605+22.005+21.6+21.6+40.887+40.887+21.6+21.6+22.41+24.18+4.86+8.1)*2)</f>
        <v>1740.1339999999996</v>
      </c>
    </row>
    <row r="68" spans="1:5" ht="120" x14ac:dyDescent="0.25">
      <c r="A68" s="5" t="str">
        <f>'MEDIÇÃO 04'!A73</f>
        <v>8.3</v>
      </c>
      <c r="B68" s="15" t="str">
        <f>'MEDIÇÃO 04'!C73</f>
        <v>EMBOÇO, PARA RECEBIMENTO DE CERÂMICA, EM ARGAMASSA TRAÇO 1:2:8, PREPARO MECÂNICO COM BETONEIRA 400L, APLICADO MANUALMENTE EM FACES INTERNAS DE PAREDES, PARA AMBIENTE COM ÁREA MAIOR QUE 10M2, ESPESSURA DE 10MM, COM EXECUÇÃO DE TALISCAS. AF_06/2014</v>
      </c>
      <c r="C68" s="5" t="str">
        <f>'MEDIÇÃO 04'!E73</f>
        <v>M2</v>
      </c>
      <c r="D68" s="15" t="s">
        <v>802</v>
      </c>
      <c r="E68" s="5">
        <f>8.41+8.41+31.21+31.21+13.22+30.14+39.94+17.93</f>
        <v>180.47000000000003</v>
      </c>
    </row>
    <row r="69" spans="1:5" ht="60" x14ac:dyDescent="0.25">
      <c r="A69" s="5" t="str">
        <f>'MEDIÇÃO 04'!A74</f>
        <v>8.4</v>
      </c>
      <c r="B69" s="15" t="str">
        <f>'MEDIÇÃO 04'!C74</f>
        <v>REVESTIMENTO CERÂMICO PARA PISO COM PLACAS TIPO ESMALTADA EXTRA DE DIMENSÕES 45X45 CM APLICADA EM AMBIENTES DE ÁREA MAIOR QUE 10 M2. AF_06/2014</v>
      </c>
      <c r="C69" s="5" t="str">
        <f>'MEDIÇÃO 04'!E74</f>
        <v>M2</v>
      </c>
      <c r="D69" s="5"/>
      <c r="E69" s="5"/>
    </row>
    <row r="70" spans="1:5" ht="90" x14ac:dyDescent="0.25">
      <c r="A70" s="5" t="str">
        <f>'MEDIÇÃO 04'!A75</f>
        <v>8.5</v>
      </c>
      <c r="B70" s="15" t="str">
        <f>'MEDIÇÃO 04'!C75</f>
        <v>ARGAMASSA TRAÇO 1:7 (EM VOLUME DE CIMENTO E AREIA MÉDIA ÚMIDA) COM ADIÇÃO DE PLASTIFICANTE PARA EMBOÇO/MASSA ÚNICA/ASSENTAMENTO DE ALVENARIA DE VEDAÇÃO, PREPARO MECÂNICO COM BETONEIRA 400 L. AF_08/2019</v>
      </c>
      <c r="C70" s="5" t="str">
        <f>'MEDIÇÃO 04'!E75</f>
        <v>M3</v>
      </c>
      <c r="D70" s="5"/>
      <c r="E70" s="5"/>
    </row>
    <row r="71" spans="1:5" x14ac:dyDescent="0.25">
      <c r="A71" s="16" t="str">
        <f>'MEDIÇÃO 04'!A77</f>
        <v>9</v>
      </c>
      <c r="B71" s="148" t="str">
        <f>'MEDIÇÃO 04'!B77:P77</f>
        <v>ESQUADRIAS, FERRAGENS, VIDROS, BANCADAS E DIVISÓRIAS</v>
      </c>
      <c r="C71" s="148"/>
      <c r="D71" s="148"/>
      <c r="E71" s="148"/>
    </row>
    <row r="72" spans="1:5" ht="90" x14ac:dyDescent="0.25">
      <c r="A72" s="5" t="str">
        <f>'MEDIÇÃO 04'!A78</f>
        <v>9.1</v>
      </c>
      <c r="B72" s="15" t="str">
        <f>'MEDIÇÃO 04'!C78</f>
        <v>KIT DE PORTA DE MADEIRA PARA PINTURA, SEMI-OCA (LEVE OU MÉDIA), PADRÃO POPULAR, 60X210CM, ESPESSURA DE 3,5CM, ITENS INCLUSOS: DOBRADIÇAS, MONTAGEM E INSTALAÇÃO DO BATENTE, FECHADURA COM EXECUÇÃO DO FURO - FORNECIMENTO E INSTALAÇÃO. AF_12/2019</v>
      </c>
      <c r="C72" s="5" t="str">
        <f>'MEDIÇÃO 04'!E78</f>
        <v>UN</v>
      </c>
      <c r="D72" s="5"/>
      <c r="E72" s="5"/>
    </row>
    <row r="73" spans="1:5" ht="90" x14ac:dyDescent="0.25">
      <c r="A73" s="5" t="str">
        <f>'MEDIÇÃO 04'!A79</f>
        <v>9.2</v>
      </c>
      <c r="B73" s="15" t="str">
        <f>'MEDIÇÃO 04'!C79</f>
        <v>KIT DE PORTA DE MADEIRA PARA PINTURA, SEMI-OCA (LEVE OU MÉDIA), PADRÃO POPULAR, 70X210CM, ESPESSURA DE 3,5CM, ITENS INCLUSOS: DOBRADIÇAS, MONTAGEM E INSTALAÇÃO DO BATENTE, FECHADURA COM EXECUÇÃO DO FURO - FORNECIMENTO E INSTALAÇÃO. AF_12/2019</v>
      </c>
      <c r="C73" s="5" t="str">
        <f>'MEDIÇÃO 04'!E79</f>
        <v>UN</v>
      </c>
      <c r="D73" s="5"/>
      <c r="E73" s="5"/>
    </row>
    <row r="74" spans="1:5" ht="90" x14ac:dyDescent="0.25">
      <c r="A74" s="5" t="str">
        <f>'MEDIÇÃO 04'!A80</f>
        <v>9.3</v>
      </c>
      <c r="B74" s="15" t="str">
        <f>'MEDIÇÃO 04'!C80</f>
        <v>KIT DE PORTA DE MADEIRA PARA PINTURA, SEMI-OCA (LEVE OU MÉDIA), PADRÃO POPULAR, 80X210CM, ESPESSURA DE 3,5CM, ITENS INCLUSOS: DOBRADIÇAS, MONTAGEM E INSTALAÇÃO DO BATENTE, FECHADURA COM EXECUÇÃO DO FURO - FORNECIMENTO E INSTALAÇÃO. AF_12/2019</v>
      </c>
      <c r="C74" s="5" t="str">
        <f>'MEDIÇÃO 04'!E80</f>
        <v>UN</v>
      </c>
      <c r="D74" s="5"/>
      <c r="E74" s="5"/>
    </row>
    <row r="75" spans="1:5" ht="90" x14ac:dyDescent="0.25">
      <c r="A75" s="5" t="str">
        <f>'MEDIÇÃO 04'!A81</f>
        <v>9.4</v>
      </c>
      <c r="B75" s="15" t="str">
        <f>'MEDIÇÃO 04'!C81</f>
        <v>KIT DE PORTA DE MADEIRA PARA PINTURA, SEMI-OCA (LEVE OU MÉDIA), PADRÃO POPULAR, 90X210CM, ESPESSURA DE 3,5CM, ITENS INCLUSOS: DOBRADIÇAS, MONTAGEM E INSTALAÇÃO DO BATENTE, FECHADURA COM EXECUÇÃO DO FURO - FORNECIMENTO E INSTALAÇÃO. AF_12/2019</v>
      </c>
      <c r="C75" s="5" t="str">
        <f>'MEDIÇÃO 04'!E81</f>
        <v>UN</v>
      </c>
      <c r="D75" s="5"/>
      <c r="E75" s="5"/>
    </row>
    <row r="76" spans="1:5" ht="45" x14ac:dyDescent="0.25">
      <c r="A76" s="5" t="str">
        <f>'MEDIÇÃO 04'!A82</f>
        <v>9.5</v>
      </c>
      <c r="B76" s="15" t="str">
        <f>'MEDIÇÃO 04'!C82</f>
        <v>PORTA EM ALUMÍNIO DE ABRIR TIPO VENEZIANA COM GUARNIÇÃO, FIXAÇÃO COM PARAFUSOS - FORNECIMENTO E INSTALAÇÃO. AF_12/2019</v>
      </c>
      <c r="C76" s="5" t="str">
        <f>'MEDIÇÃO 04'!E82</f>
        <v>M2</v>
      </c>
      <c r="D76" s="5"/>
      <c r="E76" s="5"/>
    </row>
    <row r="77" spans="1:5" ht="30" x14ac:dyDescent="0.25">
      <c r="A77" s="5" t="str">
        <f>'MEDIÇÃO 04'!A83</f>
        <v>9.6</v>
      </c>
      <c r="B77" s="15" t="str">
        <f>'MEDIÇÃO 04'!C83</f>
        <v>Janela basculante, moldura em barra chata de ferro 1x1/4, e cantoneira 1x1x1/4 - exclusive vidro</v>
      </c>
      <c r="C77" s="5" t="str">
        <f>'MEDIÇÃO 04'!E83</f>
        <v>m2</v>
      </c>
      <c r="D77" s="5"/>
      <c r="E77" s="5"/>
    </row>
    <row r="78" spans="1:5" x14ac:dyDescent="0.25">
      <c r="A78" s="5" t="str">
        <f>'MEDIÇÃO 04'!A84</f>
        <v>9.7</v>
      </c>
      <c r="B78" s="15" t="str">
        <f>'MEDIÇÃO 04'!C84</f>
        <v>Vidro fantasia canelado 4 mm</v>
      </c>
      <c r="C78" s="5" t="str">
        <f>'MEDIÇÃO 04'!E84</f>
        <v>m2</v>
      </c>
      <c r="D78" s="5"/>
      <c r="E78" s="5"/>
    </row>
    <row r="79" spans="1:5" ht="75" x14ac:dyDescent="0.25">
      <c r="A79" s="5" t="str">
        <f>'MEDIÇÃO 04'!A85</f>
        <v>9.8</v>
      </c>
      <c r="B79" s="15" t="str">
        <f>'MEDIÇÃO 04'!C85</f>
        <v>JANELA DE ALUMÍNIO DE CORRER COM 2 FOLHAS PARA VIDROS, COM VIDROS, BATENTE, ACABAMENTO COM ACETATO OU BRILHANTE E FERRAGENS. EXCLUSIVE ALIZAR E CONTRAMARCO. FORNECIMENTO E INSTALAÇÃO. AF_12/2019</v>
      </c>
      <c r="C79" s="5" t="str">
        <f>'MEDIÇÃO 04'!E85</f>
        <v>M2</v>
      </c>
      <c r="D79" s="5"/>
      <c r="E79" s="5"/>
    </row>
    <row r="80" spans="1:5" ht="60" x14ac:dyDescent="0.25">
      <c r="A80" s="5" t="str">
        <f>'MEDIÇÃO 04'!A86</f>
        <v>9.9</v>
      </c>
      <c r="B80" s="15" t="str">
        <f>'MEDIÇÃO 04'!C86</f>
        <v>JANELA DE ALUMÍNIO TIPO MAXIM-AR, COM VIDROS, BATENTE E FERRAGENS. EXCLUSIVE ALIZAR, ACABAMENTO E CONTRAMARCO. FORNECIMENTO E INSTALAÇÃO. AF_12/2019</v>
      </c>
      <c r="C80" s="5" t="str">
        <f>'MEDIÇÃO 04'!E86</f>
        <v>M2</v>
      </c>
      <c r="D80" s="5"/>
      <c r="E80" s="5"/>
    </row>
    <row r="81" spans="1:5" ht="60" x14ac:dyDescent="0.25">
      <c r="A81" s="5" t="str">
        <f>'MEDIÇÃO 04'!A87</f>
        <v>9.10</v>
      </c>
      <c r="B81" s="15" t="str">
        <f>'MEDIÇÃO 04'!C87</f>
        <v>Portão de ferro de abrir, quadro em tubo de aço galv.1 1/2", barra quadrada 1/2" na vertical e barra chata de 1 x 3/16" na horizontal, inclusive dobradiças e e ferrolho</v>
      </c>
      <c r="C81" s="5" t="str">
        <f>'MEDIÇÃO 04'!E87</f>
        <v>m2</v>
      </c>
      <c r="D81" s="5"/>
      <c r="E81" s="5"/>
    </row>
    <row r="82" spans="1:5" x14ac:dyDescent="0.25">
      <c r="A82" s="5" t="str">
        <f>'MEDIÇÃO 04'!A88</f>
        <v>9.11</v>
      </c>
      <c r="B82" s="15" t="str">
        <f>'MEDIÇÃO 04'!C88</f>
        <v>Grade ferro 1/2 x 1/2"</v>
      </c>
      <c r="C82" s="5" t="str">
        <f>'MEDIÇÃO 04'!E88</f>
        <v>m2</v>
      </c>
      <c r="D82" s="5"/>
      <c r="E82" s="5"/>
    </row>
    <row r="83" spans="1:5" ht="45" x14ac:dyDescent="0.25">
      <c r="A83" s="5" t="str">
        <f>'MEDIÇÃO 04'!A89</f>
        <v>9.12</v>
      </c>
      <c r="B83" s="15" t="str">
        <f>'MEDIÇÃO 04'!C89</f>
        <v>Divisória em granito cinza andorinha polido, e=2cm, inclusive montagem com ferragens - Rev 02</v>
      </c>
      <c r="C83" s="5" t="str">
        <f>'MEDIÇÃO 04'!E89</f>
        <v>m2</v>
      </c>
      <c r="D83" s="5"/>
      <c r="E83" s="5"/>
    </row>
    <row r="84" spans="1:5" x14ac:dyDescent="0.25">
      <c r="A84" s="5" t="str">
        <f>'MEDIÇÃO 04'!A90</f>
        <v>9.13</v>
      </c>
      <c r="B84" s="15" t="str">
        <f>'MEDIÇÃO 04'!C90</f>
        <v>Bancada em granito cinza andorinha, e=2cm</v>
      </c>
      <c r="C84" s="5" t="str">
        <f>'MEDIÇÃO 04'!E90</f>
        <v>m2</v>
      </c>
      <c r="D84" s="5"/>
      <c r="E84" s="5"/>
    </row>
    <row r="85" spans="1:5" x14ac:dyDescent="0.25">
      <c r="A85" s="5" t="str">
        <f>'MEDIÇÃO 04'!A91</f>
        <v>9.14</v>
      </c>
      <c r="B85" s="15" t="str">
        <f>'MEDIÇÃO 04'!C91</f>
        <v>Bandeira fixa em madeira para vidro</v>
      </c>
      <c r="C85" s="5" t="str">
        <f>'MEDIÇÃO 04'!E91</f>
        <v>m2</v>
      </c>
      <c r="D85" s="5"/>
      <c r="E85" s="5"/>
    </row>
    <row r="86" spans="1:5" x14ac:dyDescent="0.25">
      <c r="A86" s="16" t="str">
        <f>'MEDIÇÃO 04'!A93</f>
        <v>10</v>
      </c>
      <c r="B86" s="148" t="str">
        <f>'MEDIÇÃO 04'!B93:P93</f>
        <v>IMPERMEABILIZAÇÃO</v>
      </c>
      <c r="C86" s="148"/>
      <c r="D86" s="148"/>
      <c r="E86" s="148"/>
    </row>
    <row r="87" spans="1:5" ht="360" x14ac:dyDescent="0.25">
      <c r="A87" s="5" t="str">
        <f>'MEDIÇÃO 04'!A94</f>
        <v>10.1</v>
      </c>
      <c r="B87" s="15" t="str">
        <f>'MEDIÇÃO 04'!C94</f>
        <v>Impermeabilização com asfalto elastomérico c/armação de véu de poliéster, inclusive primer  (p/fundação)</v>
      </c>
      <c r="C87" s="5" t="str">
        <f>'MEDIÇÃO 04'!E94</f>
        <v>m2</v>
      </c>
      <c r="D87" s="15" t="s">
        <v>625</v>
      </c>
      <c r="E87" s="23">
        <f>17.805+2.55+2.55+2.445+4.8+1.53+29.7225+4.8+1.275+29.97+3.18+4.23+29.7225+6.195+1.275+29.97+7.965+14.5725+24.0375+14.4225+24.3675+24.3675+7.305</f>
        <v>289.0575</v>
      </c>
    </row>
    <row r="88" spans="1:5" ht="45" x14ac:dyDescent="0.25">
      <c r="A88" s="5" t="str">
        <f>'MEDIÇÃO 04'!A95</f>
        <v>10.2</v>
      </c>
      <c r="B88" s="15" t="str">
        <f>'MEDIÇÃO 04'!C95</f>
        <v>IMPERMEABILIZAÇÃO DE SUPERFÍCIE COM MANTA ASFÁLTICA, UMA CAMADA, INCLUSIVE APLICAÇÃO DE PRIMER ASFÁLTICO, E=3MM. AF_06/2018</v>
      </c>
      <c r="C88" s="5" t="str">
        <f>'MEDIÇÃO 04'!E95</f>
        <v>M2</v>
      </c>
      <c r="D88" s="5"/>
      <c r="E88" s="5"/>
    </row>
    <row r="89" spans="1:5" x14ac:dyDescent="0.25">
      <c r="A89" s="16" t="str">
        <f>'MEDIÇÃO 04'!A97</f>
        <v>11</v>
      </c>
      <c r="B89" s="148" t="str">
        <f>'MEDIÇÃO 04'!B97:P97</f>
        <v>INSTALAÇÃO DE COMBATE A INCÊNDIO</v>
      </c>
      <c r="C89" s="148"/>
      <c r="D89" s="148"/>
      <c r="E89" s="148"/>
    </row>
    <row r="90" spans="1:5" ht="45" x14ac:dyDescent="0.25">
      <c r="A90" s="5" t="str">
        <f>'MEDIÇÃO 04'!A98</f>
        <v>11.1</v>
      </c>
      <c r="B90" s="15" t="str">
        <f>'MEDIÇÃO 04'!C98</f>
        <v>EXTINTOR DE INCÊNDIO PORTÁTIL COM CARGA DE ÁGUA PRESSURIZADA DE 10 L, CLASSE A - FORNECIMENTO E INSTALAÇÃO. AF_10/2020_P</v>
      </c>
      <c r="C90" s="5" t="str">
        <f>'MEDIÇÃO 04'!E98</f>
        <v>UN</v>
      </c>
      <c r="D90" s="5"/>
      <c r="E90" s="5"/>
    </row>
    <row r="91" spans="1:5" ht="45" x14ac:dyDescent="0.25">
      <c r="A91" s="5" t="str">
        <f>'MEDIÇÃO 04'!A99</f>
        <v>11.2</v>
      </c>
      <c r="B91" s="15" t="str">
        <f>'MEDIÇÃO 04'!C99</f>
        <v>EXTINTOR DE INCÊNDIO PORTÁTIL COM CARGA DE PQS DE 4 KG, CLASSE BC - FORNECIMENTO E INSTALAÇÃO. AF_10/2020_P</v>
      </c>
      <c r="C91" s="5" t="str">
        <f>'MEDIÇÃO 04'!E99</f>
        <v>UN</v>
      </c>
      <c r="D91" s="5"/>
      <c r="E91" s="5"/>
    </row>
    <row r="92" spans="1:5" ht="45" x14ac:dyDescent="0.25">
      <c r="A92" s="5" t="str">
        <f>'MEDIÇÃO 04'!A100</f>
        <v>11.3</v>
      </c>
      <c r="B92" s="15" t="str">
        <f>'MEDIÇÃO 04'!C100</f>
        <v>Luminaria autônoma de emergencia com lâmapda halógena H3/12v, ref. Lux 110, da Luxtron ou similar - Rev.01</v>
      </c>
      <c r="C92" s="5" t="str">
        <f>'MEDIÇÃO 04'!E100</f>
        <v>un</v>
      </c>
      <c r="D92" s="5"/>
      <c r="E92" s="5"/>
    </row>
    <row r="93" spans="1:5" ht="60" x14ac:dyDescent="0.25">
      <c r="A93" s="5" t="str">
        <f>'MEDIÇÃO 04'!A101</f>
        <v>11.4</v>
      </c>
      <c r="B93" s="15" t="str">
        <f>'MEDIÇÃO 04'!C101</f>
        <v>Placa de sinalizacao de seguranca contra incendio, fotoluminescente, retangular, *12 x 40* cm, em pvc *2* mm anti-chamas (simbolos, cores e pictogramas conforme nbr 13434)</v>
      </c>
      <c r="C93" s="5" t="str">
        <f>'MEDIÇÃO 04'!E101</f>
        <v>Un</v>
      </c>
      <c r="D93" s="5"/>
      <c r="E93" s="5"/>
    </row>
    <row r="94" spans="1:5" ht="45" x14ac:dyDescent="0.25">
      <c r="A94" s="5" t="str">
        <f>'MEDIÇÃO 04'!A102</f>
        <v>11.5</v>
      </c>
      <c r="B94" s="15" t="str">
        <f>'MEDIÇÃO 04'!C102</f>
        <v>Placa de sinalizacao, fotoluminescente, em pvc , com logotipo "Extintor de incêndio portátil"- Placa E5</v>
      </c>
      <c r="C94" s="5" t="str">
        <f>'MEDIÇÃO 04'!E102</f>
        <v>un</v>
      </c>
      <c r="D94" s="5"/>
      <c r="E94" s="5"/>
    </row>
    <row r="95" spans="1:5" x14ac:dyDescent="0.25">
      <c r="A95" s="16" t="str">
        <f>'MEDIÇÃO 04'!A104</f>
        <v>12</v>
      </c>
      <c r="B95" s="148" t="str">
        <f>'MEDIÇÃO 04'!B104:P104</f>
        <v>INSTALAÇÕES ELÉTRICAS</v>
      </c>
      <c r="C95" s="148"/>
      <c r="D95" s="148"/>
      <c r="E95" s="148"/>
    </row>
    <row r="96" spans="1:5" x14ac:dyDescent="0.25">
      <c r="A96" s="5" t="str">
        <f>'MEDIÇÃO 04'!A105</f>
        <v>12.1</v>
      </c>
      <c r="B96" s="15" t="str">
        <f>'MEDIÇÃO 04'!C105</f>
        <v>CAIXA DE LIGAÇÃO PVC 4" X 2"</v>
      </c>
      <c r="C96" s="5" t="str">
        <f>'MEDIÇÃO 04'!E105</f>
        <v>UN</v>
      </c>
      <c r="D96" s="5"/>
      <c r="E96" s="5"/>
    </row>
    <row r="97" spans="1:5" ht="45" x14ac:dyDescent="0.25">
      <c r="A97" s="5" t="str">
        <f>'MEDIÇÃO 04'!A106</f>
        <v>12.2</v>
      </c>
      <c r="B97" s="15" t="str">
        <f>'MEDIÇÃO 04'!C106</f>
        <v>CAIXA SEXTAVADA 3" X 3", METÁLICA, INSTALADA EM LAJE - FORNECIMENTO E INSTALAÇÃO. AF_12/2015</v>
      </c>
      <c r="C97" s="5" t="str">
        <f>'MEDIÇÃO 04'!E106</f>
        <v>UN</v>
      </c>
      <c r="D97" s="5"/>
      <c r="E97" s="5"/>
    </row>
    <row r="98" spans="1:5" ht="60" x14ac:dyDescent="0.25">
      <c r="A98" s="5" t="str">
        <f>'MEDIÇÃO 04'!A107</f>
        <v>12.3</v>
      </c>
      <c r="B98" s="15" t="str">
        <f>'MEDIÇÃO 04'!C107</f>
        <v>CURVA 90 GRAUS PARA ELETRODUTO, PVC, ROSCÁVEL, DN 32 MM (1"), PARA CIRCUITOS TERMINAIS, INSTALADA EM PAREDE - FORNECIMENTO E INSTALAÇÃO. AF_12/2015</v>
      </c>
      <c r="C98" s="5" t="str">
        <f>'MEDIÇÃO 04'!E107</f>
        <v>UN</v>
      </c>
      <c r="D98" s="5"/>
      <c r="E98" s="5"/>
    </row>
    <row r="99" spans="1:5" ht="60" x14ac:dyDescent="0.25">
      <c r="A99" s="5" t="str">
        <f>'MEDIÇÃO 04'!A108</f>
        <v>12.4</v>
      </c>
      <c r="B99" s="15" t="str">
        <f>'MEDIÇÃO 04'!C108</f>
        <v>CURVA 90 GRAUS PARA ELETRODUTO, PVC, ROSCÁVEL, DN 40 MM (1 1/4"), PARA CIRCUITOS TERMINAIS, INSTALADA EM PAREDE - FORNECIMENTO E INSTALAÇÃO. AF_12/2015</v>
      </c>
      <c r="C99" s="5" t="str">
        <f>'MEDIÇÃO 04'!E108</f>
        <v>UN</v>
      </c>
      <c r="D99" s="5"/>
      <c r="E99" s="5"/>
    </row>
    <row r="100" spans="1:5" ht="60" x14ac:dyDescent="0.25">
      <c r="A100" s="5" t="str">
        <f>'MEDIÇÃO 04'!A109</f>
        <v>12.5</v>
      </c>
      <c r="B100" s="15" t="str">
        <f>'MEDIÇÃO 04'!C109</f>
        <v>ELETRODUTO FLEXÍVEL CORRUGADO REFORÇADO, PVC, DN 32 MM (1"), PARA CIRCUITOS TERMINAIS, INSTALADO EM PAREDE - FORNECIMENTO E INSTALAÇÃO. AF_12/2015</v>
      </c>
      <c r="C100" s="5" t="str">
        <f>'MEDIÇÃO 04'!E109</f>
        <v>M</v>
      </c>
      <c r="D100" s="5"/>
      <c r="E100" s="5"/>
    </row>
    <row r="101" spans="1:5" ht="60" x14ac:dyDescent="0.25">
      <c r="A101" s="5" t="str">
        <f>'MEDIÇÃO 04'!A110</f>
        <v>12.6</v>
      </c>
      <c r="B101" s="15" t="str">
        <f>'MEDIÇÃO 04'!C110</f>
        <v>ELETRODUTO FLEXÍVEL CORRUGADO, PEAD, DN 40 MM (1 1/4"), PARA CIRCUITOS TERMINAIS, INSTALADO EM PAREDE - FORNECIMENTO E INSTALAÇÃO. AF_12/2015</v>
      </c>
      <c r="C101" s="5" t="str">
        <f>'MEDIÇÃO 04'!E110</f>
        <v>M</v>
      </c>
      <c r="D101" s="5"/>
      <c r="E101" s="5"/>
    </row>
    <row r="102" spans="1:5" ht="60" x14ac:dyDescent="0.25">
      <c r="A102" s="5" t="str">
        <f>'MEDIÇÃO 04'!A111</f>
        <v>12.7</v>
      </c>
      <c r="B102" s="15" t="str">
        <f>'MEDIÇÃO 04'!C111</f>
        <v>ELETRODUTO FLEXÍVEL CORRUGADO REFORÇADO, PVC, DN 20 MM (1/2"), PARA CIRCUITOS TERMINAIS, INSTALADO EM PAREDE - FORNECIMENTO E INSTALAÇÃO. AF_12/2015</v>
      </c>
      <c r="C102" s="5" t="str">
        <f>'MEDIÇÃO 04'!E111</f>
        <v>M</v>
      </c>
      <c r="D102" s="5"/>
      <c r="E102" s="5"/>
    </row>
    <row r="103" spans="1:5" ht="45" x14ac:dyDescent="0.25">
      <c r="A103" s="5" t="str">
        <f>'MEDIÇÃO 04'!A112</f>
        <v>12.8</v>
      </c>
      <c r="B103" s="15" t="str">
        <f>'MEDIÇÃO 04'!C112</f>
        <v>ELETRODUTO RÍGIDO ROSCÁVEL, PVC, DN 50 MM (1 1/2") - FORNECIMENTO E INSTALAÇÃO. AF_12/2015</v>
      </c>
      <c r="C103" s="5" t="str">
        <f>'MEDIÇÃO 04'!E112</f>
        <v>M</v>
      </c>
      <c r="D103" s="5"/>
      <c r="E103" s="5"/>
    </row>
    <row r="104" spans="1:5" ht="60" x14ac:dyDescent="0.25">
      <c r="A104" s="5" t="str">
        <f>'MEDIÇÃO 04'!A113</f>
        <v>12.9</v>
      </c>
      <c r="B104" s="15" t="str">
        <f>'MEDIÇÃO 04'!C113</f>
        <v>ELETRODUTO RÍGIDO ROSCÁVEL, PVC, DN 40 MM (1 1/4"), PARA CIRCUITOS TERMINAIS, INSTALADO EM PAREDE - FORNECIMENTO E INSTALAÇÃO. AF_12/2015</v>
      </c>
      <c r="C104" s="5" t="str">
        <f>'MEDIÇÃO 04'!E113</f>
        <v>M</v>
      </c>
      <c r="D104" s="5"/>
      <c r="E104" s="5"/>
    </row>
    <row r="105" spans="1:5" ht="60" x14ac:dyDescent="0.25">
      <c r="A105" s="5" t="str">
        <f>'MEDIÇÃO 04'!A114</f>
        <v>12.10</v>
      </c>
      <c r="B105" s="15" t="str">
        <f>'MEDIÇÃO 04'!C114</f>
        <v>ELETRODUTO RÍGIDO ROSCÁVEL, PVC, DN 32 MM (1"), PARA CIRCUITOS TERMINAIS, INSTALADO EM PAREDE - FORNECIMENTO E INSTALAÇÃO. AF_12/2015</v>
      </c>
      <c r="C105" s="5" t="str">
        <f>'MEDIÇÃO 04'!E114</f>
        <v>M</v>
      </c>
      <c r="D105" s="5"/>
      <c r="E105" s="5"/>
    </row>
    <row r="106" spans="1:5" ht="60" x14ac:dyDescent="0.25">
      <c r="A106" s="5" t="str">
        <f>'MEDIÇÃO 04'!A115</f>
        <v>12.11</v>
      </c>
      <c r="B106" s="15" t="str">
        <f>'MEDIÇÃO 04'!C115</f>
        <v>LUVA PARA ELETRODUTO, PVC, ROSCÁVEL, DN 32 MM (1"), PARA CIRCUITOS TERMINAIS, INSTALADA EM FORRO - FORNECIMENTO E INSTALAÇÃO. AF_12/2015</v>
      </c>
      <c r="C106" s="5" t="str">
        <f>'MEDIÇÃO 04'!E115</f>
        <v>UN</v>
      </c>
      <c r="D106" s="5"/>
      <c r="E106" s="5"/>
    </row>
    <row r="107" spans="1:5" ht="60" x14ac:dyDescent="0.25">
      <c r="A107" s="5" t="str">
        <f>'MEDIÇÃO 04'!A116</f>
        <v>12.12</v>
      </c>
      <c r="B107" s="15" t="str">
        <f>'MEDIÇÃO 04'!C116</f>
        <v>LUVA PARA ELETRODUTO, PVC, ROSCÁVEL, DN 40 MM (1 1/4"), PARA CIRCUITOS TERMINAIS, INSTALADA EM FORRO - FORNECIMENTO E INSTALAÇÃO. AF_12/2015</v>
      </c>
      <c r="C107" s="5" t="str">
        <f>'MEDIÇÃO 04'!E116</f>
        <v>UN</v>
      </c>
      <c r="D107" s="5"/>
      <c r="E107" s="5"/>
    </row>
    <row r="108" spans="1:5" ht="45" x14ac:dyDescent="0.25">
      <c r="A108" s="5" t="str">
        <f>'MEDIÇÃO 04'!A117</f>
        <v>12.13</v>
      </c>
      <c r="B108" s="15" t="str">
        <f>'MEDIÇÃO 04'!C117</f>
        <v>LUVA PARA ELETRODUTO, PVC, ROSCÁVEL, DN 50 MM (1 1/2") - FORNECIMENTO E INSTALAÇÃO. AF_12/2015</v>
      </c>
      <c r="C108" s="5" t="str">
        <f>'MEDIÇÃO 04'!E117</f>
        <v>UN</v>
      </c>
      <c r="D108" s="5"/>
      <c r="E108" s="5"/>
    </row>
    <row r="109" spans="1:5" ht="75" x14ac:dyDescent="0.25">
      <c r="A109" s="5" t="str">
        <f>'MEDIÇÃO 04'!A118</f>
        <v>12.14</v>
      </c>
      <c r="B109" s="15" t="str">
        <f>'MEDIÇÃO 04'!C118</f>
        <v>QUADRO DE DISTRIBUIÇÃO DE ENERGIA EM CHAPA DE AÇO GALVANIZADO, DE EMBUTIR, COM BARRAMENTO TRIFÁSICO, PARA 24 DISJUNTORES DIN 100A - FORNECIMENTO E INSTALAÇÃO. AF_10/2020</v>
      </c>
      <c r="C109" s="5" t="str">
        <f>'MEDIÇÃO 04'!E118</f>
        <v>UN</v>
      </c>
      <c r="D109" s="5"/>
      <c r="E109" s="5"/>
    </row>
    <row r="110" spans="1:5" ht="75" x14ac:dyDescent="0.25">
      <c r="A110" s="5" t="str">
        <f>'MEDIÇÃO 04'!A119</f>
        <v>12.15</v>
      </c>
      <c r="B110" s="15" t="str">
        <f>'MEDIÇÃO 04'!C119</f>
        <v>QUADRO DE DISTRIBUIÇÃO DE ENERGIA EM CHAPA DE AÇO GALVANIZADO, DE SOBREPOR, COM BARRAMENTO TRIFÁSICO, PARA 18 DISJUNTORES DIN 100A - FORNECIMENTO E INSTALAÇÃO. AF_10/2020</v>
      </c>
      <c r="C110" s="5" t="str">
        <f>'MEDIÇÃO 04'!E119</f>
        <v>UN</v>
      </c>
      <c r="D110" s="5"/>
      <c r="E110" s="5"/>
    </row>
    <row r="111" spans="1:5" x14ac:dyDescent="0.25">
      <c r="A111" s="5" t="str">
        <f>'MEDIÇÃO 04'!A120</f>
        <v>12.16</v>
      </c>
      <c r="B111" s="15" t="str">
        <f>'MEDIÇÃO 04'!C120</f>
        <v>Tomada 2P + T - 10A</v>
      </c>
      <c r="C111" s="5" t="str">
        <f>'MEDIÇÃO 04'!E120</f>
        <v>PC</v>
      </c>
      <c r="D111" s="5"/>
      <c r="E111" s="5"/>
    </row>
    <row r="112" spans="1:5" ht="30" x14ac:dyDescent="0.25">
      <c r="A112" s="5" t="str">
        <f>'MEDIÇÃO 04'!A121</f>
        <v>12.17</v>
      </c>
      <c r="B112" s="15" t="str">
        <f>'MEDIÇÃO 04'!C121</f>
        <v>Tomada 2p+t, ABNT, 10 A, para piso, com placa em metal amarelo e caixa pvc</v>
      </c>
      <c r="C112" s="5" t="str">
        <f>'MEDIÇÃO 04'!E121</f>
        <v>un</v>
      </c>
      <c r="D112" s="5"/>
      <c r="E112" s="5"/>
    </row>
    <row r="113" spans="1:5" ht="45" x14ac:dyDescent="0.25">
      <c r="A113" s="5" t="str">
        <f>'MEDIÇÃO 04'!A122</f>
        <v>12.18</v>
      </c>
      <c r="B113" s="15" t="str">
        <f>'MEDIÇÃO 04'!C122</f>
        <v>TOMADA ALTA DE EMBUTIR (1 MÓDULO), 2P+T 10 A, INCLUINDO SUPORTE E PLACA - FORNECIMENTO E INSTALAÇÃO. AF_12/2015</v>
      </c>
      <c r="C113" s="5" t="str">
        <f>'MEDIÇÃO 04'!E122</f>
        <v>UN</v>
      </c>
      <c r="D113" s="5"/>
      <c r="E113" s="5"/>
    </row>
    <row r="114" spans="1:5" ht="60" x14ac:dyDescent="0.25">
      <c r="A114" s="5" t="str">
        <f>'MEDIÇÃO 04'!A123</f>
        <v>12.19</v>
      </c>
      <c r="B114" s="15" t="str">
        <f>'MEDIÇÃO 04'!C123</f>
        <v>INTERRUPTOR SIMPLES (1 MÓDULO) COM 1 TOMADA DE EMBUTIR 2P+T 10 A,  INCLUINDO SUPORTE E PLACA - FORNECIMENTO E INSTALAÇÃO. AF_12/2015</v>
      </c>
      <c r="C114" s="5" t="str">
        <f>'MEDIÇÃO 04'!E123</f>
        <v>UN</v>
      </c>
      <c r="D114" s="5"/>
      <c r="E114" s="5"/>
    </row>
    <row r="115" spans="1:5" ht="60" x14ac:dyDescent="0.25">
      <c r="A115" s="5" t="str">
        <f>'MEDIÇÃO 04'!A124</f>
        <v>12.20</v>
      </c>
      <c r="B115" s="15" t="str">
        <f>'MEDIÇÃO 04'!C124</f>
        <v>INTERRUPTOR SIMPLES (3 MÓDULOS) COM INTERRUPTOR PARALELO (1 MÓDULO), 10A/250V, INCLUINDO SUPORTE E PLACA - FORNECIMENTO E INSTALAÇÃO. AF_12/2015</v>
      </c>
      <c r="C115" s="5" t="str">
        <f>'MEDIÇÃO 04'!E124</f>
        <v>UN</v>
      </c>
      <c r="D115" s="5"/>
      <c r="E115" s="5"/>
    </row>
    <row r="116" spans="1:5" ht="60" x14ac:dyDescent="0.25">
      <c r="A116" s="5" t="str">
        <f>'MEDIÇÃO 04'!A125</f>
        <v>12.21</v>
      </c>
      <c r="B116" s="15" t="str">
        <f>'MEDIÇÃO 04'!C125</f>
        <v>LUMINÁRIA TIPO CALHA, DE SOBREPOR, COM 2 LÂMPADAS TUBULARES FLUORESCENTES DE 18 W, COM REATOR DE PARTIDA RÁPIDA - FORNECIMENTO E INSTALAÇÃO. AF_02/2020</v>
      </c>
      <c r="C116" s="5" t="str">
        <f>'MEDIÇÃO 04'!E125</f>
        <v>UN</v>
      </c>
      <c r="D116" s="5"/>
      <c r="E116" s="5"/>
    </row>
    <row r="117" spans="1:5" ht="60" x14ac:dyDescent="0.25">
      <c r="A117" s="5" t="str">
        <f>'MEDIÇÃO 04'!A126</f>
        <v>12.22</v>
      </c>
      <c r="B117" s="15" t="str">
        <f>'MEDIÇÃO 04'!C126</f>
        <v>LUMINÁRIA TIPO CALHA, DE SOBREPOR, COM 2 LÂMPADAS TUBULARES FLUORESCENTES DE 36 W, COM REATOR DE PARTIDA RÁPIDA - FORNECIMENTO E INSTALAÇÃO. AF_02/2020</v>
      </c>
      <c r="C117" s="5" t="str">
        <f>'MEDIÇÃO 04'!E126</f>
        <v>UN</v>
      </c>
      <c r="D117" s="5"/>
      <c r="E117" s="5"/>
    </row>
    <row r="118" spans="1:5" ht="60" x14ac:dyDescent="0.25">
      <c r="A118" s="5" t="str">
        <f>'MEDIÇÃO 04'!A127</f>
        <v>12.23</v>
      </c>
      <c r="B118" s="15" t="str">
        <f>'MEDIÇÃO 04'!C127</f>
        <v>CABO DE COBRE FLEXÍVEL ISOLADO, 16 MM², 0,6/1,0 KV, PARA REDE AÉREA DE DISTRIBUIÇÃO DE ENERGIA ELÉTRICA DE BAIXA TENSÃO - FORNECIMENTO E INSTALAÇÃO. AF_07/2020</v>
      </c>
      <c r="C118" s="5" t="str">
        <f>'MEDIÇÃO 04'!E127</f>
        <v>M</v>
      </c>
      <c r="D118" s="5"/>
      <c r="E118" s="5"/>
    </row>
    <row r="119" spans="1:5" ht="60" x14ac:dyDescent="0.25">
      <c r="A119" s="5" t="str">
        <f>'MEDIÇÃO 04'!A128</f>
        <v>12.24</v>
      </c>
      <c r="B119" s="15" t="str">
        <f>'MEDIÇÃO 04'!C128</f>
        <v>CABO DE COBRE FLEXÍVEL ISOLADO, 16 MM², 0,6/1,0 KV, PARA REDE AÉREA DE DISTRIBUIÇÃO DE ENERGIA ELÉTRICA DE BAIXA TENSÃO - FORNECIMENTO E INSTALAÇÃO. AF_07/2020</v>
      </c>
      <c r="C119" s="5" t="str">
        <f>'MEDIÇÃO 04'!E128</f>
        <v>M</v>
      </c>
      <c r="D119" s="5"/>
      <c r="E119" s="5"/>
    </row>
    <row r="120" spans="1:5" ht="60" x14ac:dyDescent="0.25">
      <c r="A120" s="5" t="str">
        <f>'MEDIÇÃO 04'!A129</f>
        <v>12.25</v>
      </c>
      <c r="B120" s="15" t="str">
        <f>'MEDIÇÃO 04'!C129</f>
        <v>CABO DE COBRE FLEXÍVEL ISOLADO, 16 MM², 0,6/1,0 KV, PARA REDE AÉREA DE DISTRIBUIÇÃO DE ENERGIA ELÉTRICA DE BAIXA TENSÃO - FORNECIMENTO E INSTALAÇÃO. AF_07/2020</v>
      </c>
      <c r="C120" s="5" t="str">
        <f>'MEDIÇÃO 04'!E129</f>
        <v>M</v>
      </c>
      <c r="D120" s="5"/>
      <c r="E120" s="5"/>
    </row>
    <row r="121" spans="1:5" ht="45" x14ac:dyDescent="0.25">
      <c r="A121" s="5" t="str">
        <f>'MEDIÇÃO 04'!A130</f>
        <v>12.26</v>
      </c>
      <c r="B121" s="15" t="str">
        <f>'MEDIÇÃO 04'!C130</f>
        <v>Disjuntor bipolar DR 25 A  - Dispositivo residual diferencial, tipo AC, 30MA, ref.5SM1 312-OMB, Siemens ou similar</v>
      </c>
      <c r="C121" s="5" t="str">
        <f>'MEDIÇÃO 04'!E130</f>
        <v>un</v>
      </c>
      <c r="D121" s="5"/>
      <c r="E121" s="5"/>
    </row>
    <row r="122" spans="1:5" ht="45" x14ac:dyDescent="0.25">
      <c r="A122" s="5" t="str">
        <f>'MEDIÇÃO 04'!A131</f>
        <v>12.27</v>
      </c>
      <c r="B122" s="15" t="str">
        <f>'MEDIÇÃO 04'!C131</f>
        <v>DISJUNTOR MONOPOLAR TIPO DIN, CORRENTE NOMINAL DE 25A - FORNECIMENTO E INSTALAÇÃO. AF_10/2020</v>
      </c>
      <c r="C122" s="5" t="str">
        <f>'MEDIÇÃO 04'!E131</f>
        <v>UN</v>
      </c>
      <c r="D122" s="5"/>
      <c r="E122" s="5"/>
    </row>
    <row r="123" spans="1:5" ht="45" x14ac:dyDescent="0.25">
      <c r="A123" s="5" t="str">
        <f>'MEDIÇÃO 04'!A132</f>
        <v>12.28</v>
      </c>
      <c r="B123" s="15" t="str">
        <f>'MEDIÇÃO 04'!C132</f>
        <v>DISJUNTOR MONOPOLAR TIPO DIN, CORRENTE NOMINAL DE 10A - FORNECIMENTO E INSTALAÇÃO. AF_10/2020</v>
      </c>
      <c r="C123" s="5" t="str">
        <f>'MEDIÇÃO 04'!E132</f>
        <v>UN</v>
      </c>
      <c r="D123" s="5"/>
      <c r="E123" s="5"/>
    </row>
    <row r="124" spans="1:5" ht="45" x14ac:dyDescent="0.25">
      <c r="A124" s="5" t="str">
        <f>'MEDIÇÃO 04'!A133</f>
        <v>12.29</v>
      </c>
      <c r="B124" s="15" t="str">
        <f>'MEDIÇÃO 04'!C133</f>
        <v>DISJUNTOR TRIPOLAR TIPO NEMA, CORRENTE NOMINAL DE 10 ATÉ 50A - FORNECIMENTO E INSTALAÇÃO. AF_10/2020</v>
      </c>
      <c r="C124" s="5" t="str">
        <f>'MEDIÇÃO 04'!E133</f>
        <v>UN</v>
      </c>
      <c r="D124" s="5"/>
      <c r="E124" s="5"/>
    </row>
    <row r="125" spans="1:5" ht="45" x14ac:dyDescent="0.25">
      <c r="A125" s="5" t="str">
        <f>'MEDIÇÃO 04'!A134</f>
        <v>12.30</v>
      </c>
      <c r="B125" s="15" t="str">
        <f>'MEDIÇÃO 04'!C134</f>
        <v>DISJUNTOR TRIPOLAR TIPO NEMA, CORRENTE NOMINAL DE 10 ATÉ 50A - FORNECIMENTO E INSTALAÇÃO. AF_10/2020</v>
      </c>
      <c r="C125" s="5" t="str">
        <f>'MEDIÇÃO 04'!E134</f>
        <v>UN</v>
      </c>
      <c r="D125" s="5"/>
      <c r="E125" s="5"/>
    </row>
    <row r="126" spans="1:5" ht="45" x14ac:dyDescent="0.25">
      <c r="A126" s="5" t="str">
        <f>'MEDIÇÃO 04'!A135</f>
        <v>12.31</v>
      </c>
      <c r="B126" s="15" t="str">
        <f>'MEDIÇÃO 04'!C135</f>
        <v>CABO DE COBRE FLEXÍVEL ISOLADO, 4 MM², ANTI-CHAMA 450/750 V, PARA CIRCUITOS TERMINAIS - FORNECIMENTO E INSTALAÇÃO. AF_12/2015</v>
      </c>
      <c r="C126" s="5" t="str">
        <f>'MEDIÇÃO 04'!E135</f>
        <v>M</v>
      </c>
      <c r="D126" s="5"/>
      <c r="E126" s="5"/>
    </row>
    <row r="127" spans="1:5" ht="45" x14ac:dyDescent="0.25">
      <c r="A127" s="5" t="str">
        <f>'MEDIÇÃO 04'!A136</f>
        <v>12.32</v>
      </c>
      <c r="B127" s="15" t="str">
        <f>'MEDIÇÃO 04'!C136</f>
        <v>CABO DE COBRE FLEXÍVEL ISOLADO, 1,5 MM², ANTI-CHAMA 450/750 V, PARA CIRCUITOS TERMINAIS - FORNECIMENTO E INSTALAÇÃO. AF_12/2015</v>
      </c>
      <c r="C127" s="5" t="str">
        <f>'MEDIÇÃO 04'!E136</f>
        <v>M</v>
      </c>
      <c r="D127" s="5"/>
      <c r="E127" s="5"/>
    </row>
    <row r="128" spans="1:5" ht="30" x14ac:dyDescent="0.25">
      <c r="A128" s="5" t="str">
        <f>'MEDIÇÃO 04'!A137</f>
        <v>12.33</v>
      </c>
      <c r="B128" s="15" t="str">
        <f>'MEDIÇÃO 04'!C137</f>
        <v>CAIXA PARA MEDIDOR TRIFÁSICO - PADRÃO ENERGISA</v>
      </c>
      <c r="C128" s="5" t="str">
        <f>'MEDIÇÃO 04'!E137</f>
        <v>pc</v>
      </c>
      <c r="D128" s="5"/>
      <c r="E128" s="5"/>
    </row>
    <row r="129" spans="1:5" ht="45" x14ac:dyDescent="0.25">
      <c r="A129" s="5" t="str">
        <f>'MEDIÇÃO 04'!A138</f>
        <v>12.34</v>
      </c>
      <c r="B129" s="15" t="str">
        <f>'MEDIÇÃO 04'!C138</f>
        <v>CAIXA DE INSPEÇÃO PARA ATERRAMENTO, CIRCULAR, EM POLIETILENO, DIÂMETRO INTERNO = 0,3 M. AF_12/2020</v>
      </c>
      <c r="C129" s="5" t="str">
        <f>'MEDIÇÃO 04'!E138</f>
        <v>UN</v>
      </c>
      <c r="D129" s="5"/>
      <c r="E129" s="5"/>
    </row>
    <row r="130" spans="1:5" ht="30" x14ac:dyDescent="0.25">
      <c r="A130" s="5" t="str">
        <f>'MEDIÇÃO 04'!A139</f>
        <v>12.35</v>
      </c>
      <c r="B130" s="15" t="str">
        <f>'MEDIÇÃO 04'!C139</f>
        <v>CAIXA PARA MEDIDOR TRIFÁSICO - PADRÃO ENERGISA</v>
      </c>
      <c r="C130" s="5" t="str">
        <f>'MEDIÇÃO 04'!E139</f>
        <v>PC</v>
      </c>
      <c r="D130" s="5"/>
      <c r="E130" s="5"/>
    </row>
    <row r="131" spans="1:5" x14ac:dyDescent="0.25">
      <c r="A131" s="5" t="str">
        <f>'MEDIÇÃO 04'!A140</f>
        <v>12.36</v>
      </c>
      <c r="B131" s="15" t="str">
        <f>'MEDIÇÃO 04'!C140</f>
        <v>Massa 3M para calafetação (fornecimento)</v>
      </c>
      <c r="C131" s="5" t="str">
        <f>'MEDIÇÃO 04'!E140</f>
        <v>kg</v>
      </c>
      <c r="D131" s="5"/>
      <c r="E131" s="5"/>
    </row>
    <row r="132" spans="1:5" ht="30" x14ac:dyDescent="0.25">
      <c r="A132" s="5" t="str">
        <f>'MEDIÇÃO 04'!A141</f>
        <v>12.37</v>
      </c>
      <c r="B132" s="15" t="str">
        <f>'MEDIÇÃO 04'!C141</f>
        <v>HASTE DE ATERRAMENTO 5/8  PARA SPDA - FORNECIMENTO E INSTALAÇÃO. AF_12/2017</v>
      </c>
      <c r="C132" s="5" t="str">
        <f>'MEDIÇÃO 04'!E141</f>
        <v>UN</v>
      </c>
      <c r="D132" s="5"/>
      <c r="E132" s="5"/>
    </row>
    <row r="133" spans="1:5" x14ac:dyDescent="0.25">
      <c r="A133" s="5" t="str">
        <f>'MEDIÇÃO 04'!A142</f>
        <v>12.38</v>
      </c>
      <c r="B133" s="15" t="str">
        <f>'MEDIÇÃO 04'!C142</f>
        <v>Fita isolante (rolo 20m) 3/4" - Fornecimento</v>
      </c>
      <c r="C133" s="5" t="str">
        <f>'MEDIÇÃO 04'!E142</f>
        <v>Un</v>
      </c>
      <c r="D133" s="5"/>
      <c r="E133" s="5"/>
    </row>
    <row r="134" spans="1:5" ht="45" x14ac:dyDescent="0.25">
      <c r="A134" s="5" t="str">
        <f>'MEDIÇÃO 04'!A143</f>
        <v>12.39</v>
      </c>
      <c r="B134" s="15" t="str">
        <f>'MEDIÇÃO 04'!C143</f>
        <v>CABO DE COBRE FLEXÍVEL ISOLADO, 2,5 MM², ANTI-CHAMA 450/750 V, PARA CIRCUITOS TERMINAIS - FORNECIMENTO E INSTALAÇÃO. AF_12/2015</v>
      </c>
      <c r="C134" s="5" t="str">
        <f>'MEDIÇÃO 04'!E143</f>
        <v>M</v>
      </c>
      <c r="D134" s="5"/>
      <c r="E134" s="5"/>
    </row>
    <row r="135" spans="1:5" ht="45" x14ac:dyDescent="0.25">
      <c r="A135" s="5" t="str">
        <f>'MEDIÇÃO 04'!A144</f>
        <v>12.40</v>
      </c>
      <c r="B135" s="15" t="str">
        <f>'MEDIÇÃO 04'!C144</f>
        <v>CABO DE COBRE FLEXÍVEL ISOLADO, 1,5 MM², ANTI-CHAMA 450/750 V, PARA CIRCUITOS TERMINAIS - FORNECIMENTO E INSTALAÇÃO. AF_12/2015</v>
      </c>
      <c r="C135" s="5" t="str">
        <f>'MEDIÇÃO 04'!E144</f>
        <v>M</v>
      </c>
      <c r="D135" s="5"/>
      <c r="E135" s="5"/>
    </row>
    <row r="136" spans="1:5" ht="45" x14ac:dyDescent="0.25">
      <c r="A136" s="5" t="str">
        <f>'MEDIÇÃO 04'!A145</f>
        <v>12.41</v>
      </c>
      <c r="B136" s="15" t="str">
        <f>'MEDIÇÃO 04'!C145</f>
        <v>CABO DE COBRE FLEXÍVEL ISOLADO, 2,5 MM², ANTI-CHAMA 450/750 V, PARA CIRCUITOS TERMINAIS - FORNECIMENTO E INSTALAÇÃO. AF_12/2015</v>
      </c>
      <c r="C136" s="5" t="str">
        <f>'MEDIÇÃO 04'!E145</f>
        <v>M</v>
      </c>
      <c r="D136" s="5"/>
      <c r="E136" s="5"/>
    </row>
    <row r="137" spans="1:5" ht="45" x14ac:dyDescent="0.25">
      <c r="A137" s="5" t="str">
        <f>'MEDIÇÃO 04'!A146</f>
        <v>12.42</v>
      </c>
      <c r="B137" s="15" t="str">
        <f>'MEDIÇÃO 04'!C146</f>
        <v>CABO DE COBRE FLEXÍVEL ISOLADO, 2,5 MM², ANTI-CHAMA 450/750 V, PARA CIRCUITOS TERMINAIS - FORNECIMENTO E INSTALAÇÃO. AF_12/2015</v>
      </c>
      <c r="C137" s="5" t="str">
        <f>'MEDIÇÃO 04'!E146</f>
        <v>M</v>
      </c>
      <c r="D137" s="5"/>
      <c r="E137" s="5"/>
    </row>
    <row r="138" spans="1:5" ht="90" x14ac:dyDescent="0.25">
      <c r="A138" s="5" t="str">
        <f>'MEDIÇÃO 04'!A147</f>
        <v>12.43</v>
      </c>
      <c r="B138" s="15" t="str">
        <f>'MEDIÇÃO 04'!C147</f>
        <v>KIT DE PORTA DE MADEIRA FRISADA, SEMI-OCA (LEVE OU MÉDIA), PADRÃO POPULAR, 80X210CM, ESPESSURA DE 3,5CM, ITENS INCLUSOS: DOBRADIÇAS, MONTAGEM E INSTALAÇÃO DO BATENTE, SEM FECHADURA - FORNECIMENTO E INSTALAÇÃO. AF_12/2019</v>
      </c>
      <c r="C138" s="5" t="str">
        <f>'MEDIÇÃO 04'!E147</f>
        <v>M</v>
      </c>
      <c r="D138" s="5"/>
      <c r="E138" s="5"/>
    </row>
    <row r="139" spans="1:5" ht="45" x14ac:dyDescent="0.25">
      <c r="A139" s="5" t="str">
        <f>'MEDIÇÃO 04'!A148</f>
        <v>12.44</v>
      </c>
      <c r="B139" s="15" t="str">
        <f>'MEDIÇÃO 04'!C148</f>
        <v>CABO DE COBRE FLEXÍVEL ISOLADO, 10 MM², ANTI-CHAMA 0,6/1,0 KV, PARA CIRCUITOS TERMINAIS - FORNECIMENTO E INSTALAÇÃO. AF_12/2015</v>
      </c>
      <c r="C139" s="5" t="str">
        <f>'MEDIÇÃO 04'!E148</f>
        <v>M</v>
      </c>
      <c r="D139" s="5"/>
      <c r="E139" s="5"/>
    </row>
    <row r="140" spans="1:5" ht="45" x14ac:dyDescent="0.25">
      <c r="A140" s="5" t="str">
        <f>'MEDIÇÃO 04'!A149</f>
        <v>12.45</v>
      </c>
      <c r="B140" s="15" t="str">
        <f>'MEDIÇÃO 04'!C149</f>
        <v>CABO DE COBRE FLEXÍVEL ISOLADO, 10 MM², ANTI-CHAMA 0,6/1,0 KV, PARA CIRCUITOS TERMINAIS - FORNECIMENTO E INSTALAÇÃO. AF_12/2015</v>
      </c>
      <c r="C140" s="5" t="str">
        <f>'MEDIÇÃO 04'!E149</f>
        <v>M</v>
      </c>
      <c r="D140" s="5"/>
      <c r="E140" s="5"/>
    </row>
    <row r="141" spans="1:5" ht="60" x14ac:dyDescent="0.25">
      <c r="A141" s="5" t="str">
        <f>'MEDIÇÃO 04'!A150</f>
        <v>12.46</v>
      </c>
      <c r="B141" s="15" t="str">
        <f>'MEDIÇÃO 04'!C150</f>
        <v>INTERRUPTOR SIMPLES (1 MÓDULO) COM 1 TOMADA DE EMBUTIR 2P+T 10 A,  INCLUINDO SUPORTE E PLACA - FORNECIMENTO E INSTALAÇÃO. AF_12/2015</v>
      </c>
      <c r="C141" s="5" t="str">
        <f>'MEDIÇÃO 04'!E150</f>
        <v>UN</v>
      </c>
      <c r="D141" s="5"/>
      <c r="E141" s="5"/>
    </row>
    <row r="142" spans="1:5" ht="60" x14ac:dyDescent="0.25">
      <c r="A142" s="5" t="str">
        <f>'MEDIÇÃO 04'!A151</f>
        <v>12.47</v>
      </c>
      <c r="B142" s="15" t="str">
        <f>'MEDIÇÃO 04'!C151</f>
        <v>INTERRUPTOR SIMPLES (1 MÓDULO) COM 1 TOMADA DE EMBUTIR 2P+T 10 A,  SEM SUPORTE E SEM PLACA - FORNECIMENTO E INSTALAÇÃO. AF_12/2015</v>
      </c>
      <c r="C142" s="5" t="str">
        <f>'MEDIÇÃO 04'!E151</f>
        <v>UN</v>
      </c>
      <c r="D142" s="5"/>
      <c r="E142" s="5"/>
    </row>
    <row r="143" spans="1:5" x14ac:dyDescent="0.25">
      <c r="A143" s="16" t="str">
        <f>'MEDIÇÃO 04'!A153</f>
        <v>13</v>
      </c>
      <c r="B143" s="148" t="str">
        <f>'MEDIÇÃO 04'!B153:P153</f>
        <v>INSTALAÇÕES HIDRO-SANITÁRIA</v>
      </c>
      <c r="C143" s="148"/>
      <c r="D143" s="148"/>
      <c r="E143" s="148"/>
    </row>
    <row r="144" spans="1:5" ht="60" x14ac:dyDescent="0.25">
      <c r="A144" s="5" t="str">
        <f>'MEDIÇÃO 04'!A154</f>
        <v>13.1</v>
      </c>
      <c r="B144" s="15" t="str">
        <f>'MEDIÇÃO 04'!C154</f>
        <v>CAIXA SIFONADA, PVC, DN 100 X 100 X 50 MM, JUNTA ELÁSTICA, FORNECIDA E INSTALADA EM RAMAL DE DESCARGA OU EM RAMAL DE ESGOTO SANITÁRIO. AF_12/2014</v>
      </c>
      <c r="C144" s="5" t="str">
        <f>'MEDIÇÃO 04'!E154</f>
        <v>UN</v>
      </c>
      <c r="D144" s="5"/>
      <c r="E144" s="5"/>
    </row>
    <row r="145" spans="1:5" ht="30" x14ac:dyDescent="0.25">
      <c r="A145" s="5" t="str">
        <f>'MEDIÇÃO 04'!A155</f>
        <v>13.2</v>
      </c>
      <c r="B145" s="15" t="str">
        <f>'MEDIÇÃO 04'!C155</f>
        <v>CAIXA SIFONADA, PVC, 150 X 150 X 50 MM, COM GRELHA QUADRADA, BRANCA (NBR 5688)</v>
      </c>
      <c r="C145" s="5" t="str">
        <f>'MEDIÇÃO 04'!E155</f>
        <v>UN</v>
      </c>
      <c r="D145" s="5"/>
      <c r="E145" s="5"/>
    </row>
    <row r="146" spans="1:5" ht="60" x14ac:dyDescent="0.25">
      <c r="A146" s="5" t="str">
        <f>'MEDIÇÃO 04'!A156</f>
        <v>13.3</v>
      </c>
      <c r="B146" s="15" t="str">
        <f>'MEDIÇÃO 04'!C156</f>
        <v>RALO SECO, PVC, DN 100 X 40 MM, JUNTA SOLDÁVEL, FORNECIDO E INSTALADO EM RAMAL DE DESCARGA OU EM RAMAL DE ESGOTO SANITÁRIO. AF_12/2014</v>
      </c>
      <c r="C146" s="5" t="str">
        <f>'MEDIÇÃO 04'!E156</f>
        <v>UN</v>
      </c>
      <c r="D146" s="5"/>
      <c r="E146" s="5"/>
    </row>
    <row r="147" spans="1:5" ht="60" x14ac:dyDescent="0.25">
      <c r="A147" s="5" t="str">
        <f>'MEDIÇÃO 04'!A157</f>
        <v>13.4</v>
      </c>
      <c r="B147" s="15" t="str">
        <f>'MEDIÇÃO 04'!C157</f>
        <v>CAIXA ENTERRADA HIDRÁULICA RETANGULAR EM ALVENARIA COM TIJOLOS CERÂMICOS MACIÇOS, DIMENSÕES INTERNAS: 0,6X0,6X0,6 M PARA REDE DE ESGOTO. AF_12/2020</v>
      </c>
      <c r="C147" s="5" t="str">
        <f>'MEDIÇÃO 04'!E157</f>
        <v>UN</v>
      </c>
      <c r="D147" s="5"/>
      <c r="E147" s="5"/>
    </row>
    <row r="148" spans="1:5" ht="30" x14ac:dyDescent="0.25">
      <c r="A148" s="5" t="str">
        <f>'MEDIÇÃO 04'!A158</f>
        <v>13.5</v>
      </c>
      <c r="B148" s="15" t="str">
        <f>'MEDIÇÃO 04'!C158</f>
        <v>BUCHA DE REDUCAO DE PVC, SOLDAVEL, CURTA, COM 60 X 50 MM, PARA AGUA FRIA PREDIAL</v>
      </c>
      <c r="C148" s="5" t="str">
        <f>'MEDIÇÃO 04'!E158</f>
        <v>UN</v>
      </c>
      <c r="D148" s="5"/>
      <c r="E148" s="5"/>
    </row>
    <row r="149" spans="1:5" ht="30" x14ac:dyDescent="0.25">
      <c r="A149" s="5" t="str">
        <f>'MEDIÇÃO 04'!A159</f>
        <v>13.6</v>
      </c>
      <c r="B149" s="15" t="str">
        <f>'MEDIÇÃO 04'!C159</f>
        <v>BUCHA DE REDUCAO DE PVC, SOLDAVEL, CURTA, COM 25 X 20 MM, PARA AGUA FRIA PREDIAL</v>
      </c>
      <c r="C149" s="5" t="str">
        <f>'MEDIÇÃO 04'!E159</f>
        <v>UN</v>
      </c>
      <c r="D149" s="5"/>
      <c r="E149" s="5"/>
    </row>
    <row r="150" spans="1:5" ht="30" x14ac:dyDescent="0.25">
      <c r="A150" s="5" t="str">
        <f>'MEDIÇÃO 04'!A160</f>
        <v>13.7</v>
      </c>
      <c r="B150" s="15" t="str">
        <f>'MEDIÇÃO 04'!C160</f>
        <v>BUCHA DE REDUCAO DE PVC, SOLDAVEL, LONGA, COM 50 X 25 MM, PARA AGUA FRIA PREDIAL</v>
      </c>
      <c r="C150" s="5" t="str">
        <f>'MEDIÇÃO 04'!E160</f>
        <v>UN</v>
      </c>
      <c r="D150" s="5"/>
      <c r="E150" s="5"/>
    </row>
    <row r="151" spans="1:5" ht="30" x14ac:dyDescent="0.25">
      <c r="A151" s="5" t="str">
        <f>'MEDIÇÃO 04'!A161</f>
        <v>13.8</v>
      </c>
      <c r="B151" s="15" t="str">
        <f>'MEDIÇÃO 04'!C161</f>
        <v>BUCHA DE REDUCAO DE PVC, SOLDAVEL, LONGA, COM 50 X 32 MM, PARA AGUA FRIA PREDIAL</v>
      </c>
      <c r="C151" s="5" t="str">
        <f>'MEDIÇÃO 04'!E161</f>
        <v>UN</v>
      </c>
      <c r="D151" s="5"/>
      <c r="E151" s="5"/>
    </row>
    <row r="152" spans="1:5" ht="45" x14ac:dyDescent="0.25">
      <c r="A152" s="5" t="str">
        <f>'MEDIÇÃO 04'!A162</f>
        <v>13.9</v>
      </c>
      <c r="B152" s="15" t="str">
        <f>'MEDIÇÃO 04'!C162</f>
        <v>JOELHO 90 GRAUS, PVC, SOLDÁVEL, DN 25MM, INSTALADO EM RAMAL OU SUB-RAMAL DE ÁGUA - FORNECIMENTO E INSTALAÇÃO. AF_12/2014</v>
      </c>
      <c r="C152" s="5" t="str">
        <f>'MEDIÇÃO 04'!E162</f>
        <v>UN</v>
      </c>
      <c r="D152" s="5"/>
      <c r="E152" s="5"/>
    </row>
    <row r="153" spans="1:5" ht="45" x14ac:dyDescent="0.25">
      <c r="A153" s="5" t="str">
        <f>'MEDIÇÃO 04'!A163</f>
        <v>13.10</v>
      </c>
      <c r="B153" s="15" t="str">
        <f>'MEDIÇÃO 04'!C163</f>
        <v>JOELHO 90 GRAUS, PVC, SOLDÁVEL, DN 50MM, INSTALADO EM PRUMADA DE ÁGUA - FORNECIMENTO E INSTALAÇÃO. AF_12/2014</v>
      </c>
      <c r="C153" s="5" t="str">
        <f>'MEDIÇÃO 04'!E163</f>
        <v>UN</v>
      </c>
      <c r="D153" s="5"/>
      <c r="E153" s="5"/>
    </row>
    <row r="154" spans="1:5" ht="45" x14ac:dyDescent="0.25">
      <c r="A154" s="5" t="str">
        <f>'MEDIÇÃO 04'!A164</f>
        <v>13.11</v>
      </c>
      <c r="B154" s="15" t="str">
        <f>'MEDIÇÃO 04'!C164</f>
        <v>Joelho 90 graus com bucha de latão, pvc, soldável, dn 25mm, x 3/4? instalado em ramal ou sub-ramal de água - fornecimento e instalação. af_12/2014</v>
      </c>
      <c r="C154" s="5" t="str">
        <f>'MEDIÇÃO 04'!E164</f>
        <v>UN</v>
      </c>
      <c r="D154" s="5"/>
      <c r="E154" s="5"/>
    </row>
    <row r="155" spans="1:5" ht="45" x14ac:dyDescent="0.25">
      <c r="A155" s="5" t="str">
        <f>'MEDIÇÃO 04'!A165</f>
        <v>13.12</v>
      </c>
      <c r="B155" s="15" t="str">
        <f>'MEDIÇÃO 04'!C165</f>
        <v>LUVA DE REDUÇÃO, PVC, SOLDÁVEL, DN 50MM X 25MM, INSTALADO EM PRUMADA DE ÁGUA   FORNECIMENTO E INSTALAÇÃO. AF_12/2014</v>
      </c>
      <c r="C155" s="5" t="str">
        <f>'MEDIÇÃO 04'!E165</f>
        <v>UN</v>
      </c>
      <c r="D155" s="5"/>
      <c r="E155" s="5"/>
    </row>
    <row r="156" spans="1:5" ht="45" x14ac:dyDescent="0.25">
      <c r="A156" s="5" t="str">
        <f>'MEDIÇÃO 04'!A166</f>
        <v>13.13</v>
      </c>
      <c r="B156" s="15" t="str">
        <f>'MEDIÇÃO 04'!C166</f>
        <v>TÊ DE REDUÇÃO, PVC, SOLDÁVEL, DN 50MM X 25MM, INSTALADO EM PRUMADA DE ÁGUA - FORNECIMENTO E INSTALAÇÃO. AF_12/2014</v>
      </c>
      <c r="C156" s="5" t="str">
        <f>'MEDIÇÃO 04'!E166</f>
        <v>UN</v>
      </c>
      <c r="D156" s="5"/>
      <c r="E156" s="5"/>
    </row>
    <row r="157" spans="1:5" ht="45" x14ac:dyDescent="0.25">
      <c r="A157" s="5" t="str">
        <f>'MEDIÇÃO 04'!A167</f>
        <v>13.14</v>
      </c>
      <c r="B157" s="15" t="str">
        <f>'MEDIÇÃO 04'!C167</f>
        <v>TE, PVC, SOLDÁVEL, DN 20MM, INSTALADO EM RAMAL OU SUB-RAMAL DE ÁGUA - FORNECIMENTO E INSTALAÇÃO. AF_12/2014</v>
      </c>
      <c r="C157" s="5" t="str">
        <f>'MEDIÇÃO 04'!E167</f>
        <v>UN</v>
      </c>
      <c r="D157" s="5"/>
      <c r="E157" s="5"/>
    </row>
    <row r="158" spans="1:5" ht="45" x14ac:dyDescent="0.25">
      <c r="A158" s="5" t="str">
        <f>'MEDIÇÃO 04'!A168</f>
        <v>13.15</v>
      </c>
      <c r="B158" s="15" t="str">
        <f>'MEDIÇÃO 04'!C168</f>
        <v>TE, PVC, SOLDÁVEL, DN 25MM, INSTALADO EM RAMAL OU SUB-RAMAL DE ÁGUA - FORNECIMENTO E INSTALAÇÃO. AF_12/2014</v>
      </c>
      <c r="C158" s="5" t="str">
        <f>'MEDIÇÃO 04'!E168</f>
        <v>UN</v>
      </c>
      <c r="D158" s="5"/>
      <c r="E158" s="5"/>
    </row>
    <row r="159" spans="1:5" ht="45" x14ac:dyDescent="0.25">
      <c r="A159" s="5" t="str">
        <f>'MEDIÇÃO 04'!A169</f>
        <v>13.16</v>
      </c>
      <c r="B159" s="15" t="str">
        <f>'MEDIÇÃO 04'!C169</f>
        <v>TE, PVC, SOLDÁVEL, DN 50MM, INSTALADO EM PRUMADA DE ÁGUA - FORNECIMENTO E INSTALAÇÃO. AF_12/2014</v>
      </c>
      <c r="C159" s="5" t="str">
        <f>'MEDIÇÃO 04'!E169</f>
        <v>UN</v>
      </c>
      <c r="D159" s="5"/>
      <c r="E159" s="5"/>
    </row>
    <row r="160" spans="1:5" ht="60" x14ac:dyDescent="0.25">
      <c r="A160" s="5" t="str">
        <f>'MEDIÇÃO 04'!A170</f>
        <v>13.17</v>
      </c>
      <c r="B160" s="15" t="str">
        <f>'MEDIÇÃO 04'!C170</f>
        <v>TÊ COM BUCHA DE LATÃO NA BOLSA CENTRAL, PVC, SOLDÁVEL, DN 25MM X 3/4?, INSTALADO EM RAMAL OU SUB-RAMAL DE ÁGUA - FORNECIMENTO E INSTALAÇÃO. AF_03/2015</v>
      </c>
      <c r="C160" s="5" t="str">
        <f>'MEDIÇÃO 04'!E170</f>
        <v>UN</v>
      </c>
      <c r="D160" s="5"/>
      <c r="E160" s="5"/>
    </row>
    <row r="161" spans="1:5" ht="45" x14ac:dyDescent="0.25">
      <c r="A161" s="5" t="str">
        <f>'MEDIÇÃO 04'!A171</f>
        <v>13.18</v>
      </c>
      <c r="B161" s="15" t="str">
        <f>'MEDIÇÃO 04'!C171</f>
        <v>TUBO, PVC, SOLDÁVEL, DN 20MM, INSTALADO EM RAMAL DE DISTRIBUIÇÃO DE ÁGUA - FORNECIMENTO E INSTALAÇÃO. AF_12/2014</v>
      </c>
      <c r="C161" s="5" t="str">
        <f>'MEDIÇÃO 04'!E171</f>
        <v>M</v>
      </c>
      <c r="D161" s="5"/>
      <c r="E161" s="5"/>
    </row>
    <row r="162" spans="1:5" ht="45" x14ac:dyDescent="0.25">
      <c r="A162" s="5" t="str">
        <f>'MEDIÇÃO 04'!A172</f>
        <v>13.19</v>
      </c>
      <c r="B162" s="15" t="str">
        <f>'MEDIÇÃO 04'!C172</f>
        <v>TUBO, PVC, SOLDÁVEL, DN 25MM, INSTALADO EM PRUMADA DE ÁGUA - FORNECIMENTO E INSTALAÇÃO. AF_12/2014</v>
      </c>
      <c r="C162" s="5" t="str">
        <f>'MEDIÇÃO 04'!E172</f>
        <v>M</v>
      </c>
      <c r="D162" s="5"/>
      <c r="E162" s="5"/>
    </row>
    <row r="163" spans="1:5" ht="45" x14ac:dyDescent="0.25">
      <c r="A163" s="5" t="str">
        <f>'MEDIÇÃO 04'!A173</f>
        <v>13.20</v>
      </c>
      <c r="B163" s="15" t="str">
        <f>'MEDIÇÃO 04'!C173</f>
        <v>TUBO, PVC, SOLDÁVEL, DN 50MM, INSTALADO EM PRUMADA DE ÁGUA - FORNECIMENTO E INSTALAÇÃO. AF_12/2014</v>
      </c>
      <c r="C163" s="5" t="str">
        <f>'MEDIÇÃO 04'!E173</f>
        <v>M</v>
      </c>
      <c r="D163" s="5"/>
      <c r="E163" s="5"/>
    </row>
    <row r="164" spans="1:5" ht="60" x14ac:dyDescent="0.25">
      <c r="A164" s="5" t="str">
        <f>'MEDIÇÃO 04'!A174</f>
        <v>13.21</v>
      </c>
      <c r="B164" s="15" t="str">
        <f>'MEDIÇÃO 04'!C174</f>
        <v>TUBO PVC, SERIE NORMAL, ESGOTO PREDIAL, DN 40 MM, FORNECIDO E INSTALADO EM RAMAL DE DESCARGA OU RAMAL DE ESGOTO SANITÁRIO. AF_12/2014</v>
      </c>
      <c r="C164" s="5" t="str">
        <f>'MEDIÇÃO 04'!E174</f>
        <v>M</v>
      </c>
      <c r="D164" s="5"/>
      <c r="E164" s="5"/>
    </row>
    <row r="165" spans="1:5" ht="60" x14ac:dyDescent="0.25">
      <c r="A165" s="5" t="str">
        <f>'MEDIÇÃO 04'!A175</f>
        <v>13.22</v>
      </c>
      <c r="B165" s="15" t="str">
        <f>'MEDIÇÃO 04'!C175</f>
        <v>TUBO PVC, SERIE NORMAL, ESGOTO PREDIAL, DN 50 MM, FORNECIDO E INSTALADO EM PRUMADA DE ESGOTO SANITÁRIO OU VENTILAÇÃO. AF_12/2014</v>
      </c>
      <c r="C165" s="5" t="str">
        <f>'MEDIÇÃO 04'!E175</f>
        <v>M</v>
      </c>
      <c r="D165" s="5"/>
      <c r="E165" s="5"/>
    </row>
    <row r="166" spans="1:5" ht="60" x14ac:dyDescent="0.25">
      <c r="A166" s="5" t="str">
        <f>'MEDIÇÃO 04'!A176</f>
        <v>13.23</v>
      </c>
      <c r="B166" s="15" t="str">
        <f>'MEDIÇÃO 04'!C176</f>
        <v>TUBO PVC, SERIE NORMAL, ESGOTO PREDIAL, DN 100 MM, FORNECIDO E INSTALADO EM PRUMADA DE ESGOTO SANITÁRIO OU VENTILAÇÃO. AF_12/2014</v>
      </c>
      <c r="C166" s="5" t="str">
        <f>'MEDIÇÃO 04'!E176</f>
        <v>M</v>
      </c>
      <c r="D166" s="5"/>
      <c r="E166" s="5"/>
    </row>
    <row r="167" spans="1:5" ht="60" x14ac:dyDescent="0.25">
      <c r="A167" s="5" t="str">
        <f>'MEDIÇÃO 04'!A177</f>
        <v>13.24</v>
      </c>
      <c r="B167" s="15" t="str">
        <f>'MEDIÇÃO 04'!C177</f>
        <v>VASO SANITÁRIO SIFONADO COM CAIXA ACOPLADA LOUÇA BRANCA, INCLUSO ENGATE FLEXÍVEL EM PLÁSTICO BRANCO, 1/2  X 40CM - FORNECIMENTO E INSTALAÇÃO. AF_01/2020</v>
      </c>
      <c r="C167" s="5" t="str">
        <f>'MEDIÇÃO 04'!E177</f>
        <v>UN</v>
      </c>
      <c r="D167" s="5"/>
      <c r="E167" s="5"/>
    </row>
    <row r="168" spans="1:5" ht="30" x14ac:dyDescent="0.25">
      <c r="A168" s="5" t="str">
        <f>'MEDIÇÃO 04'!A178</f>
        <v>13.25</v>
      </c>
      <c r="B168" s="15" t="str">
        <f>'MEDIÇÃO 04'!C178</f>
        <v>ASSENTO SANITARIO DE PLASTICO, TIPO CONVENCIONAL</v>
      </c>
      <c r="C168" s="5" t="str">
        <f>'MEDIÇÃO 04'!E178</f>
        <v>UN</v>
      </c>
      <c r="D168" s="5"/>
      <c r="E168" s="5"/>
    </row>
    <row r="169" spans="1:5" ht="30" x14ac:dyDescent="0.25">
      <c r="A169" s="5" t="str">
        <f>'MEDIÇÃO 04'!A179</f>
        <v>13.26</v>
      </c>
      <c r="B169" s="15" t="str">
        <f>'MEDIÇÃO 04'!C179</f>
        <v>DUCHA HIGIENICA PLASTICA COM REGISTRO METALICO 1/2 "</v>
      </c>
      <c r="C169" s="5" t="str">
        <f>'MEDIÇÃO 04'!E179</f>
        <v>UN</v>
      </c>
      <c r="D169" s="5"/>
      <c r="E169" s="5"/>
    </row>
    <row r="170" spans="1:5" ht="45" x14ac:dyDescent="0.25">
      <c r="A170" s="5" t="str">
        <f>'MEDIÇÃO 04'!A180</f>
        <v>13.27</v>
      </c>
      <c r="B170" s="15" t="str">
        <f>'MEDIÇÃO 04'!C180</f>
        <v>DUCHA / CHUVEIRO PLASTICO SIMPLES, 5 '', BRANCO, PARA ACOPLAR EM HASTE 1/2 ", AGUA FRIA</v>
      </c>
      <c r="C170" s="5" t="str">
        <f>'MEDIÇÃO 04'!E180</f>
        <v>UN</v>
      </c>
      <c r="D170" s="5"/>
      <c r="E170" s="5"/>
    </row>
    <row r="171" spans="1:5" ht="45" x14ac:dyDescent="0.25">
      <c r="A171" s="5" t="str">
        <f>'MEDIÇÃO 04'!A181</f>
        <v>13.28</v>
      </c>
      <c r="B171" s="15" t="str">
        <f>'MEDIÇÃO 04'!C181</f>
        <v>MICTÓRIO SIFONADO LOUÇA BRANCA ? PADRÃO MÉDIO ? FORNECIMENTO E INSTALAÇÃO. AF_01/2020</v>
      </c>
      <c r="C171" s="5" t="str">
        <f>'MEDIÇÃO 04'!E181</f>
        <v>UN</v>
      </c>
      <c r="D171" s="5"/>
      <c r="E171" s="5"/>
    </row>
    <row r="172" spans="1:5" ht="30" x14ac:dyDescent="0.25">
      <c r="A172" s="5" t="str">
        <f>'MEDIÇÃO 04'!A182</f>
        <v>13.29</v>
      </c>
      <c r="B172" s="15" t="str">
        <f>'MEDIÇÃO 04'!C182</f>
        <v>TORNEIRA PLÁSTICA 3/4? PARA TANQUE - FORNECIMENTO E INSTALAÇÃO. AF_01/2020</v>
      </c>
      <c r="C172" s="5" t="str">
        <f>'MEDIÇÃO 04'!E182</f>
        <v>UN</v>
      </c>
      <c r="D172" s="5"/>
      <c r="E172" s="5"/>
    </row>
    <row r="173" spans="1:5" ht="60" x14ac:dyDescent="0.25">
      <c r="A173" s="5" t="str">
        <f>'MEDIÇÃO 04'!A183</f>
        <v>13.30</v>
      </c>
      <c r="B173" s="15" t="str">
        <f>'MEDIÇÃO 04'!C183</f>
        <v>KIT CAVALETE PARA MEDIÇÃO DE ÁGUA - ENTRADA PRINCIPAL, EM PVC SOLDÁVEL DN 25 (¾")   FORNECIMENTO E INSTALAÇÃO (EXCLUSIVE HIDRÔMETRO). AF_11/2016</v>
      </c>
      <c r="C173" s="5" t="str">
        <f>'MEDIÇÃO 04'!E183</f>
        <v>UN</v>
      </c>
      <c r="D173" s="5"/>
      <c r="E173" s="5"/>
    </row>
    <row r="174" spans="1:5" ht="60" x14ac:dyDescent="0.25">
      <c r="A174" s="5" t="str">
        <f>'MEDIÇÃO 04'!A184</f>
        <v>13.31</v>
      </c>
      <c r="B174" s="15" t="str">
        <f>'MEDIÇÃO 04'!C184</f>
        <v>CUBA DE EMBUTIR DE AÇO INOXIDÁVEL MÉDIA, INCLUSO VÁLVULA TIPO AMERICANA EM METAL CROMADO E SIFÃO FLEXÍVEL EM PVC - FORNECIMENTO E INSTALAÇÃO. AF_01/2020</v>
      </c>
      <c r="C174" s="5" t="str">
        <f>'MEDIÇÃO 04'!E184</f>
        <v>UN</v>
      </c>
      <c r="D174" s="5"/>
      <c r="E174" s="5"/>
    </row>
    <row r="175" spans="1:5" ht="45" x14ac:dyDescent="0.25">
      <c r="A175" s="5" t="str">
        <f>'MEDIÇÃO 04'!A185</f>
        <v>13.32</v>
      </c>
      <c r="B175" s="15" t="str">
        <f>'MEDIÇÃO 04'!C185</f>
        <v>TORNEIRA CROMADA LONGA, DE PAREDE, 1/2? OU 3/4?, PARA PIA DE COZINHA, PADRÃO POPULAR - FORNECIMENTO E INSTALAÇÃO. AF_01/2020</v>
      </c>
      <c r="C175" s="5" t="str">
        <f>'MEDIÇÃO 04'!E185</f>
        <v>UN</v>
      </c>
      <c r="D175" s="5"/>
      <c r="E175" s="5"/>
    </row>
    <row r="176" spans="1:5" ht="60" x14ac:dyDescent="0.25">
      <c r="A176" s="5" t="str">
        <f>'MEDIÇÃO 04'!A186</f>
        <v>13.33</v>
      </c>
      <c r="B176" s="15" t="str">
        <f>'MEDIÇÃO 04'!C186</f>
        <v>CUBA DE EMBUTIR OVAL EM LOUÇA BRANCA, 35 X 50CM OU EQUIVALENTE, INCLUSO VÁLVULA EM METAL CROMADO E SIFÃO FLEXÍVEL EM PVC - FORNECIMENTO E INSTALAÇÃO. AF_01/2020</v>
      </c>
      <c r="C176" s="5" t="str">
        <f>'MEDIÇÃO 04'!E186</f>
        <v>UN</v>
      </c>
      <c r="D176" s="5"/>
      <c r="E176" s="5"/>
    </row>
    <row r="177" spans="1:5" ht="45" x14ac:dyDescent="0.25">
      <c r="A177" s="5" t="str">
        <f>'MEDIÇÃO 04'!A187</f>
        <v>13.34</v>
      </c>
      <c r="B177" s="15" t="str">
        <f>'MEDIÇÃO 04'!C187</f>
        <v>TORNEIRA CROMADA DE MESA, 1/2? OU 3/4?, PARA LAVATÓRIO, PADRÃO POPULAR - FORNECIMENTO E INSTALAÇÃO. AF_01/2020</v>
      </c>
      <c r="C177" s="5" t="str">
        <f>'MEDIÇÃO 04'!E187</f>
        <v>UN</v>
      </c>
      <c r="D177" s="5"/>
      <c r="E177" s="5"/>
    </row>
    <row r="178" spans="1:5" ht="45" x14ac:dyDescent="0.25">
      <c r="A178" s="5" t="str">
        <f>'MEDIÇÃO 04'!A188</f>
        <v>13.35</v>
      </c>
      <c r="B178" s="15" t="str">
        <f>'MEDIÇÃO 04'!C188</f>
        <v>TORNEIRA DE BOIA PARA CAIXA D'ÁGUA, ROSCÁVEL, 3/4" - FORNECIMENTO E INSTALAÇÃO. AF_08/2021</v>
      </c>
      <c r="C178" s="5" t="str">
        <f>'MEDIÇÃO 04'!E188</f>
        <v>UN</v>
      </c>
      <c r="D178" s="5"/>
      <c r="E178" s="5"/>
    </row>
    <row r="179" spans="1:5" ht="45" x14ac:dyDescent="0.25">
      <c r="A179" s="5" t="str">
        <f>'MEDIÇÃO 04'!A189</f>
        <v>13.36</v>
      </c>
      <c r="B179" s="15" t="str">
        <f>'MEDIÇÃO 04'!C189</f>
        <v>BARRA DE APOIO RETA, EM ACO INOX POLIDO, COMPRIMENTO 70 CM,  FIXADA NA PAREDE - FORNECIMENTO E INSTALAÇÃO. AF_01/2020</v>
      </c>
      <c r="C179" s="5" t="str">
        <f>'MEDIÇÃO 04'!E189</f>
        <v>UN</v>
      </c>
      <c r="D179" s="5"/>
      <c r="E179" s="5"/>
    </row>
    <row r="180" spans="1:5" ht="45" x14ac:dyDescent="0.25">
      <c r="A180" s="5" t="str">
        <f>'MEDIÇÃO 04'!A190</f>
        <v>13.37</v>
      </c>
      <c r="B180" s="15" t="str">
        <f>'MEDIÇÃO 04'!C190</f>
        <v>BARRA DE APOIO RETA, EM ACO INOX POLIDO, COMPRIMENTO 60CM, FIXADA NA PAREDE - FORNECIMENTO E INSTALAÇÃO. AF_01/2020</v>
      </c>
      <c r="C180" s="5" t="str">
        <f>'MEDIÇÃO 04'!E190</f>
        <v>UN</v>
      </c>
      <c r="D180" s="5"/>
      <c r="E180" s="5"/>
    </row>
    <row r="181" spans="1:5" ht="90" x14ac:dyDescent="0.25">
      <c r="A181" s="5" t="str">
        <f>'MEDIÇÃO 04'!A191</f>
        <v>13.38</v>
      </c>
      <c r="B181" s="15" t="str">
        <f>'MEDIÇÃO 04'!C191</f>
        <v>LAVATÓRIO LOUÇA BRANCA SUSPENSO, 29,5 X 39CM OU EQUIVALENTE, PADRÃO POPULAR, INCLUSO SIFÃO FLEXÍVEL EM PVC, VÁLVULA E ENGATE FLEXÍVEL 30CM EM PLÁSTICO E TORNEIRA CROMADA DE MESA, PADRÃO POPULAR - FORNECIMENTO E INSTALAÇÃO. AF_01/2020</v>
      </c>
      <c r="C181" s="5" t="str">
        <f>'MEDIÇÃO 04'!E191</f>
        <v>UN</v>
      </c>
      <c r="D181" s="5"/>
      <c r="E181" s="5"/>
    </row>
    <row r="182" spans="1:5" ht="30" x14ac:dyDescent="0.25">
      <c r="A182" s="5" t="str">
        <f>'MEDIÇÃO 04'!A192</f>
        <v>13.39</v>
      </c>
      <c r="B182" s="15" t="str">
        <f>'MEDIÇÃO 04'!C192</f>
        <v>PAPELEIRA DE PAREDE EM METAL CROMADO SEM TAMPA, INCLUSO FIXAÇÃO. AF_01/2020</v>
      </c>
      <c r="C182" s="5" t="str">
        <f>'MEDIÇÃO 04'!E192</f>
        <v>UN</v>
      </c>
      <c r="D182" s="5"/>
      <c r="E182" s="5"/>
    </row>
    <row r="183" spans="1:5" ht="30" x14ac:dyDescent="0.25">
      <c r="A183" s="5" t="str">
        <f>'MEDIÇÃO 04'!A193</f>
        <v>13.40</v>
      </c>
      <c r="B183" s="15" t="str">
        <f>'MEDIÇÃO 04'!C193</f>
        <v>REGISTRO DE GAVETA BRUTO, LATÃO, ROSCÁVEL, 2" - FORNECIMENTO E INSTALAÇÃO. AF_08/2021</v>
      </c>
      <c r="C183" s="5" t="str">
        <f>'MEDIÇÃO 04'!E193</f>
        <v>UN</v>
      </c>
      <c r="D183" s="5"/>
      <c r="E183" s="5"/>
    </row>
    <row r="184" spans="1:5" ht="30" x14ac:dyDescent="0.25">
      <c r="A184" s="5" t="str">
        <f>'MEDIÇÃO 04'!A194</f>
        <v>13.41</v>
      </c>
      <c r="B184" s="15" t="str">
        <f>'MEDIÇÃO 04'!C194</f>
        <v>REGISTRO DE GAVETA BRUTO, LATÃO, ROSCÁVEL, 1 1/2" - FORNECIMENTO E INSTALAÇÃO. AF_08/2021</v>
      </c>
      <c r="C184" s="5" t="str">
        <f>'MEDIÇÃO 04'!E194</f>
        <v>UN</v>
      </c>
      <c r="D184" s="5"/>
      <c r="E184" s="5"/>
    </row>
    <row r="185" spans="1:5" ht="30" x14ac:dyDescent="0.25">
      <c r="A185" s="5" t="str">
        <f>'MEDIÇÃO 04'!A195</f>
        <v>13.42</v>
      </c>
      <c r="B185" s="15" t="str">
        <f>'MEDIÇÃO 04'!C195</f>
        <v>REGISTRO DE GAVETA BRUTO, LATÃO, ROSCÁVEL, 1/2" - FORNECIMENTO E INSTALAÇÃO. AF_08/2021</v>
      </c>
      <c r="C185" s="5" t="str">
        <f>'MEDIÇÃO 04'!E195</f>
        <v>UN</v>
      </c>
      <c r="D185" s="5"/>
      <c r="E185" s="5"/>
    </row>
    <row r="186" spans="1:5" ht="30" x14ac:dyDescent="0.25">
      <c r="A186" s="5" t="str">
        <f>'MEDIÇÃO 04'!A196</f>
        <v>13.43</v>
      </c>
      <c r="B186" s="15" t="str">
        <f>'MEDIÇÃO 04'!C196</f>
        <v>REGISTRO DE GAVETA BRUTO, LATÃO, ROSCÁVEL, 3/4" - FORNECIMENTO E INSTALAÇÃO. AF_08/2021</v>
      </c>
      <c r="C186" s="5" t="str">
        <f>'MEDIÇÃO 04'!E196</f>
        <v>UN</v>
      </c>
      <c r="D186" s="5"/>
      <c r="E186" s="5"/>
    </row>
    <row r="187" spans="1:5" ht="45" x14ac:dyDescent="0.25">
      <c r="A187" s="5" t="str">
        <f>'MEDIÇÃO 04'!A197</f>
        <v>13.44</v>
      </c>
      <c r="B187" s="15" t="str">
        <f>'MEDIÇÃO 04'!C197</f>
        <v>REGISTRO DE PRESSÃO BRUTO, LATÃO, ROSCÁVEL, 3/4", COM ACABAMENTO E CANOPLA CROMADOS - FORNECIMENTO E INSTALAÇÃO. AF_08/2021</v>
      </c>
      <c r="C187" s="5" t="str">
        <f>'MEDIÇÃO 04'!E197</f>
        <v>UN</v>
      </c>
      <c r="D187" s="5"/>
      <c r="E187" s="5"/>
    </row>
    <row r="188" spans="1:5" ht="45" x14ac:dyDescent="0.25">
      <c r="A188" s="5" t="str">
        <f>'MEDIÇÃO 04'!A198</f>
        <v>13.45</v>
      </c>
      <c r="B188" s="15" t="str">
        <f>'MEDIÇÃO 04'!C198</f>
        <v>UNIÃO, CPVC, SOLDÁVEL, DN35MM, INSTALADO EM PRUMADA DE ÁGUA ? FORNECIMENTO E INSTALAÇÃO. AF_12/2014</v>
      </c>
      <c r="C188" s="5" t="str">
        <f>'MEDIÇÃO 04'!E198</f>
        <v>UN</v>
      </c>
      <c r="D188" s="5"/>
      <c r="E188" s="5"/>
    </row>
    <row r="189" spans="1:5" ht="60" x14ac:dyDescent="0.25">
      <c r="A189" s="5" t="str">
        <f>'MEDIÇÃO 04'!A199</f>
        <v>13.46</v>
      </c>
      <c r="B189" s="15" t="str">
        <f>'MEDIÇÃO 04'!C199</f>
        <v>JOELHO 45 GRAUS, PVC, SERIE NORMAL, ESGOTO PREDIAL, DN 50 MM, JUNTA ELÁSTICA, FORNECIDO E INSTALADO EM PRUMADA DE ESGOTO SANITÁRIO OU VENTILAÇÃO. AF_12/2014</v>
      </c>
      <c r="C189" s="5" t="str">
        <f>'MEDIÇÃO 04'!E199</f>
        <v>UN</v>
      </c>
      <c r="D189" s="5"/>
      <c r="E189" s="5"/>
    </row>
    <row r="190" spans="1:5" ht="60" x14ac:dyDescent="0.25">
      <c r="A190" s="5" t="str">
        <f>'MEDIÇÃO 04'!A200</f>
        <v>13.47</v>
      </c>
      <c r="B190" s="15" t="str">
        <f>'MEDIÇÃO 04'!C200</f>
        <v>JOELHO 45 GRAUS, PVC, SERIE NORMAL, ESGOTO PREDIAL, DN 100 MM, JUNTA ELÁSTICA, FORNECIDO E INSTALADO EM PRUMADA DE ESGOTO SANITÁRIO OU VENTILAÇÃO. AF_12/2014</v>
      </c>
      <c r="C190" s="5" t="str">
        <f>'MEDIÇÃO 04'!E200</f>
        <v>UN</v>
      </c>
      <c r="D190" s="5"/>
      <c r="E190" s="5"/>
    </row>
    <row r="191" spans="1:5" ht="75" x14ac:dyDescent="0.25">
      <c r="A191" s="5" t="str">
        <f>'MEDIÇÃO 04'!A201</f>
        <v>13.48</v>
      </c>
      <c r="B191" s="15" t="str">
        <f>'MEDIÇÃO 04'!C201</f>
        <v>JOELHO 90 GRAUS, PVC, SERIE NORMAL, ESGOTO PREDIAL, DN 40 MM, JUNTA SOLDÁVEL, FORNECIDO E INSTALADO EM RAMAL DE DESCARGA OU RAMAL DE ESGOTO SANITÁRIO. AF_12/2014</v>
      </c>
      <c r="C191" s="5" t="str">
        <f>'MEDIÇÃO 04'!E201</f>
        <v>UN</v>
      </c>
      <c r="D191" s="5"/>
      <c r="E191" s="5"/>
    </row>
    <row r="192" spans="1:5" ht="60" x14ac:dyDescent="0.25">
      <c r="A192" s="5" t="str">
        <f>'MEDIÇÃO 04'!A202</f>
        <v>13.49</v>
      </c>
      <c r="B192" s="15" t="str">
        <f>'MEDIÇÃO 04'!C202</f>
        <v>JOELHO 90 GRAUS, PVC, SERIE NORMAL, ESGOTO PREDIAL, DN 50 MM, JUNTA ELÁSTICA, FORNECIDO E INSTALADO EM PRUMADA DE ESGOTO SANITÁRIO OU VENTILAÇÃO. AF_12/2014</v>
      </c>
      <c r="C192" s="5" t="str">
        <f>'MEDIÇÃO 04'!E202</f>
        <v>UN</v>
      </c>
      <c r="D192" s="5"/>
      <c r="E192" s="5"/>
    </row>
    <row r="193" spans="1:5" ht="75" x14ac:dyDescent="0.25">
      <c r="A193" s="5" t="str">
        <f>'MEDIÇÃO 04'!A203</f>
        <v>13.50</v>
      </c>
      <c r="B193" s="15" t="str">
        <f>'MEDIÇÃO 04'!C203</f>
        <v>JOELHO 90 GRAUS, PVC, SERIE NORMAL, ESGOTO PREDIAL, DN 100 MM, JUNTA ELÁSTICA, FORNECIDO E INSTALADO EM RAMAL DE DESCARGA OU RAMAL DE ESGOTO SANITÁRIO. AF_12/2014</v>
      </c>
      <c r="C193" s="5" t="str">
        <f>'MEDIÇÃO 04'!E203</f>
        <v>UN</v>
      </c>
      <c r="D193" s="5"/>
      <c r="E193" s="5"/>
    </row>
    <row r="194" spans="1:5" ht="60" x14ac:dyDescent="0.25">
      <c r="A194" s="5" t="str">
        <f>'MEDIÇÃO 04'!A204</f>
        <v>13.51</v>
      </c>
      <c r="B194" s="15" t="str">
        <f>'MEDIÇÃO 04'!C204</f>
        <v>JUNÇÃO SIMPLES, PVC, SERIE NORMAL, ESGOTO PREDIAL, DN 50 X 50 MM, JUNTA ELÁSTICA, FORNECIDO E INSTALADO EM PRUMADA DE ESGOTO SANITÁRIO OU VENTILAÇÃO. AF_12/2014</v>
      </c>
      <c r="C194" s="5" t="str">
        <f>'MEDIÇÃO 04'!E204</f>
        <v>UN</v>
      </c>
      <c r="D194" s="5"/>
      <c r="E194" s="5"/>
    </row>
    <row r="195" spans="1:5" ht="30" x14ac:dyDescent="0.25">
      <c r="A195" s="5" t="str">
        <f>'MEDIÇÃO 04'!A205</f>
        <v>13.52</v>
      </c>
      <c r="B195" s="15" t="str">
        <f>'MEDIÇÃO 04'!C205</f>
        <v>JUNCAO SIMPLES, PVC, DN 100 X 50 MM, SERIE NORMAL PARA ESGOTO PREDIAL</v>
      </c>
      <c r="C195" s="5" t="str">
        <f>'MEDIÇÃO 04'!E205</f>
        <v>UN</v>
      </c>
      <c r="D195" s="5"/>
      <c r="E195" s="5"/>
    </row>
    <row r="196" spans="1:5" ht="30" x14ac:dyDescent="0.25">
      <c r="A196" s="5" t="str">
        <f>'MEDIÇÃO 04'!A206</f>
        <v>13.53</v>
      </c>
      <c r="B196" s="15" t="str">
        <f>'MEDIÇÃO 04'!C206</f>
        <v>JUNCAO SIMPLES, PVC, DN 100 X 75 MM, SERIE NORMAL PARA ESGOTO PREDIAL</v>
      </c>
      <c r="C196" s="5" t="str">
        <f>'MEDIÇÃO 04'!E206</f>
        <v>UN</v>
      </c>
      <c r="D196" s="5"/>
      <c r="E196" s="5"/>
    </row>
    <row r="197" spans="1:5" ht="75" x14ac:dyDescent="0.25">
      <c r="A197" s="5" t="str">
        <f>'MEDIÇÃO 04'!A207</f>
        <v>13.54</v>
      </c>
      <c r="B197" s="15" t="str">
        <f>'MEDIÇÃO 04'!C207</f>
        <v>JUNÇÃO SIMPLES, PVC, SERIE NORMAL, ESGOTO PREDIAL, DN 100 X 100 MM, JUNTA ELÁSTICA, FORNECIDO E INSTALADO EM RAMAL DE DESCARGA OU RAMAL DE ESGOTO SANITÁRIO. AF_12/2014</v>
      </c>
      <c r="C197" s="5" t="str">
        <f>'MEDIÇÃO 04'!E207</f>
        <v>UN</v>
      </c>
      <c r="D197" s="5"/>
      <c r="E197" s="5"/>
    </row>
    <row r="198" spans="1:5" ht="60" x14ac:dyDescent="0.25">
      <c r="A198" s="5" t="str">
        <f>'MEDIÇÃO 04'!A208</f>
        <v>13.55</v>
      </c>
      <c r="B198" s="15" t="str">
        <f>'MEDIÇÃO 04'!C208</f>
        <v>LUVA SIMPLES, PVC, SERIE NORMAL, ESGOTO PREDIAL, DN 50 MM, JUNTA ELÁSTICA, FORNECIDO E INSTALADO EM PRUMADA DE ESGOTO SANITÁRIO OU VENTILAÇÃO. AF_12/2014</v>
      </c>
      <c r="C198" s="5" t="str">
        <f>'MEDIÇÃO 04'!E208</f>
        <v>UN</v>
      </c>
      <c r="D198" s="5"/>
      <c r="E198" s="5"/>
    </row>
    <row r="199" spans="1:5" ht="60" x14ac:dyDescent="0.25">
      <c r="A199" s="5" t="str">
        <f>'MEDIÇÃO 04'!A209</f>
        <v>13.56</v>
      </c>
      <c r="B199" s="15" t="str">
        <f>'MEDIÇÃO 04'!C209</f>
        <v>LUVA SIMPLES, PVC, SERIE NORMAL, ESGOTO PREDIAL, DN 75 MM, JUNTA ELÁSTICA, FORNECIDO E INSTALADO EM PRUMADA DE ESGOTO SANITÁRIO OU VENTILAÇÃO. AF_12/2014</v>
      </c>
      <c r="C199" s="5" t="str">
        <f>'MEDIÇÃO 04'!E209</f>
        <v>UN</v>
      </c>
      <c r="D199" s="5"/>
      <c r="E199" s="5"/>
    </row>
    <row r="200" spans="1:5" ht="75" x14ac:dyDescent="0.25">
      <c r="A200" s="5" t="str">
        <f>'MEDIÇÃO 04'!A210</f>
        <v>13.57</v>
      </c>
      <c r="B200" s="15" t="str">
        <f>'MEDIÇÃO 04'!C210</f>
        <v>LUVA SIMPLES, PVC, SERIE NORMAL, ESGOTO PREDIAL, DN 100 MM, JUNTA ELÁSTICA, FORNECIDO E INSTALADO EM RAMAL DE DESCARGA OU RAMAL DE ESGOTO SANITÁRIO. AF_12/2014</v>
      </c>
      <c r="C200" s="5" t="str">
        <f>'MEDIÇÃO 04'!E210</f>
        <v>UN</v>
      </c>
      <c r="D200" s="5"/>
      <c r="E200" s="5"/>
    </row>
    <row r="201" spans="1:5" ht="60" x14ac:dyDescent="0.25">
      <c r="A201" s="5" t="str">
        <f>'MEDIÇÃO 04'!A211</f>
        <v>13.58</v>
      </c>
      <c r="B201" s="15" t="str">
        <f>'MEDIÇÃO 04'!C211</f>
        <v>TE, PVC, SERIE NORMAL, ESGOTO PREDIAL, DN 50 X 50 MM, JUNTA ELÁSTICA, FORNECIDO E INSTALADO EM PRUMADA DE ESGOTO SANITÁRIO OU VENTILAÇÃO. AF_12/2014</v>
      </c>
      <c r="C201" s="5" t="str">
        <f>'MEDIÇÃO 04'!E211</f>
        <v>UN</v>
      </c>
      <c r="D201" s="5"/>
      <c r="E201" s="5"/>
    </row>
    <row r="202" spans="1:5" ht="30" x14ac:dyDescent="0.25">
      <c r="A202" s="5" t="str">
        <f>'MEDIÇÃO 04'!A212</f>
        <v>13.59</v>
      </c>
      <c r="B202" s="15" t="str">
        <f>'MEDIÇÃO 04'!C212</f>
        <v>TE SANITARIO, PVC, DN 75 X 50 MM, SERIE NORMAL PARA ESGOTO PREDIAL</v>
      </c>
      <c r="C202" s="5" t="str">
        <f>'MEDIÇÃO 04'!E212</f>
        <v>UN</v>
      </c>
      <c r="D202" s="5"/>
      <c r="E202" s="5"/>
    </row>
    <row r="203" spans="1:5" ht="30" x14ac:dyDescent="0.25">
      <c r="A203" s="5" t="str">
        <f>'MEDIÇÃO 04'!A213</f>
        <v>13.60</v>
      </c>
      <c r="B203" s="15" t="str">
        <f>'MEDIÇÃO 04'!C213</f>
        <v>TE SANITARIO, PVC, DN 100 X 75 MM, SERIE NORMAL PARA ESGOTO PREDIAL</v>
      </c>
      <c r="C203" s="5" t="str">
        <f>'MEDIÇÃO 04'!E213</f>
        <v>UN</v>
      </c>
      <c r="D203" s="5"/>
      <c r="E203" s="5"/>
    </row>
    <row r="204" spans="1:5" x14ac:dyDescent="0.25">
      <c r="A204" s="16" t="str">
        <f>'MEDIÇÃO 04'!A215</f>
        <v>14</v>
      </c>
      <c r="B204" s="148" t="str">
        <f>'MEDIÇÃO 04'!B215:P215</f>
        <v>PINTURA</v>
      </c>
      <c r="C204" s="148"/>
      <c r="D204" s="148"/>
      <c r="E204" s="148"/>
    </row>
    <row r="205" spans="1:5" ht="30" x14ac:dyDescent="0.25">
      <c r="A205" s="5" t="str">
        <f>'MEDIÇÃO 04'!A216</f>
        <v>14.1</v>
      </c>
      <c r="B205" s="15" t="str">
        <f>'MEDIÇÃO 04'!C216</f>
        <v>APLICAÇÃO DE FUNDO SELADOR ACRÍLICO EM TETO, UMA DEMÃO. AF_06/2014</v>
      </c>
      <c r="C205" s="5" t="str">
        <f>'MEDIÇÃO 04'!E216</f>
        <v>M2</v>
      </c>
      <c r="D205" s="5"/>
      <c r="E205" s="5"/>
    </row>
    <row r="206" spans="1:5" ht="30" x14ac:dyDescent="0.25">
      <c r="A206" s="5" t="str">
        <f>'MEDIÇÃO 04'!A217</f>
        <v>14.2</v>
      </c>
      <c r="B206" s="15" t="str">
        <f>'MEDIÇÃO 04'!C217</f>
        <v>APLICAÇÃO DE FUNDO SELADOR ACRÍLICO EM PAREDES, UMA DEMÃO. AF_06/2014</v>
      </c>
      <c r="C206" s="5" t="str">
        <f>'MEDIÇÃO 04'!E217</f>
        <v>M2</v>
      </c>
      <c r="D206" s="5"/>
      <c r="E206" s="5"/>
    </row>
    <row r="207" spans="1:5" ht="30" x14ac:dyDescent="0.25">
      <c r="A207" s="5" t="str">
        <f>'MEDIÇÃO 04'!A218</f>
        <v>14.3</v>
      </c>
      <c r="B207" s="15" t="str">
        <f>'MEDIÇÃO 04'!C218</f>
        <v>APLICAÇÃO E LIXAMENTO DE MASSA LÁTEX EM TETO, UMA DEMÃO. AF_06/2014</v>
      </c>
      <c r="C207" s="5" t="str">
        <f>'MEDIÇÃO 04'!E218</f>
        <v>M2</v>
      </c>
      <c r="D207" s="5"/>
      <c r="E207" s="5"/>
    </row>
    <row r="208" spans="1:5" ht="45" x14ac:dyDescent="0.25">
      <c r="A208" s="5" t="str">
        <f>'MEDIÇÃO 04'!A219</f>
        <v>14.4</v>
      </c>
      <c r="B208" s="15" t="str">
        <f>'MEDIÇÃO 04'!C219</f>
        <v>Emassamento de superfície, com aplicação de 02 demãos de massa acrílica, lixamento e retoques - Rev 01</v>
      </c>
      <c r="C208" s="5" t="str">
        <f>'MEDIÇÃO 04'!E219</f>
        <v>m2</v>
      </c>
      <c r="D208" s="5"/>
      <c r="E208" s="5"/>
    </row>
    <row r="209" spans="1:5" ht="45" x14ac:dyDescent="0.25">
      <c r="A209" s="5" t="str">
        <f>'MEDIÇÃO 04'!A220</f>
        <v>14.5</v>
      </c>
      <c r="B209" s="15" t="str">
        <f>'MEDIÇÃO 04'!C220</f>
        <v>APLICAÇÃO MANUAL DE PINTURA COM TINTA LÁTEX ACRÍLICA EM PAREDES, DUAS DEMÃOS. AF_06/2014</v>
      </c>
      <c r="C209" s="5" t="str">
        <f>'MEDIÇÃO 04'!E220</f>
        <v>M2</v>
      </c>
      <c r="D209" s="5"/>
      <c r="E209" s="5"/>
    </row>
    <row r="210" spans="1:5" ht="45" x14ac:dyDescent="0.25">
      <c r="A210" s="5" t="str">
        <f>'MEDIÇÃO 04'!A221</f>
        <v>14.6</v>
      </c>
      <c r="B210" s="15" t="str">
        <f>'MEDIÇÃO 04'!C221</f>
        <v>APLICAÇÃO MANUAL DE PINTURA COM TINTA LÁTEX ACRÍLICA EM TETO, DUAS DEMÃOS. AF_06/2014</v>
      </c>
      <c r="C210" s="5" t="str">
        <f>'MEDIÇÃO 04'!E221</f>
        <v>M2</v>
      </c>
      <c r="D210" s="5"/>
      <c r="E210" s="5"/>
    </row>
    <row r="211" spans="1:5" ht="45" x14ac:dyDescent="0.25">
      <c r="A211" s="5" t="str">
        <f>'MEDIÇÃO 04'!A222</f>
        <v>14.7</v>
      </c>
      <c r="B211" s="15" t="str">
        <f>'MEDIÇÃO 04'!C222</f>
        <v>PINTURA TINTA DE ACABAMENTO (PIGMENTADA) ESMALTE SINTÉTICO FOSCO EM MADEIRA, 2 DEMÃOS. AF_01/2021</v>
      </c>
      <c r="C211" s="5" t="str">
        <f>'MEDIÇÃO 04'!E222</f>
        <v>M2</v>
      </c>
      <c r="D211" s="5"/>
      <c r="E211" s="5"/>
    </row>
    <row r="212" spans="1:5" ht="75" x14ac:dyDescent="0.25">
      <c r="A212" s="5" t="str">
        <f>'MEDIÇÃO 04'!A223</f>
        <v>14.8</v>
      </c>
      <c r="B212" s="15" t="str">
        <f>'MEDIÇÃO 04'!C223</f>
        <v>PINTURA COM TINTA ALQUÍDICA DE FUNDO E ACABAMENTO (ESMALTE SINTÉTICO GRAFITE) APLICADA A ROLO OU PINCEL SOBRE PERFIL METÁLICO EXECUTADO EM FÁBRICA (POR DEMÃO). AF_01/2020</v>
      </c>
      <c r="C212" s="5" t="str">
        <f>'MEDIÇÃO 04'!E223</f>
        <v>M2</v>
      </c>
      <c r="D212" s="5"/>
      <c r="E212" s="5"/>
    </row>
    <row r="213" spans="1:5" ht="60" x14ac:dyDescent="0.25">
      <c r="A213" s="5" t="str">
        <f>'MEDIÇÃO 04'!A224</f>
        <v>14.9</v>
      </c>
      <c r="B213" s="15" t="str">
        <f>'MEDIÇÃO 04'!C224</f>
        <v>PINTURA COM TINTA ALQUÍDICA DE FUNDO (TIPO ZARCÃO) APLICADA A ROLO OU PINCEL SOBRE PERFIL METÁLICO EXECUTADO EM FÁBRICA (POR DEMÃO). AF_01/2020</v>
      </c>
      <c r="C213" s="5" t="str">
        <f>'MEDIÇÃO 04'!E224</f>
        <v>M2</v>
      </c>
      <c r="D213" s="5"/>
      <c r="E213" s="5"/>
    </row>
    <row r="214" spans="1:5" x14ac:dyDescent="0.25">
      <c r="A214" s="16" t="str">
        <f>'MEDIÇÃO 04'!A226</f>
        <v>15</v>
      </c>
      <c r="B214" s="148" t="str">
        <f>'MEDIÇÃO 04'!B226:P226</f>
        <v>SERVIÇOS COMPLEMENTARES</v>
      </c>
      <c r="C214" s="148"/>
      <c r="D214" s="148"/>
      <c r="E214" s="148"/>
    </row>
    <row r="215" spans="1:5" x14ac:dyDescent="0.25">
      <c r="A215" s="5" t="str">
        <f>'MEDIÇÃO 04'!A227</f>
        <v>15.1</v>
      </c>
      <c r="B215" s="5" t="str">
        <f>'MEDIÇÃO 04'!C227</f>
        <v>Limpeza geral</v>
      </c>
      <c r="C215" s="5" t="str">
        <f>'MEDIÇÃO 04'!E227</f>
        <v>m2</v>
      </c>
      <c r="D215" s="5"/>
      <c r="E215" s="5"/>
    </row>
    <row r="216" spans="1:5" x14ac:dyDescent="0.25">
      <c r="A216" s="5" t="str">
        <f>'MEDIÇÃO 04'!A228</f>
        <v>15.2</v>
      </c>
      <c r="B216" s="5" t="str">
        <f>'MEDIÇÃO 04'!C228</f>
        <v>Escada de ferro com guarda corpo</v>
      </c>
      <c r="C216" s="5" t="str">
        <f>'MEDIÇÃO 04'!E228</f>
        <v>m</v>
      </c>
      <c r="D216" s="5"/>
      <c r="E216" s="5"/>
    </row>
    <row r="219" spans="1:5" ht="45" x14ac:dyDescent="0.25">
      <c r="A219" s="26" t="s">
        <v>618</v>
      </c>
      <c r="B219" s="25">
        <f>B223+B224</f>
        <v>1.2036532184674478</v>
      </c>
    </row>
    <row r="220" spans="1:5" x14ac:dyDescent="0.25">
      <c r="A220" s="25" t="s">
        <v>619</v>
      </c>
      <c r="B220" s="25">
        <v>0.35</v>
      </c>
    </row>
    <row r="221" spans="1:5" x14ac:dyDescent="0.25">
      <c r="A221" s="25" t="s">
        <v>620</v>
      </c>
      <c r="B221" s="25">
        <f>1.95*1.85</f>
        <v>3.6074999999999999</v>
      </c>
    </row>
    <row r="222" spans="1:5" x14ac:dyDescent="0.25">
      <c r="A222" s="25" t="s">
        <v>621</v>
      </c>
      <c r="B222" s="25">
        <f>0.2*0.3</f>
        <v>0.06</v>
      </c>
    </row>
    <row r="223" spans="1:5" ht="30" x14ac:dyDescent="0.25">
      <c r="A223" s="26" t="s">
        <v>622</v>
      </c>
      <c r="B223" s="25">
        <f>((B220/3)*((B221+B222)+(SQRT(B221*B222))))</f>
        <v>0.48215321846744785</v>
      </c>
    </row>
    <row r="224" spans="1:5" ht="30" x14ac:dyDescent="0.25">
      <c r="A224" s="26" t="s">
        <v>623</v>
      </c>
      <c r="B224" s="25">
        <f>1.95*1.85*0.2</f>
        <v>0.72150000000000003</v>
      </c>
    </row>
  </sheetData>
  <mergeCells count="24">
    <mergeCell ref="C1:E3"/>
    <mergeCell ref="C4:E5"/>
    <mergeCell ref="A1:B5"/>
    <mergeCell ref="N1:P2"/>
    <mergeCell ref="N4:P4"/>
    <mergeCell ref="B143:E143"/>
    <mergeCell ref="B204:E204"/>
    <mergeCell ref="B214:E214"/>
    <mergeCell ref="B56:E56"/>
    <mergeCell ref="B65:E65"/>
    <mergeCell ref="B71:E71"/>
    <mergeCell ref="B86:E86"/>
    <mergeCell ref="B89:E89"/>
    <mergeCell ref="B95:E95"/>
    <mergeCell ref="B45:E45"/>
    <mergeCell ref="A7:E7"/>
    <mergeCell ref="A6:E6"/>
    <mergeCell ref="A9:E9"/>
    <mergeCell ref="B10:E10"/>
    <mergeCell ref="B15:E15"/>
    <mergeCell ref="B19:E19"/>
    <mergeCell ref="B28:E28"/>
    <mergeCell ref="B32:E32"/>
    <mergeCell ref="B43:E43"/>
  </mergeCells>
  <pageMargins left="0.511811024" right="0.511811024" top="0.78740157499999996" bottom="0.78740157499999996" header="0.31496062000000002" footer="0.31496062000000002"/>
  <pageSetup paperSize="9" scale="56" fitToHeight="0" orientation="landscape" horizontalDpi="360" verticalDpi="360" r:id="rId1"/>
  <rowBreaks count="14" manualBreakCount="14">
    <brk id="27" max="5" man="1"/>
    <brk id="42" max="5" man="1"/>
    <brk id="55" max="5" man="1"/>
    <brk id="58" max="5" man="1"/>
    <brk id="64" max="5" man="1"/>
    <brk id="69" max="5" man="1"/>
    <brk id="85" max="5" man="1"/>
    <brk id="98" max="5" man="1"/>
    <brk id="113" max="5" man="1"/>
    <brk id="131" max="5" man="1"/>
    <brk id="150" max="5" man="1"/>
    <brk id="168" max="5" man="1"/>
    <brk id="187" max="5" man="1"/>
    <brk id="202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42"/>
  <sheetViews>
    <sheetView view="pageBreakPreview" zoomScale="60" zoomScaleNormal="50" workbookViewId="0">
      <selection activeCell="J5" sqref="J5:AH7"/>
    </sheetView>
  </sheetViews>
  <sheetFormatPr defaultRowHeight="15" x14ac:dyDescent="0.25"/>
  <cols>
    <col min="2" max="2" width="5.85546875" customWidth="1"/>
    <col min="3" max="3" width="4.140625" customWidth="1"/>
    <col min="30" max="30" width="10.5703125" bestFit="1" customWidth="1"/>
  </cols>
  <sheetData>
    <row r="1" spans="1:34" ht="15" customHeight="1" x14ac:dyDescent="0.25">
      <c r="A1" s="206" t="s">
        <v>611</v>
      </c>
      <c r="B1" s="207"/>
      <c r="C1" s="207"/>
      <c r="D1" s="207"/>
      <c r="E1" s="207"/>
      <c r="F1" s="207"/>
      <c r="G1" s="207"/>
      <c r="H1" s="207"/>
      <c r="I1" s="208"/>
      <c r="J1" s="212" t="s">
        <v>790</v>
      </c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4"/>
    </row>
    <row r="2" spans="1:34" ht="15" customHeight="1" x14ac:dyDescent="0.25">
      <c r="A2" s="206"/>
      <c r="B2" s="207"/>
      <c r="C2" s="207"/>
      <c r="D2" s="207"/>
      <c r="E2" s="207"/>
      <c r="F2" s="207"/>
      <c r="G2" s="207"/>
      <c r="H2" s="207"/>
      <c r="I2" s="208"/>
      <c r="J2" s="212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4"/>
    </row>
    <row r="3" spans="1:34" ht="15.75" customHeight="1" x14ac:dyDescent="0.25">
      <c r="A3" s="206"/>
      <c r="B3" s="207"/>
      <c r="C3" s="207"/>
      <c r="D3" s="207"/>
      <c r="E3" s="207"/>
      <c r="F3" s="207"/>
      <c r="G3" s="207"/>
      <c r="H3" s="207"/>
      <c r="I3" s="208"/>
      <c r="J3" s="212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4"/>
    </row>
    <row r="4" spans="1:34" ht="15" customHeight="1" x14ac:dyDescent="0.25">
      <c r="A4" s="206"/>
      <c r="B4" s="207"/>
      <c r="C4" s="207"/>
      <c r="D4" s="207"/>
      <c r="E4" s="207"/>
      <c r="F4" s="207"/>
      <c r="G4" s="207"/>
      <c r="H4" s="207"/>
      <c r="I4" s="208"/>
      <c r="J4" s="212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4"/>
    </row>
    <row r="5" spans="1:34" ht="15" customHeight="1" x14ac:dyDescent="0.25">
      <c r="A5" s="206"/>
      <c r="B5" s="207"/>
      <c r="C5" s="207"/>
      <c r="D5" s="207"/>
      <c r="E5" s="207"/>
      <c r="F5" s="207"/>
      <c r="G5" s="207"/>
      <c r="H5" s="207"/>
      <c r="I5" s="208"/>
      <c r="J5" s="215" t="s">
        <v>613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7"/>
    </row>
    <row r="6" spans="1:34" x14ac:dyDescent="0.25">
      <c r="A6" s="206"/>
      <c r="B6" s="207"/>
      <c r="C6" s="207"/>
      <c r="D6" s="207"/>
      <c r="E6" s="207"/>
      <c r="F6" s="207"/>
      <c r="G6" s="207"/>
      <c r="H6" s="207"/>
      <c r="I6" s="208"/>
      <c r="J6" s="215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7"/>
    </row>
    <row r="7" spans="1:34" ht="15" customHeight="1" x14ac:dyDescent="0.25">
      <c r="A7" s="209"/>
      <c r="B7" s="210"/>
      <c r="C7" s="210"/>
      <c r="D7" s="210"/>
      <c r="E7" s="210"/>
      <c r="F7" s="210"/>
      <c r="G7" s="210"/>
      <c r="H7" s="210"/>
      <c r="I7" s="211"/>
      <c r="J7" s="215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7"/>
    </row>
    <row r="8" spans="1:34" x14ac:dyDescent="0.2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</row>
    <row r="9" spans="1:34" x14ac:dyDescent="0.25">
      <c r="A9" s="185" t="s">
        <v>0</v>
      </c>
      <c r="B9" s="186"/>
      <c r="C9" s="186"/>
      <c r="D9" s="187" t="s">
        <v>2</v>
      </c>
      <c r="E9" s="187"/>
      <c r="F9" s="187"/>
      <c r="G9" s="187"/>
      <c r="H9" s="187"/>
      <c r="I9" s="187"/>
      <c r="J9" s="186" t="s">
        <v>626</v>
      </c>
      <c r="K9" s="178" t="s">
        <v>627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 t="s">
        <v>628</v>
      </c>
      <c r="X9" s="178"/>
      <c r="Y9" s="178"/>
      <c r="Z9" s="178"/>
      <c r="AA9" s="178"/>
      <c r="AB9" s="178"/>
      <c r="AC9" s="178"/>
      <c r="AD9" s="178"/>
      <c r="AE9" s="178"/>
      <c r="AF9" s="186" t="s">
        <v>629</v>
      </c>
      <c r="AG9" s="186"/>
      <c r="AH9" s="188"/>
    </row>
    <row r="10" spans="1:34" x14ac:dyDescent="0.25">
      <c r="A10" s="185"/>
      <c r="B10" s="186"/>
      <c r="C10" s="186"/>
      <c r="D10" s="187"/>
      <c r="E10" s="187"/>
      <c r="F10" s="187"/>
      <c r="G10" s="187"/>
      <c r="H10" s="187"/>
      <c r="I10" s="187"/>
      <c r="J10" s="186"/>
      <c r="K10" s="178" t="s">
        <v>630</v>
      </c>
      <c r="L10" s="178"/>
      <c r="M10" s="178" t="s">
        <v>631</v>
      </c>
      <c r="N10" s="178"/>
      <c r="O10" s="178" t="s">
        <v>632</v>
      </c>
      <c r="P10" s="178"/>
      <c r="Q10" s="178" t="s">
        <v>633</v>
      </c>
      <c r="R10" s="178"/>
      <c r="S10" s="178" t="s">
        <v>634</v>
      </c>
      <c r="T10" s="178"/>
      <c r="U10" s="178" t="s">
        <v>635</v>
      </c>
      <c r="V10" s="178"/>
      <c r="W10" s="178" t="s">
        <v>636</v>
      </c>
      <c r="X10" s="178"/>
      <c r="Y10" s="178"/>
      <c r="Z10" s="178" t="s">
        <v>617</v>
      </c>
      <c r="AA10" s="178"/>
      <c r="AB10" s="178"/>
      <c r="AC10" s="178" t="s">
        <v>637</v>
      </c>
      <c r="AD10" s="178"/>
      <c r="AE10" s="178"/>
      <c r="AF10" s="186"/>
      <c r="AG10" s="186"/>
      <c r="AH10" s="188"/>
    </row>
    <row r="11" spans="1:34" x14ac:dyDescent="0.25">
      <c r="A11" s="185"/>
      <c r="B11" s="186"/>
      <c r="C11" s="186"/>
      <c r="D11" s="187"/>
      <c r="E11" s="187"/>
      <c r="F11" s="187"/>
      <c r="G11" s="187"/>
      <c r="H11" s="187"/>
      <c r="I11" s="187"/>
      <c r="J11" s="186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86"/>
      <c r="AG11" s="186"/>
      <c r="AH11" s="188"/>
    </row>
    <row r="12" spans="1:34" x14ac:dyDescent="0.25">
      <c r="A12" s="42"/>
      <c r="B12" s="4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5"/>
    </row>
    <row r="13" spans="1:34" ht="15.75" x14ac:dyDescent="0.25">
      <c r="A13" s="179" t="s">
        <v>638</v>
      </c>
      <c r="B13" s="180"/>
      <c r="C13" s="181"/>
      <c r="D13" s="182" t="s">
        <v>27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4"/>
    </row>
    <row r="14" spans="1:34" x14ac:dyDescent="0.25">
      <c r="A14" s="46"/>
      <c r="B14" s="47"/>
      <c r="C14" s="47"/>
      <c r="D14" s="47"/>
      <c r="E14" s="47"/>
      <c r="F14" s="48"/>
      <c r="G14" s="48"/>
      <c r="H14" s="48"/>
      <c r="I14" s="48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0"/>
    </row>
    <row r="15" spans="1:34" ht="15.75" x14ac:dyDescent="0.25">
      <c r="A15" s="189" t="s">
        <v>639</v>
      </c>
      <c r="B15" s="190"/>
      <c r="C15" s="191"/>
      <c r="D15" s="192" t="s">
        <v>640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4"/>
      <c r="AC15" s="195">
        <f>SUM(Z16:AB40)</f>
        <v>1090.4227250000001</v>
      </c>
      <c r="AD15" s="190"/>
      <c r="AE15" s="191"/>
      <c r="AF15" s="195" t="s">
        <v>44</v>
      </c>
      <c r="AG15" s="190"/>
      <c r="AH15" s="196"/>
    </row>
    <row r="16" spans="1:34" ht="15.75" x14ac:dyDescent="0.25">
      <c r="A16" s="197"/>
      <c r="B16" s="198"/>
      <c r="C16" s="199"/>
      <c r="D16" s="200" t="s">
        <v>641</v>
      </c>
      <c r="E16" s="201"/>
      <c r="F16" s="201"/>
      <c r="G16" s="201"/>
      <c r="H16" s="201"/>
      <c r="I16" s="201"/>
      <c r="J16" s="63"/>
      <c r="K16" s="202">
        <v>16.52</v>
      </c>
      <c r="L16" s="199"/>
      <c r="M16" s="202"/>
      <c r="N16" s="199"/>
      <c r="O16" s="202">
        <v>12.16</v>
      </c>
      <c r="P16" s="199"/>
      <c r="Q16" s="202"/>
      <c r="R16" s="199"/>
      <c r="S16" s="202">
        <v>1.2</v>
      </c>
      <c r="T16" s="199"/>
      <c r="U16" s="202">
        <v>1.2</v>
      </c>
      <c r="V16" s="199"/>
      <c r="W16" s="203">
        <f t="shared" ref="W16:W25" si="0">ROUND(K16*O16,2)</f>
        <v>200.88</v>
      </c>
      <c r="X16" s="204"/>
      <c r="Y16" s="205"/>
      <c r="Z16" s="203">
        <f t="shared" ref="Z16:Z40" si="1">W16*((S16+U16)/2)</f>
        <v>241.05599999999998</v>
      </c>
      <c r="AA16" s="204"/>
      <c r="AB16" s="205"/>
      <c r="AC16" s="51"/>
      <c r="AD16" s="52"/>
      <c r="AE16" s="53"/>
      <c r="AF16" s="51"/>
      <c r="AG16" s="52"/>
      <c r="AH16" s="54"/>
    </row>
    <row r="17" spans="1:34" ht="15.75" x14ac:dyDescent="0.25">
      <c r="A17" s="55"/>
      <c r="B17" s="56"/>
      <c r="C17" s="57"/>
      <c r="D17" s="200" t="s">
        <v>642</v>
      </c>
      <c r="E17" s="201"/>
      <c r="F17" s="201"/>
      <c r="G17" s="201"/>
      <c r="H17" s="201"/>
      <c r="I17" s="201"/>
      <c r="J17" s="63"/>
      <c r="K17" s="202">
        <v>8</v>
      </c>
      <c r="L17" s="199"/>
      <c r="M17" s="202"/>
      <c r="N17" s="199"/>
      <c r="O17" s="202">
        <v>5.6</v>
      </c>
      <c r="P17" s="199"/>
      <c r="Q17" s="202"/>
      <c r="R17" s="199"/>
      <c r="S17" s="202">
        <v>1.2</v>
      </c>
      <c r="T17" s="199"/>
      <c r="U17" s="202">
        <v>1.2</v>
      </c>
      <c r="V17" s="199"/>
      <c r="W17" s="203">
        <f t="shared" si="0"/>
        <v>44.8</v>
      </c>
      <c r="X17" s="204"/>
      <c r="Y17" s="205"/>
      <c r="Z17" s="203">
        <f t="shared" si="1"/>
        <v>53.76</v>
      </c>
      <c r="AA17" s="204"/>
      <c r="AB17" s="205"/>
      <c r="AC17" s="51"/>
      <c r="AD17" s="52"/>
      <c r="AE17" s="53"/>
      <c r="AF17" s="51"/>
      <c r="AG17" s="52"/>
      <c r="AH17" s="54"/>
    </row>
    <row r="18" spans="1:34" ht="15.75" x14ac:dyDescent="0.25">
      <c r="A18" s="55"/>
      <c r="B18" s="56"/>
      <c r="C18" s="57"/>
      <c r="D18" s="200" t="s">
        <v>643</v>
      </c>
      <c r="E18" s="201"/>
      <c r="F18" s="201"/>
      <c r="G18" s="201"/>
      <c r="H18" s="201"/>
      <c r="I18" s="201"/>
      <c r="J18" s="64"/>
      <c r="K18" s="202">
        <v>8</v>
      </c>
      <c r="L18" s="199"/>
      <c r="M18" s="202"/>
      <c r="N18" s="199"/>
      <c r="O18" s="202">
        <v>5.6</v>
      </c>
      <c r="P18" s="199"/>
      <c r="Q18" s="202"/>
      <c r="R18" s="199"/>
      <c r="S18" s="202">
        <v>1.2</v>
      </c>
      <c r="T18" s="199"/>
      <c r="U18" s="202">
        <v>1.2</v>
      </c>
      <c r="V18" s="199"/>
      <c r="W18" s="203">
        <f t="shared" si="0"/>
        <v>44.8</v>
      </c>
      <c r="X18" s="204"/>
      <c r="Y18" s="205"/>
      <c r="Z18" s="203">
        <f t="shared" si="1"/>
        <v>53.76</v>
      </c>
      <c r="AA18" s="204"/>
      <c r="AB18" s="205"/>
      <c r="AC18" s="51"/>
      <c r="AD18" s="52"/>
      <c r="AE18" s="53"/>
      <c r="AF18" s="51"/>
      <c r="AG18" s="52"/>
      <c r="AH18" s="54"/>
    </row>
    <row r="19" spans="1:34" ht="15.75" x14ac:dyDescent="0.25">
      <c r="A19" s="55"/>
      <c r="B19" s="56"/>
      <c r="C19" s="57"/>
      <c r="D19" s="200" t="s">
        <v>644</v>
      </c>
      <c r="E19" s="201"/>
      <c r="F19" s="201"/>
      <c r="G19" s="201"/>
      <c r="H19" s="201"/>
      <c r="I19" s="201"/>
      <c r="J19" s="64"/>
      <c r="K19" s="202">
        <v>8</v>
      </c>
      <c r="L19" s="199"/>
      <c r="M19" s="202"/>
      <c r="N19" s="199"/>
      <c r="O19" s="202">
        <v>5.6</v>
      </c>
      <c r="P19" s="199"/>
      <c r="Q19" s="202"/>
      <c r="R19" s="199"/>
      <c r="S19" s="202">
        <v>1.2</v>
      </c>
      <c r="T19" s="199"/>
      <c r="U19" s="202">
        <v>1.2</v>
      </c>
      <c r="V19" s="199"/>
      <c r="W19" s="203">
        <f t="shared" si="0"/>
        <v>44.8</v>
      </c>
      <c r="X19" s="204"/>
      <c r="Y19" s="205"/>
      <c r="Z19" s="203">
        <f t="shared" si="1"/>
        <v>53.76</v>
      </c>
      <c r="AA19" s="204"/>
      <c r="AB19" s="205"/>
      <c r="AC19" s="51"/>
      <c r="AD19" s="52"/>
      <c r="AE19" s="53"/>
      <c r="AF19" s="51"/>
      <c r="AG19" s="52"/>
      <c r="AH19" s="54"/>
    </row>
    <row r="20" spans="1:34" ht="15.75" x14ac:dyDescent="0.25">
      <c r="A20" s="55"/>
      <c r="B20" s="56"/>
      <c r="C20" s="57"/>
      <c r="D20" s="200" t="s">
        <v>645</v>
      </c>
      <c r="E20" s="201"/>
      <c r="F20" s="201"/>
      <c r="G20" s="201"/>
      <c r="H20" s="201"/>
      <c r="I20" s="201"/>
      <c r="J20" s="63"/>
      <c r="K20" s="202">
        <v>8</v>
      </c>
      <c r="L20" s="199"/>
      <c r="M20" s="202"/>
      <c r="N20" s="199"/>
      <c r="O20" s="202">
        <v>5.6</v>
      </c>
      <c r="P20" s="199"/>
      <c r="Q20" s="202"/>
      <c r="R20" s="199"/>
      <c r="S20" s="202">
        <v>1.2</v>
      </c>
      <c r="T20" s="199"/>
      <c r="U20" s="202">
        <v>1.2</v>
      </c>
      <c r="V20" s="199"/>
      <c r="W20" s="203">
        <f t="shared" si="0"/>
        <v>44.8</v>
      </c>
      <c r="X20" s="204"/>
      <c r="Y20" s="205"/>
      <c r="Z20" s="203">
        <f t="shared" si="1"/>
        <v>53.76</v>
      </c>
      <c r="AA20" s="204"/>
      <c r="AB20" s="205"/>
      <c r="AC20" s="51"/>
      <c r="AD20" s="52"/>
      <c r="AE20" s="53"/>
      <c r="AF20" s="51"/>
      <c r="AG20" s="52"/>
      <c r="AH20" s="54"/>
    </row>
    <row r="21" spans="1:34" ht="15.75" x14ac:dyDescent="0.25">
      <c r="A21" s="55"/>
      <c r="B21" s="56"/>
      <c r="C21" s="57"/>
      <c r="D21" s="200" t="s">
        <v>646</v>
      </c>
      <c r="E21" s="201"/>
      <c r="F21" s="201"/>
      <c r="G21" s="201"/>
      <c r="H21" s="201"/>
      <c r="I21" s="201"/>
      <c r="J21" s="63"/>
      <c r="K21" s="202">
        <v>8</v>
      </c>
      <c r="L21" s="199"/>
      <c r="M21" s="202"/>
      <c r="N21" s="199"/>
      <c r="O21" s="202">
        <v>5.6</v>
      </c>
      <c r="P21" s="199"/>
      <c r="Q21" s="202"/>
      <c r="R21" s="199"/>
      <c r="S21" s="202">
        <v>1.2</v>
      </c>
      <c r="T21" s="199"/>
      <c r="U21" s="202">
        <v>1.2</v>
      </c>
      <c r="V21" s="199"/>
      <c r="W21" s="203">
        <f t="shared" si="0"/>
        <v>44.8</v>
      </c>
      <c r="X21" s="204"/>
      <c r="Y21" s="205"/>
      <c r="Z21" s="203">
        <f t="shared" si="1"/>
        <v>53.76</v>
      </c>
      <c r="AA21" s="204"/>
      <c r="AB21" s="205"/>
      <c r="AC21" s="51"/>
      <c r="AD21" s="52"/>
      <c r="AE21" s="53"/>
      <c r="AF21" s="51"/>
      <c r="AG21" s="52"/>
      <c r="AH21" s="54"/>
    </row>
    <row r="22" spans="1:34" ht="15.75" x14ac:dyDescent="0.25">
      <c r="A22" s="55"/>
      <c r="B22" s="56"/>
      <c r="C22" s="57"/>
      <c r="D22" s="200" t="s">
        <v>647</v>
      </c>
      <c r="E22" s="201"/>
      <c r="F22" s="201"/>
      <c r="G22" s="201"/>
      <c r="H22" s="201"/>
      <c r="I22" s="201"/>
      <c r="J22" s="63"/>
      <c r="K22" s="202">
        <v>8</v>
      </c>
      <c r="L22" s="199"/>
      <c r="M22" s="202"/>
      <c r="N22" s="199"/>
      <c r="O22" s="202">
        <v>5.6</v>
      </c>
      <c r="P22" s="199"/>
      <c r="Q22" s="202"/>
      <c r="R22" s="199"/>
      <c r="S22" s="202">
        <v>1.2</v>
      </c>
      <c r="T22" s="199"/>
      <c r="U22" s="202">
        <v>1.2</v>
      </c>
      <c r="V22" s="199"/>
      <c r="W22" s="203">
        <f t="shared" si="0"/>
        <v>44.8</v>
      </c>
      <c r="X22" s="204"/>
      <c r="Y22" s="205"/>
      <c r="Z22" s="203">
        <f t="shared" si="1"/>
        <v>53.76</v>
      </c>
      <c r="AA22" s="204"/>
      <c r="AB22" s="205"/>
      <c r="AC22" s="51"/>
      <c r="AD22" s="52"/>
      <c r="AE22" s="53"/>
      <c r="AF22" s="51"/>
      <c r="AG22" s="52"/>
      <c r="AH22" s="54"/>
    </row>
    <row r="23" spans="1:34" ht="15.75" x14ac:dyDescent="0.25">
      <c r="A23" s="55"/>
      <c r="B23" s="56"/>
      <c r="C23" s="57"/>
      <c r="D23" s="200" t="s">
        <v>648</v>
      </c>
      <c r="E23" s="201"/>
      <c r="F23" s="201"/>
      <c r="G23" s="201"/>
      <c r="H23" s="201"/>
      <c r="I23" s="201"/>
      <c r="J23" s="63"/>
      <c r="K23" s="202">
        <v>3</v>
      </c>
      <c r="L23" s="199"/>
      <c r="M23" s="202"/>
      <c r="N23" s="199"/>
      <c r="O23" s="202">
        <v>4</v>
      </c>
      <c r="P23" s="199"/>
      <c r="Q23" s="202"/>
      <c r="R23" s="199"/>
      <c r="S23" s="202">
        <v>1</v>
      </c>
      <c r="T23" s="199"/>
      <c r="U23" s="202">
        <v>1</v>
      </c>
      <c r="V23" s="199"/>
      <c r="W23" s="203">
        <f t="shared" si="0"/>
        <v>12</v>
      </c>
      <c r="X23" s="204"/>
      <c r="Y23" s="205"/>
      <c r="Z23" s="203">
        <f t="shared" si="1"/>
        <v>12</v>
      </c>
      <c r="AA23" s="204"/>
      <c r="AB23" s="205"/>
      <c r="AC23" s="51"/>
      <c r="AD23" s="52"/>
      <c r="AE23" s="53"/>
      <c r="AF23" s="51"/>
      <c r="AG23" s="52"/>
      <c r="AH23" s="54"/>
    </row>
    <row r="24" spans="1:34" ht="15.75" x14ac:dyDescent="0.25">
      <c r="A24" s="197"/>
      <c r="B24" s="198"/>
      <c r="C24" s="199"/>
      <c r="D24" s="200" t="s">
        <v>649</v>
      </c>
      <c r="E24" s="201"/>
      <c r="F24" s="201"/>
      <c r="G24" s="201"/>
      <c r="H24" s="201"/>
      <c r="I24" s="201"/>
      <c r="J24" s="63"/>
      <c r="K24" s="202">
        <v>4.8499999999999996</v>
      </c>
      <c r="L24" s="199"/>
      <c r="M24" s="202"/>
      <c r="N24" s="199"/>
      <c r="O24" s="202">
        <v>4</v>
      </c>
      <c r="P24" s="199"/>
      <c r="Q24" s="202"/>
      <c r="R24" s="199"/>
      <c r="S24" s="202">
        <v>1</v>
      </c>
      <c r="T24" s="199"/>
      <c r="U24" s="202">
        <v>1</v>
      </c>
      <c r="V24" s="199"/>
      <c r="W24" s="203">
        <f t="shared" si="0"/>
        <v>19.399999999999999</v>
      </c>
      <c r="X24" s="204"/>
      <c r="Y24" s="205"/>
      <c r="Z24" s="203">
        <f t="shared" si="1"/>
        <v>19.399999999999999</v>
      </c>
      <c r="AA24" s="204"/>
      <c r="AB24" s="205"/>
      <c r="AC24" s="51"/>
      <c r="AD24" s="52"/>
      <c r="AE24" s="53"/>
      <c r="AF24" s="51"/>
      <c r="AG24" s="52"/>
      <c r="AH24" s="54"/>
    </row>
    <row r="25" spans="1:34" ht="15.75" x14ac:dyDescent="0.25">
      <c r="A25" s="197"/>
      <c r="B25" s="198"/>
      <c r="C25" s="199"/>
      <c r="D25" s="200" t="s">
        <v>650</v>
      </c>
      <c r="E25" s="201"/>
      <c r="F25" s="201"/>
      <c r="G25" s="201"/>
      <c r="H25" s="201"/>
      <c r="I25" s="201"/>
      <c r="J25" s="63"/>
      <c r="K25" s="202">
        <v>1.41</v>
      </c>
      <c r="L25" s="199"/>
      <c r="M25" s="202"/>
      <c r="N25" s="199"/>
      <c r="O25" s="202">
        <v>1.7</v>
      </c>
      <c r="P25" s="199"/>
      <c r="Q25" s="202"/>
      <c r="R25" s="199"/>
      <c r="S25" s="202">
        <v>1</v>
      </c>
      <c r="T25" s="199"/>
      <c r="U25" s="202">
        <v>1</v>
      </c>
      <c r="V25" s="199"/>
      <c r="W25" s="203">
        <f t="shared" si="0"/>
        <v>2.4</v>
      </c>
      <c r="X25" s="204"/>
      <c r="Y25" s="205"/>
      <c r="Z25" s="203">
        <f t="shared" si="1"/>
        <v>2.4</v>
      </c>
      <c r="AA25" s="204"/>
      <c r="AB25" s="205"/>
      <c r="AC25" s="51"/>
      <c r="AD25" s="52"/>
      <c r="AE25" s="53"/>
      <c r="AF25" s="51"/>
      <c r="AG25" s="52"/>
      <c r="AH25" s="54"/>
    </row>
    <row r="26" spans="1:34" ht="15.75" x14ac:dyDescent="0.25">
      <c r="A26" s="197"/>
      <c r="B26" s="198"/>
      <c r="C26" s="199"/>
      <c r="D26" s="200" t="s">
        <v>651</v>
      </c>
      <c r="E26" s="201"/>
      <c r="F26" s="201"/>
      <c r="G26" s="201"/>
      <c r="H26" s="201"/>
      <c r="I26" s="201"/>
      <c r="J26" s="63"/>
      <c r="K26" s="202">
        <v>6.45</v>
      </c>
      <c r="L26" s="199"/>
      <c r="M26" s="202">
        <v>1.41</v>
      </c>
      <c r="N26" s="199"/>
      <c r="O26" s="202">
        <v>5.3</v>
      </c>
      <c r="P26" s="199"/>
      <c r="Q26" s="202">
        <v>1.67</v>
      </c>
      <c r="R26" s="199"/>
      <c r="S26" s="202">
        <v>1</v>
      </c>
      <c r="T26" s="199"/>
      <c r="U26" s="202">
        <v>1</v>
      </c>
      <c r="V26" s="199"/>
      <c r="W26" s="203">
        <f>ROUND(K26*O26,2)+(M26*Q26)</f>
        <v>36.544699999999999</v>
      </c>
      <c r="X26" s="204"/>
      <c r="Y26" s="205"/>
      <c r="Z26" s="203">
        <f t="shared" si="1"/>
        <v>36.544699999999999</v>
      </c>
      <c r="AA26" s="204"/>
      <c r="AB26" s="205"/>
      <c r="AC26" s="51"/>
      <c r="AD26" s="52"/>
      <c r="AE26" s="53"/>
      <c r="AF26" s="51"/>
      <c r="AG26" s="52"/>
      <c r="AH26" s="54"/>
    </row>
    <row r="27" spans="1:34" ht="15.75" x14ac:dyDescent="0.25">
      <c r="A27" s="197"/>
      <c r="B27" s="198"/>
      <c r="C27" s="199"/>
      <c r="D27" s="200" t="s">
        <v>652</v>
      </c>
      <c r="E27" s="201"/>
      <c r="F27" s="201"/>
      <c r="G27" s="201"/>
      <c r="H27" s="201"/>
      <c r="I27" s="201"/>
      <c r="J27" s="63"/>
      <c r="K27" s="202">
        <v>1.45</v>
      </c>
      <c r="L27" s="199"/>
      <c r="M27" s="202"/>
      <c r="N27" s="199"/>
      <c r="O27" s="202">
        <v>1.65</v>
      </c>
      <c r="P27" s="199"/>
      <c r="Q27" s="202"/>
      <c r="R27" s="199"/>
      <c r="S27" s="202">
        <v>1</v>
      </c>
      <c r="T27" s="199"/>
      <c r="U27" s="202">
        <v>1</v>
      </c>
      <c r="V27" s="199"/>
      <c r="W27" s="203">
        <f>ROUND(K27*O27,2)</f>
        <v>2.39</v>
      </c>
      <c r="X27" s="204"/>
      <c r="Y27" s="205"/>
      <c r="Z27" s="203">
        <f t="shared" si="1"/>
        <v>2.39</v>
      </c>
      <c r="AA27" s="204"/>
      <c r="AB27" s="205"/>
      <c r="AC27" s="51"/>
      <c r="AD27" s="52"/>
      <c r="AE27" s="53"/>
      <c r="AF27" s="51"/>
      <c r="AG27" s="52"/>
      <c r="AH27" s="54"/>
    </row>
    <row r="28" spans="1:34" ht="15.75" x14ac:dyDescent="0.25">
      <c r="A28" s="197"/>
      <c r="B28" s="198"/>
      <c r="C28" s="199"/>
      <c r="D28" s="200" t="s">
        <v>653</v>
      </c>
      <c r="E28" s="201"/>
      <c r="F28" s="201"/>
      <c r="G28" s="201"/>
      <c r="H28" s="201"/>
      <c r="I28" s="201"/>
      <c r="J28" s="63"/>
      <c r="K28" s="202">
        <v>8</v>
      </c>
      <c r="L28" s="199"/>
      <c r="M28" s="202"/>
      <c r="N28" s="199"/>
      <c r="O28" s="202">
        <v>5.7</v>
      </c>
      <c r="P28" s="199"/>
      <c r="Q28" s="202"/>
      <c r="R28" s="199"/>
      <c r="S28" s="202">
        <v>1</v>
      </c>
      <c r="T28" s="199"/>
      <c r="U28" s="202">
        <v>0.9</v>
      </c>
      <c r="V28" s="199"/>
      <c r="W28" s="203">
        <f>ROUND(K28*O28,2)</f>
        <v>45.6</v>
      </c>
      <c r="X28" s="204"/>
      <c r="Y28" s="205"/>
      <c r="Z28" s="203">
        <f t="shared" si="1"/>
        <v>43.32</v>
      </c>
      <c r="AA28" s="204"/>
      <c r="AB28" s="205"/>
      <c r="AC28" s="51"/>
      <c r="AD28" s="52"/>
      <c r="AE28" s="53"/>
      <c r="AF28" s="51"/>
      <c r="AG28" s="52"/>
      <c r="AH28" s="54"/>
    </row>
    <row r="29" spans="1:34" ht="15.75" x14ac:dyDescent="0.25">
      <c r="A29" s="55"/>
      <c r="B29" s="56"/>
      <c r="C29" s="57"/>
      <c r="D29" s="58" t="s">
        <v>654</v>
      </c>
      <c r="E29" s="59"/>
      <c r="F29" s="59"/>
      <c r="G29" s="59"/>
      <c r="H29" s="59"/>
      <c r="I29" s="59"/>
      <c r="J29" s="63"/>
      <c r="K29" s="202">
        <v>8.01</v>
      </c>
      <c r="L29" s="199"/>
      <c r="M29" s="202"/>
      <c r="N29" s="199"/>
      <c r="O29" s="202">
        <v>9</v>
      </c>
      <c r="P29" s="199"/>
      <c r="Q29" s="202"/>
      <c r="R29" s="199"/>
      <c r="S29" s="202">
        <v>1</v>
      </c>
      <c r="T29" s="199"/>
      <c r="U29" s="202">
        <v>0.9</v>
      </c>
      <c r="V29" s="199"/>
      <c r="W29" s="203">
        <f>ROUND(K29*O29,2)</f>
        <v>72.09</v>
      </c>
      <c r="X29" s="204"/>
      <c r="Y29" s="205"/>
      <c r="Z29" s="203">
        <f t="shared" si="1"/>
        <v>68.485500000000002</v>
      </c>
      <c r="AA29" s="204"/>
      <c r="AB29" s="205"/>
      <c r="AC29" s="51"/>
      <c r="AD29" s="52"/>
      <c r="AE29" s="53"/>
      <c r="AF29" s="51"/>
      <c r="AG29" s="52"/>
      <c r="AH29" s="54"/>
    </row>
    <row r="30" spans="1:34" ht="15.75" x14ac:dyDescent="0.25">
      <c r="A30" s="55"/>
      <c r="B30" s="56"/>
      <c r="C30" s="57"/>
      <c r="D30" s="58" t="s">
        <v>655</v>
      </c>
      <c r="E30" s="59"/>
      <c r="F30" s="59"/>
      <c r="G30" s="59"/>
      <c r="H30" s="59"/>
      <c r="I30" s="59"/>
      <c r="J30" s="63"/>
      <c r="K30" s="202">
        <v>4.5</v>
      </c>
      <c r="L30" s="199"/>
      <c r="M30" s="202">
        <v>1.54</v>
      </c>
      <c r="N30" s="199"/>
      <c r="O30" s="202">
        <v>3</v>
      </c>
      <c r="P30" s="199"/>
      <c r="Q30" s="202">
        <v>3</v>
      </c>
      <c r="R30" s="199"/>
      <c r="S30" s="202">
        <v>1</v>
      </c>
      <c r="T30" s="199"/>
      <c r="U30" s="202">
        <v>1</v>
      </c>
      <c r="V30" s="199"/>
      <c r="W30" s="203">
        <f>ROUND(K30*O30,2)+(M30*Q30)</f>
        <v>18.12</v>
      </c>
      <c r="X30" s="204"/>
      <c r="Y30" s="205"/>
      <c r="Z30" s="203">
        <f t="shared" si="1"/>
        <v>18.12</v>
      </c>
      <c r="AA30" s="204"/>
      <c r="AB30" s="205"/>
      <c r="AC30" s="51"/>
      <c r="AD30" s="52"/>
      <c r="AE30" s="53"/>
      <c r="AF30" s="51"/>
      <c r="AG30" s="52"/>
      <c r="AH30" s="54"/>
    </row>
    <row r="31" spans="1:34" ht="15.75" x14ac:dyDescent="0.25">
      <c r="A31" s="55"/>
      <c r="B31" s="56"/>
      <c r="C31" s="57"/>
      <c r="D31" s="58" t="s">
        <v>656</v>
      </c>
      <c r="E31" s="59"/>
      <c r="F31" s="59"/>
      <c r="G31" s="59"/>
      <c r="H31" s="59"/>
      <c r="I31" s="59"/>
      <c r="J31" s="63"/>
      <c r="K31" s="202">
        <v>4.5</v>
      </c>
      <c r="L31" s="199"/>
      <c r="M31" s="202">
        <v>1.54</v>
      </c>
      <c r="N31" s="199"/>
      <c r="O31" s="202">
        <v>3</v>
      </c>
      <c r="P31" s="199"/>
      <c r="Q31" s="202">
        <v>3</v>
      </c>
      <c r="R31" s="199"/>
      <c r="S31" s="202">
        <v>1</v>
      </c>
      <c r="T31" s="199"/>
      <c r="U31" s="202">
        <v>1</v>
      </c>
      <c r="V31" s="199"/>
      <c r="W31" s="203">
        <f>ROUND(K31*O31,2)+(M31*Q31)</f>
        <v>18.12</v>
      </c>
      <c r="X31" s="204"/>
      <c r="Y31" s="205"/>
      <c r="Z31" s="203">
        <f t="shared" si="1"/>
        <v>18.12</v>
      </c>
      <c r="AA31" s="204"/>
      <c r="AB31" s="205"/>
      <c r="AC31" s="51"/>
      <c r="AD31" s="52"/>
      <c r="AE31" s="53"/>
      <c r="AF31" s="51"/>
      <c r="AG31" s="52"/>
      <c r="AH31" s="54"/>
    </row>
    <row r="32" spans="1:34" ht="15.75" x14ac:dyDescent="0.25">
      <c r="A32" s="55"/>
      <c r="B32" s="56"/>
      <c r="C32" s="57"/>
      <c r="D32" s="58" t="s">
        <v>657</v>
      </c>
      <c r="E32" s="59"/>
      <c r="F32" s="59"/>
      <c r="G32" s="59"/>
      <c r="H32" s="59"/>
      <c r="I32" s="59"/>
      <c r="J32" s="63"/>
      <c r="K32" s="202">
        <v>1.5</v>
      </c>
      <c r="L32" s="199"/>
      <c r="M32" s="202"/>
      <c r="N32" s="199"/>
      <c r="O32" s="202">
        <v>3</v>
      </c>
      <c r="P32" s="199"/>
      <c r="Q32" s="202"/>
      <c r="R32" s="199"/>
      <c r="S32" s="202">
        <v>1.1000000000000001</v>
      </c>
      <c r="T32" s="199"/>
      <c r="U32" s="202">
        <v>1.1000000000000001</v>
      </c>
      <c r="V32" s="199"/>
      <c r="W32" s="203">
        <f>ROUND(K32*O32,2)</f>
        <v>4.5</v>
      </c>
      <c r="X32" s="204"/>
      <c r="Y32" s="205"/>
      <c r="Z32" s="203">
        <f t="shared" si="1"/>
        <v>4.95</v>
      </c>
      <c r="AA32" s="204"/>
      <c r="AB32" s="205"/>
      <c r="AC32" s="51"/>
      <c r="AD32" s="52"/>
      <c r="AE32" s="53"/>
      <c r="AF32" s="51"/>
      <c r="AG32" s="52"/>
      <c r="AH32" s="54"/>
    </row>
    <row r="33" spans="1:34" ht="15.75" x14ac:dyDescent="0.25">
      <c r="A33" s="55"/>
      <c r="B33" s="56"/>
      <c r="C33" s="57"/>
      <c r="D33" s="58" t="s">
        <v>658</v>
      </c>
      <c r="E33" s="59"/>
      <c r="F33" s="59"/>
      <c r="G33" s="59"/>
      <c r="H33" s="59"/>
      <c r="I33" s="59"/>
      <c r="J33" s="63"/>
      <c r="K33" s="202">
        <v>2.5</v>
      </c>
      <c r="L33" s="199"/>
      <c r="M33" s="202"/>
      <c r="N33" s="199"/>
      <c r="O33" s="202">
        <v>3.15</v>
      </c>
      <c r="P33" s="199"/>
      <c r="Q33" s="202"/>
      <c r="R33" s="199"/>
      <c r="S33" s="202">
        <v>1.1000000000000001</v>
      </c>
      <c r="T33" s="199"/>
      <c r="U33" s="202">
        <v>1.1000000000000001</v>
      </c>
      <c r="V33" s="199"/>
      <c r="W33" s="203">
        <f>ROUND(K33*O33,2)</f>
        <v>7.88</v>
      </c>
      <c r="X33" s="204"/>
      <c r="Y33" s="205"/>
      <c r="Z33" s="203">
        <f t="shared" si="1"/>
        <v>8.668000000000001</v>
      </c>
      <c r="AA33" s="204"/>
      <c r="AB33" s="205"/>
      <c r="AC33" s="51"/>
      <c r="AD33" s="52"/>
      <c r="AE33" s="53"/>
      <c r="AF33" s="51"/>
      <c r="AG33" s="52"/>
      <c r="AH33" s="54"/>
    </row>
    <row r="34" spans="1:34" ht="15.75" x14ac:dyDescent="0.25">
      <c r="A34" s="55"/>
      <c r="B34" s="56"/>
      <c r="C34" s="57"/>
      <c r="D34" s="58" t="s">
        <v>659</v>
      </c>
      <c r="E34" s="59"/>
      <c r="F34" s="59"/>
      <c r="G34" s="59"/>
      <c r="H34" s="59"/>
      <c r="I34" s="59"/>
      <c r="J34" s="63"/>
      <c r="K34" s="202">
        <v>7.85</v>
      </c>
      <c r="L34" s="199"/>
      <c r="M34" s="202"/>
      <c r="N34" s="199"/>
      <c r="O34" s="202">
        <v>3</v>
      </c>
      <c r="P34" s="199"/>
      <c r="Q34" s="202"/>
      <c r="R34" s="199"/>
      <c r="S34" s="202">
        <v>1.1000000000000001</v>
      </c>
      <c r="T34" s="199"/>
      <c r="U34" s="202">
        <v>1.1000000000000001</v>
      </c>
      <c r="V34" s="199"/>
      <c r="W34" s="203">
        <f>ROUND(K34*O34,2)</f>
        <v>23.55</v>
      </c>
      <c r="X34" s="204"/>
      <c r="Y34" s="205"/>
      <c r="Z34" s="203">
        <f t="shared" si="1"/>
        <v>25.905000000000001</v>
      </c>
      <c r="AA34" s="204"/>
      <c r="AB34" s="205"/>
      <c r="AC34" s="51"/>
      <c r="AD34" s="52"/>
      <c r="AE34" s="53"/>
      <c r="AF34" s="51"/>
      <c r="AG34" s="52"/>
      <c r="AH34" s="54"/>
    </row>
    <row r="35" spans="1:34" ht="15.75" x14ac:dyDescent="0.25">
      <c r="A35" s="55"/>
      <c r="B35" s="56"/>
      <c r="C35" s="57"/>
      <c r="D35" s="58" t="s">
        <v>660</v>
      </c>
      <c r="E35" s="59"/>
      <c r="F35" s="59"/>
      <c r="G35" s="59"/>
      <c r="H35" s="59"/>
      <c r="I35" s="59"/>
      <c r="J35" s="63"/>
      <c r="K35" s="202">
        <v>4.9000000000000004</v>
      </c>
      <c r="L35" s="199"/>
      <c r="M35" s="202"/>
      <c r="N35" s="199"/>
      <c r="O35" s="202">
        <v>3.15</v>
      </c>
      <c r="P35" s="199"/>
      <c r="Q35" s="202"/>
      <c r="R35" s="199"/>
      <c r="S35" s="202">
        <v>1.1000000000000001</v>
      </c>
      <c r="T35" s="199"/>
      <c r="U35" s="202">
        <v>1.1000000000000001</v>
      </c>
      <c r="V35" s="199"/>
      <c r="W35" s="203">
        <f>ROUND(K35*O35,2)</f>
        <v>15.44</v>
      </c>
      <c r="X35" s="204"/>
      <c r="Y35" s="205"/>
      <c r="Z35" s="203">
        <f t="shared" si="1"/>
        <v>16.984000000000002</v>
      </c>
      <c r="AA35" s="204"/>
      <c r="AB35" s="205"/>
      <c r="AC35" s="51"/>
      <c r="AD35" s="52"/>
      <c r="AE35" s="53"/>
      <c r="AF35" s="51"/>
      <c r="AG35" s="52"/>
      <c r="AH35" s="54"/>
    </row>
    <row r="36" spans="1:34" ht="15.75" x14ac:dyDescent="0.25">
      <c r="A36" s="55"/>
      <c r="B36" s="56"/>
      <c r="C36" s="57"/>
      <c r="D36" s="58" t="s">
        <v>661</v>
      </c>
      <c r="E36" s="59"/>
      <c r="F36" s="59"/>
      <c r="G36" s="59"/>
      <c r="H36" s="59"/>
      <c r="I36" s="59"/>
      <c r="J36" s="63"/>
      <c r="K36" s="202">
        <v>1.8</v>
      </c>
      <c r="L36" s="199"/>
      <c r="M36" s="202"/>
      <c r="N36" s="199"/>
      <c r="O36" s="202">
        <v>3</v>
      </c>
      <c r="P36" s="199"/>
      <c r="Q36" s="202"/>
      <c r="R36" s="199"/>
      <c r="S36" s="202">
        <v>1.1000000000000001</v>
      </c>
      <c r="T36" s="199"/>
      <c r="U36" s="202">
        <v>1.1000000000000001</v>
      </c>
      <c r="V36" s="199"/>
      <c r="W36" s="203">
        <f>ROUND(K36*O36,2)</f>
        <v>5.4</v>
      </c>
      <c r="X36" s="204"/>
      <c r="Y36" s="205"/>
      <c r="Z36" s="203">
        <f t="shared" si="1"/>
        <v>5.9400000000000013</v>
      </c>
      <c r="AA36" s="204"/>
      <c r="AB36" s="205"/>
      <c r="AC36" s="51"/>
      <c r="AD36" s="52"/>
      <c r="AE36" s="53"/>
      <c r="AF36" s="51"/>
      <c r="AG36" s="52"/>
      <c r="AH36" s="54"/>
    </row>
    <row r="37" spans="1:34" ht="15.75" x14ac:dyDescent="0.25">
      <c r="A37" s="60"/>
      <c r="B37" s="61"/>
      <c r="C37" s="62"/>
      <c r="D37" s="58" t="s">
        <v>662</v>
      </c>
      <c r="E37" s="59"/>
      <c r="F37" s="59"/>
      <c r="G37" s="59"/>
      <c r="H37" s="59"/>
      <c r="I37" s="59"/>
      <c r="J37" s="63"/>
      <c r="K37" s="202">
        <v>12.15</v>
      </c>
      <c r="L37" s="199"/>
      <c r="M37" s="202">
        <v>8</v>
      </c>
      <c r="N37" s="199"/>
      <c r="O37" s="202">
        <v>5</v>
      </c>
      <c r="P37" s="199"/>
      <c r="Q37" s="202">
        <v>5</v>
      </c>
      <c r="R37" s="199"/>
      <c r="S37" s="202">
        <v>1.1000000000000001</v>
      </c>
      <c r="T37" s="199"/>
      <c r="U37" s="202">
        <v>1</v>
      </c>
      <c r="V37" s="199"/>
      <c r="W37" s="203">
        <f>ROUND(K37*O37,2)+(M37*Q37)</f>
        <v>100.75</v>
      </c>
      <c r="X37" s="204"/>
      <c r="Y37" s="205"/>
      <c r="Z37" s="203">
        <f t="shared" si="1"/>
        <v>105.78750000000001</v>
      </c>
      <c r="AA37" s="204"/>
      <c r="AB37" s="205"/>
      <c r="AC37" s="51"/>
      <c r="AD37" s="52"/>
      <c r="AE37" s="53"/>
      <c r="AF37" s="51"/>
      <c r="AG37" s="52"/>
      <c r="AH37" s="54"/>
    </row>
    <row r="38" spans="1:34" ht="15.75" x14ac:dyDescent="0.25">
      <c r="A38" s="60"/>
      <c r="B38" s="61"/>
      <c r="C38" s="62"/>
      <c r="D38" s="58" t="s">
        <v>663</v>
      </c>
      <c r="E38" s="59"/>
      <c r="F38" s="59"/>
      <c r="G38" s="59"/>
      <c r="H38" s="59"/>
      <c r="I38" s="59"/>
      <c r="J38" s="63"/>
      <c r="K38" s="202">
        <v>8</v>
      </c>
      <c r="L38" s="199"/>
      <c r="M38" s="202"/>
      <c r="N38" s="199"/>
      <c r="O38" s="202">
        <v>5</v>
      </c>
      <c r="P38" s="199"/>
      <c r="Q38" s="202"/>
      <c r="R38" s="199"/>
      <c r="S38" s="202">
        <v>1.1000000000000001</v>
      </c>
      <c r="T38" s="199"/>
      <c r="U38" s="202">
        <v>1</v>
      </c>
      <c r="V38" s="199"/>
      <c r="W38" s="203">
        <f>ROUND(K38*O38,2)</f>
        <v>40</v>
      </c>
      <c r="X38" s="204"/>
      <c r="Y38" s="205"/>
      <c r="Z38" s="203">
        <f t="shared" si="1"/>
        <v>42</v>
      </c>
      <c r="AA38" s="204"/>
      <c r="AB38" s="205"/>
      <c r="AC38" s="51"/>
      <c r="AD38" s="52"/>
      <c r="AE38" s="53"/>
      <c r="AF38" s="51"/>
      <c r="AG38" s="52"/>
      <c r="AH38" s="54"/>
    </row>
    <row r="39" spans="1:34" ht="15.75" x14ac:dyDescent="0.25">
      <c r="A39" s="60"/>
      <c r="B39" s="61"/>
      <c r="C39" s="62"/>
      <c r="D39" s="58" t="s">
        <v>664</v>
      </c>
      <c r="E39" s="59"/>
      <c r="F39" s="59"/>
      <c r="G39" s="59"/>
      <c r="H39" s="59"/>
      <c r="I39" s="59"/>
      <c r="J39" s="63"/>
      <c r="K39" s="202">
        <v>2.2000000000000002</v>
      </c>
      <c r="L39" s="199"/>
      <c r="M39" s="202">
        <v>1.67</v>
      </c>
      <c r="N39" s="199"/>
      <c r="O39" s="202">
        <v>15</v>
      </c>
      <c r="P39" s="199"/>
      <c r="Q39" s="202">
        <v>6.15</v>
      </c>
      <c r="R39" s="199"/>
      <c r="S39" s="202">
        <v>1.1000000000000001</v>
      </c>
      <c r="T39" s="199"/>
      <c r="U39" s="202">
        <v>1</v>
      </c>
      <c r="V39" s="199"/>
      <c r="W39" s="203">
        <f>ROUND(K39*O39,2)+(M39*Q39)</f>
        <v>43.270499999999998</v>
      </c>
      <c r="X39" s="204"/>
      <c r="Y39" s="205"/>
      <c r="Z39" s="203">
        <f t="shared" si="1"/>
        <v>45.434024999999998</v>
      </c>
      <c r="AA39" s="204"/>
      <c r="AB39" s="205"/>
      <c r="AC39" s="51"/>
      <c r="AD39" s="52"/>
      <c r="AE39" s="53"/>
      <c r="AF39" s="51"/>
      <c r="AG39" s="52"/>
      <c r="AH39" s="54"/>
    </row>
    <row r="40" spans="1:34" ht="15.75" x14ac:dyDescent="0.25">
      <c r="A40" s="60"/>
      <c r="B40" s="61"/>
      <c r="C40" s="62"/>
      <c r="D40" s="58" t="s">
        <v>665</v>
      </c>
      <c r="E40" s="59"/>
      <c r="F40" s="59"/>
      <c r="G40" s="59"/>
      <c r="H40" s="59"/>
      <c r="I40" s="59"/>
      <c r="J40" s="63"/>
      <c r="K40" s="202">
        <v>2.2000000000000002</v>
      </c>
      <c r="L40" s="199"/>
      <c r="M40" s="202">
        <v>0</v>
      </c>
      <c r="N40" s="199"/>
      <c r="O40" s="202">
        <v>21.8</v>
      </c>
      <c r="P40" s="199"/>
      <c r="Q40" s="202">
        <v>0</v>
      </c>
      <c r="R40" s="199"/>
      <c r="S40" s="202">
        <v>1.1000000000000001</v>
      </c>
      <c r="T40" s="199"/>
      <c r="U40" s="202">
        <v>1</v>
      </c>
      <c r="V40" s="199"/>
      <c r="W40" s="203">
        <f>ROUND(K40*O40,2)</f>
        <v>47.96</v>
      </c>
      <c r="X40" s="204"/>
      <c r="Y40" s="205"/>
      <c r="Z40" s="203">
        <f t="shared" si="1"/>
        <v>50.358000000000004</v>
      </c>
      <c r="AA40" s="204"/>
      <c r="AB40" s="205"/>
      <c r="AC40" s="51"/>
      <c r="AD40" s="52"/>
      <c r="AE40" s="53"/>
      <c r="AF40" s="51"/>
      <c r="AG40" s="52"/>
      <c r="AH40" s="54"/>
    </row>
    <row r="42" spans="1:34" x14ac:dyDescent="0.25">
      <c r="AD42" s="70">
        <f>AC15</f>
        <v>1090.4227250000001</v>
      </c>
    </row>
  </sheetData>
  <protectedRanges>
    <protectedRange sqref="AC16:AC40 AB9:AC15" name="Intervalo1_1"/>
  </protectedRanges>
  <mergeCells count="243">
    <mergeCell ref="A1:I7"/>
    <mergeCell ref="J1:AH4"/>
    <mergeCell ref="J5:AH7"/>
    <mergeCell ref="Z39:AB39"/>
    <mergeCell ref="K40:L40"/>
    <mergeCell ref="M40:N40"/>
    <mergeCell ref="O40:P40"/>
    <mergeCell ref="Q40:R40"/>
    <mergeCell ref="S40:T40"/>
    <mergeCell ref="U40:V40"/>
    <mergeCell ref="W40:Y40"/>
    <mergeCell ref="Z40:AB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U37:V37"/>
    <mergeCell ref="W37:Y37"/>
    <mergeCell ref="Z37:AB37"/>
    <mergeCell ref="K38:L38"/>
    <mergeCell ref="M38:N38"/>
    <mergeCell ref="O38:P38"/>
    <mergeCell ref="Q38:R38"/>
    <mergeCell ref="S38:T38"/>
    <mergeCell ref="U38:V38"/>
    <mergeCell ref="K37:L37"/>
    <mergeCell ref="M37:N37"/>
    <mergeCell ref="O37:P37"/>
    <mergeCell ref="Q37:R37"/>
    <mergeCell ref="S37:T37"/>
    <mergeCell ref="K35:L35"/>
    <mergeCell ref="M35:N35"/>
    <mergeCell ref="O35:P35"/>
    <mergeCell ref="Q35:R35"/>
    <mergeCell ref="S35:T35"/>
    <mergeCell ref="U35:V35"/>
    <mergeCell ref="W35:Y35"/>
    <mergeCell ref="Z35:AB35"/>
    <mergeCell ref="K36:L36"/>
    <mergeCell ref="M36:N36"/>
    <mergeCell ref="O36:P36"/>
    <mergeCell ref="Q36:R36"/>
    <mergeCell ref="S36:T36"/>
    <mergeCell ref="U36:V36"/>
    <mergeCell ref="W36:Y36"/>
    <mergeCell ref="Z36:AB36"/>
    <mergeCell ref="U33:V33"/>
    <mergeCell ref="W33:Y33"/>
    <mergeCell ref="Z33:AB33"/>
    <mergeCell ref="K34:L34"/>
    <mergeCell ref="M34:N34"/>
    <mergeCell ref="O34:P34"/>
    <mergeCell ref="Q34:R34"/>
    <mergeCell ref="S34:T34"/>
    <mergeCell ref="U34:V34"/>
    <mergeCell ref="K33:L33"/>
    <mergeCell ref="M33:N33"/>
    <mergeCell ref="O33:P33"/>
    <mergeCell ref="Q33:R33"/>
    <mergeCell ref="S33:T33"/>
    <mergeCell ref="W34:Y34"/>
    <mergeCell ref="Z34:AB34"/>
    <mergeCell ref="K31:L31"/>
    <mergeCell ref="M31:N31"/>
    <mergeCell ref="O31:P31"/>
    <mergeCell ref="Q31:R31"/>
    <mergeCell ref="S31:T31"/>
    <mergeCell ref="U31:V31"/>
    <mergeCell ref="W31:Y31"/>
    <mergeCell ref="Z31:AB31"/>
    <mergeCell ref="K32:L32"/>
    <mergeCell ref="M32:N32"/>
    <mergeCell ref="O32:P32"/>
    <mergeCell ref="Q32:R32"/>
    <mergeCell ref="S32:T32"/>
    <mergeCell ref="U32:V32"/>
    <mergeCell ref="W32:Y32"/>
    <mergeCell ref="Z32:AB32"/>
    <mergeCell ref="U29:V29"/>
    <mergeCell ref="W29:Y29"/>
    <mergeCell ref="Z29:AB29"/>
    <mergeCell ref="K30:L30"/>
    <mergeCell ref="M30:N30"/>
    <mergeCell ref="O30:P30"/>
    <mergeCell ref="Q30:R30"/>
    <mergeCell ref="S30:T30"/>
    <mergeCell ref="U30:V30"/>
    <mergeCell ref="K29:L29"/>
    <mergeCell ref="M29:N29"/>
    <mergeCell ref="O29:P29"/>
    <mergeCell ref="Q29:R29"/>
    <mergeCell ref="S29:T29"/>
    <mergeCell ref="W30:Y30"/>
    <mergeCell ref="Z30:AB30"/>
    <mergeCell ref="Q28:R28"/>
    <mergeCell ref="S28:T28"/>
    <mergeCell ref="U28:V28"/>
    <mergeCell ref="W28:Y28"/>
    <mergeCell ref="Z28:AB28"/>
    <mergeCell ref="Q27:R27"/>
    <mergeCell ref="S27:T27"/>
    <mergeCell ref="U27:V27"/>
    <mergeCell ref="W27:Y27"/>
    <mergeCell ref="Z27:AB27"/>
    <mergeCell ref="A28:C28"/>
    <mergeCell ref="D28:I28"/>
    <mergeCell ref="K28:L28"/>
    <mergeCell ref="M28:N28"/>
    <mergeCell ref="A27:C27"/>
    <mergeCell ref="D27:I27"/>
    <mergeCell ref="K27:L27"/>
    <mergeCell ref="M27:N27"/>
    <mergeCell ref="O27:P27"/>
    <mergeCell ref="O28:P28"/>
    <mergeCell ref="Q26:R26"/>
    <mergeCell ref="S26:T26"/>
    <mergeCell ref="U26:V26"/>
    <mergeCell ref="W26:Y26"/>
    <mergeCell ref="Z26:AB26"/>
    <mergeCell ref="Q25:R25"/>
    <mergeCell ref="S25:T25"/>
    <mergeCell ref="U25:V25"/>
    <mergeCell ref="W25:Y25"/>
    <mergeCell ref="Z25:AB25"/>
    <mergeCell ref="A26:C26"/>
    <mergeCell ref="D26:I26"/>
    <mergeCell ref="K26:L26"/>
    <mergeCell ref="M26:N26"/>
    <mergeCell ref="A25:C25"/>
    <mergeCell ref="D25:I25"/>
    <mergeCell ref="K25:L25"/>
    <mergeCell ref="M25:N25"/>
    <mergeCell ref="O25:P25"/>
    <mergeCell ref="O26:P26"/>
    <mergeCell ref="S22:T22"/>
    <mergeCell ref="U22:V22"/>
    <mergeCell ref="W22:Y22"/>
    <mergeCell ref="Z22:AB22"/>
    <mergeCell ref="D23:I23"/>
    <mergeCell ref="K23:L23"/>
    <mergeCell ref="M23:N23"/>
    <mergeCell ref="O23:P23"/>
    <mergeCell ref="O24:P24"/>
    <mergeCell ref="Q24:R24"/>
    <mergeCell ref="S24:T24"/>
    <mergeCell ref="U24:V24"/>
    <mergeCell ref="W24:Y24"/>
    <mergeCell ref="Z24:AB24"/>
    <mergeCell ref="Q23:R23"/>
    <mergeCell ref="S23:T23"/>
    <mergeCell ref="U23:V23"/>
    <mergeCell ref="W23:Y23"/>
    <mergeCell ref="Z23:AB23"/>
    <mergeCell ref="D22:I22"/>
    <mergeCell ref="K22:L22"/>
    <mergeCell ref="M22:N22"/>
    <mergeCell ref="O22:P22"/>
    <mergeCell ref="A24:C24"/>
    <mergeCell ref="D24:I24"/>
    <mergeCell ref="K24:L24"/>
    <mergeCell ref="M24:N24"/>
    <mergeCell ref="Q22:R22"/>
    <mergeCell ref="D21:I21"/>
    <mergeCell ref="K21:L21"/>
    <mergeCell ref="M21:N21"/>
    <mergeCell ref="O21:P21"/>
    <mergeCell ref="Q21:R21"/>
    <mergeCell ref="S21:T21"/>
    <mergeCell ref="U21:V21"/>
    <mergeCell ref="W21:Y21"/>
    <mergeCell ref="Z21:AB21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D19:I19"/>
    <mergeCell ref="K19:L19"/>
    <mergeCell ref="M19:N19"/>
    <mergeCell ref="O19:P19"/>
    <mergeCell ref="Q19:R19"/>
    <mergeCell ref="S19:T19"/>
    <mergeCell ref="U19:V19"/>
    <mergeCell ref="W19:Y19"/>
    <mergeCell ref="Z19:AB19"/>
    <mergeCell ref="D18:I18"/>
    <mergeCell ref="K18:L18"/>
    <mergeCell ref="M18:N18"/>
    <mergeCell ref="O18:P18"/>
    <mergeCell ref="Q18:R18"/>
    <mergeCell ref="S18:T18"/>
    <mergeCell ref="U18:V18"/>
    <mergeCell ref="W18:Y18"/>
    <mergeCell ref="Z18:AB18"/>
    <mergeCell ref="D17:I17"/>
    <mergeCell ref="K17:L17"/>
    <mergeCell ref="M17:N17"/>
    <mergeCell ref="O17:P17"/>
    <mergeCell ref="Q17:R17"/>
    <mergeCell ref="S17:T17"/>
    <mergeCell ref="U17:V17"/>
    <mergeCell ref="W17:Y17"/>
    <mergeCell ref="Z17:AB17"/>
    <mergeCell ref="A15:C15"/>
    <mergeCell ref="D15:AB15"/>
    <mergeCell ref="AC15:AE15"/>
    <mergeCell ref="AF15:AH15"/>
    <mergeCell ref="A16:C16"/>
    <mergeCell ref="D16:I16"/>
    <mergeCell ref="K16:L16"/>
    <mergeCell ref="M16:N16"/>
    <mergeCell ref="O16:P16"/>
    <mergeCell ref="Q16:R16"/>
    <mergeCell ref="S16:T16"/>
    <mergeCell ref="U16:V16"/>
    <mergeCell ref="W16:Y16"/>
    <mergeCell ref="Z16:AB16"/>
    <mergeCell ref="S10:T11"/>
    <mergeCell ref="U10:V11"/>
    <mergeCell ref="W10:Y11"/>
    <mergeCell ref="Z10:AB11"/>
    <mergeCell ref="AC10:AE11"/>
    <mergeCell ref="A13:C13"/>
    <mergeCell ref="D13:AH13"/>
    <mergeCell ref="A9:C11"/>
    <mergeCell ref="D9:I11"/>
    <mergeCell ref="J9:J11"/>
    <mergeCell ref="K9:V9"/>
    <mergeCell ref="W9:AE9"/>
    <mergeCell ref="AF9:AH11"/>
    <mergeCell ref="K10:L11"/>
    <mergeCell ref="M10:N11"/>
    <mergeCell ref="O10:P11"/>
    <mergeCell ref="Q10:R11"/>
  </mergeCells>
  <pageMargins left="0.511811024" right="0.511811024" top="0.78740157499999996" bottom="0.78740157499999996" header="0.31496062000000002" footer="0.31496062000000002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"/>
  <sheetViews>
    <sheetView view="pageBreakPreview" topLeftCell="B49" zoomScale="60" zoomScaleNormal="100"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pageSetup paperSize="9" scale="45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491"/>
  <sheetViews>
    <sheetView view="pageBreakPreview" zoomScale="50" zoomScaleNormal="50" zoomScaleSheetLayoutView="50" workbookViewId="0">
      <selection activeCell="J5" sqref="J5:AH7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206" t="s">
        <v>611</v>
      </c>
      <c r="B1" s="207"/>
      <c r="C1" s="207"/>
      <c r="D1" s="207"/>
      <c r="E1" s="207"/>
      <c r="F1" s="207"/>
      <c r="G1" s="207"/>
      <c r="H1" s="207"/>
      <c r="I1" s="208"/>
      <c r="J1" s="212" t="s">
        <v>791</v>
      </c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4"/>
    </row>
    <row r="2" spans="1:35" x14ac:dyDescent="0.25">
      <c r="A2" s="206"/>
      <c r="B2" s="207"/>
      <c r="C2" s="207"/>
      <c r="D2" s="207"/>
      <c r="E2" s="207"/>
      <c r="F2" s="207"/>
      <c r="G2" s="207"/>
      <c r="H2" s="207"/>
      <c r="I2" s="208"/>
      <c r="J2" s="212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4"/>
    </row>
    <row r="3" spans="1:35" x14ac:dyDescent="0.25">
      <c r="A3" s="206"/>
      <c r="B3" s="207"/>
      <c r="C3" s="207"/>
      <c r="D3" s="207"/>
      <c r="E3" s="207"/>
      <c r="F3" s="207"/>
      <c r="G3" s="207"/>
      <c r="H3" s="207"/>
      <c r="I3" s="208"/>
      <c r="J3" s="212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4"/>
    </row>
    <row r="4" spans="1:35" x14ac:dyDescent="0.25">
      <c r="A4" s="206"/>
      <c r="B4" s="207"/>
      <c r="C4" s="207"/>
      <c r="D4" s="207"/>
      <c r="E4" s="207"/>
      <c r="F4" s="207"/>
      <c r="G4" s="207"/>
      <c r="H4" s="207"/>
      <c r="I4" s="208"/>
      <c r="J4" s="212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4"/>
    </row>
    <row r="5" spans="1:35" x14ac:dyDescent="0.25">
      <c r="A5" s="206"/>
      <c r="B5" s="207"/>
      <c r="C5" s="207"/>
      <c r="D5" s="207"/>
      <c r="E5" s="207"/>
      <c r="F5" s="207"/>
      <c r="G5" s="207"/>
      <c r="H5" s="207"/>
      <c r="I5" s="208"/>
      <c r="J5" s="215" t="s">
        <v>613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7"/>
    </row>
    <row r="6" spans="1:35" x14ac:dyDescent="0.25">
      <c r="A6" s="206"/>
      <c r="B6" s="207"/>
      <c r="C6" s="207"/>
      <c r="D6" s="207"/>
      <c r="E6" s="207"/>
      <c r="F6" s="207"/>
      <c r="G6" s="207"/>
      <c r="H6" s="207"/>
      <c r="I6" s="208"/>
      <c r="J6" s="215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7"/>
    </row>
    <row r="7" spans="1:35" x14ac:dyDescent="0.25">
      <c r="A7" s="209"/>
      <c r="B7" s="210"/>
      <c r="C7" s="210"/>
      <c r="D7" s="210"/>
      <c r="E7" s="210"/>
      <c r="F7" s="210"/>
      <c r="G7" s="210"/>
      <c r="H7" s="210"/>
      <c r="I7" s="211"/>
      <c r="J7" s="215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7"/>
    </row>
    <row r="8" spans="1:35" x14ac:dyDescent="0.2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</row>
    <row r="9" spans="1:35" x14ac:dyDescent="0.25">
      <c r="A9" s="185" t="s">
        <v>0</v>
      </c>
      <c r="B9" s="186"/>
      <c r="C9" s="186"/>
      <c r="D9" s="187" t="s">
        <v>2</v>
      </c>
      <c r="E9" s="187"/>
      <c r="F9" s="187"/>
      <c r="G9" s="187"/>
      <c r="H9" s="187"/>
      <c r="I9" s="187"/>
      <c r="J9" s="186" t="s">
        <v>626</v>
      </c>
      <c r="K9" s="178" t="s">
        <v>627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 t="s">
        <v>628</v>
      </c>
      <c r="X9" s="178"/>
      <c r="Y9" s="178"/>
      <c r="Z9" s="178"/>
      <c r="AA9" s="178"/>
      <c r="AB9" s="178"/>
      <c r="AC9" s="178"/>
      <c r="AD9" s="178"/>
      <c r="AE9" s="178"/>
      <c r="AF9" s="186" t="s">
        <v>629</v>
      </c>
      <c r="AG9" s="186"/>
      <c r="AH9" s="188"/>
    </row>
    <row r="10" spans="1:35" x14ac:dyDescent="0.25">
      <c r="A10" s="185"/>
      <c r="B10" s="186"/>
      <c r="C10" s="186"/>
      <c r="D10" s="187"/>
      <c r="E10" s="187"/>
      <c r="F10" s="187"/>
      <c r="G10" s="187"/>
      <c r="H10" s="187"/>
      <c r="I10" s="187"/>
      <c r="J10" s="186"/>
      <c r="K10" s="178" t="s">
        <v>630</v>
      </c>
      <c r="L10" s="178"/>
      <c r="M10" s="178" t="s">
        <v>631</v>
      </c>
      <c r="N10" s="178"/>
      <c r="O10" s="178" t="s">
        <v>632</v>
      </c>
      <c r="P10" s="178"/>
      <c r="Q10" s="178" t="s">
        <v>633</v>
      </c>
      <c r="R10" s="178"/>
      <c r="S10" s="178" t="s">
        <v>634</v>
      </c>
      <c r="T10" s="178"/>
      <c r="U10" s="178" t="s">
        <v>635</v>
      </c>
      <c r="V10" s="178"/>
      <c r="W10" s="178" t="s">
        <v>636</v>
      </c>
      <c r="X10" s="178"/>
      <c r="Y10" s="178"/>
      <c r="Z10" s="178" t="s">
        <v>617</v>
      </c>
      <c r="AA10" s="178"/>
      <c r="AB10" s="178"/>
      <c r="AC10" s="178" t="s">
        <v>637</v>
      </c>
      <c r="AD10" s="178"/>
      <c r="AE10" s="178"/>
      <c r="AF10" s="186"/>
      <c r="AG10" s="186"/>
      <c r="AH10" s="188"/>
    </row>
    <row r="11" spans="1:35" x14ac:dyDescent="0.25">
      <c r="A11" s="185"/>
      <c r="B11" s="186"/>
      <c r="C11" s="186"/>
      <c r="D11" s="187"/>
      <c r="E11" s="187"/>
      <c r="F11" s="187"/>
      <c r="G11" s="187"/>
      <c r="H11" s="187"/>
      <c r="I11" s="187"/>
      <c r="J11" s="186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86"/>
      <c r="AG11" s="186"/>
      <c r="AH11" s="188"/>
    </row>
    <row r="12" spans="1:35" x14ac:dyDescent="0.25">
      <c r="A12" s="42"/>
      <c r="B12" s="4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5"/>
    </row>
    <row r="13" spans="1:35" ht="15.75" x14ac:dyDescent="0.25">
      <c r="A13" s="179" t="str">
        <f>'MEMORIA BM 04'!A32</f>
        <v>5</v>
      </c>
      <c r="B13" s="180"/>
      <c r="C13" s="181"/>
      <c r="D13" s="182">
        <f>'MEMORIA BM 04'!B32:E32</f>
        <v>0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4"/>
    </row>
    <row r="14" spans="1:35" x14ac:dyDescent="0.25">
      <c r="A14" s="46"/>
      <c r="B14" s="47"/>
      <c r="C14" s="47"/>
      <c r="D14" s="47"/>
      <c r="E14" s="47"/>
      <c r="F14" s="48"/>
      <c r="G14" s="48"/>
      <c r="H14" s="48"/>
      <c r="I14" s="48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0"/>
    </row>
    <row r="15" spans="1:35" ht="15.75" x14ac:dyDescent="0.25">
      <c r="A15" s="189" t="str">
        <f>'MEMORIA BM 04'!A33</f>
        <v>5.1</v>
      </c>
      <c r="B15" s="190"/>
      <c r="C15" s="191"/>
      <c r="D15" s="192" t="str">
        <f>'MEMORIA BM 04'!B33</f>
        <v>Forma plana para estruturas, em compensado plastificado de 12mm, 07 usos, inclusive escoramento - Revisada 07.2015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4"/>
      <c r="AC15" s="195">
        <f>SUM(Z16:AB108)</f>
        <v>18.942500000000024</v>
      </c>
      <c r="AD15" s="190"/>
      <c r="AE15" s="191"/>
      <c r="AF15" s="195" t="str">
        <f>'MEMORIA BM 04'!C33</f>
        <v>m2</v>
      </c>
      <c r="AG15" s="190"/>
      <c r="AH15" s="196"/>
      <c r="AI15">
        <v>18.940000000000001</v>
      </c>
    </row>
    <row r="16" spans="1:35" ht="15.75" x14ac:dyDescent="0.25">
      <c r="A16" s="197"/>
      <c r="B16" s="198"/>
      <c r="C16" s="199"/>
      <c r="D16" s="218" t="s">
        <v>667</v>
      </c>
      <c r="E16" s="219"/>
      <c r="F16" s="219"/>
      <c r="G16" s="219"/>
      <c r="H16" s="219"/>
      <c r="I16" s="219"/>
      <c r="J16" s="63"/>
      <c r="K16" s="202">
        <v>0.15</v>
      </c>
      <c r="L16" s="199"/>
      <c r="M16" s="202"/>
      <c r="N16" s="199"/>
      <c r="O16" s="202">
        <v>0.3</v>
      </c>
      <c r="P16" s="199"/>
      <c r="Q16" s="202"/>
      <c r="R16" s="199"/>
      <c r="S16" s="202">
        <f t="shared" ref="S16:S23" si="0">3.4+1.5</f>
        <v>4.9000000000000004</v>
      </c>
      <c r="T16" s="199"/>
      <c r="U16" s="202"/>
      <c r="V16" s="199"/>
      <c r="W16" s="203">
        <f>K16*O16</f>
        <v>4.4999999999999998E-2</v>
      </c>
      <c r="X16" s="204"/>
      <c r="Y16" s="205"/>
      <c r="Z16" s="203">
        <f>W16*S16</f>
        <v>0.2205</v>
      </c>
      <c r="AA16" s="204"/>
      <c r="AB16" s="205"/>
      <c r="AC16" s="51"/>
      <c r="AD16" s="52"/>
      <c r="AE16" s="53"/>
      <c r="AF16" s="51"/>
      <c r="AG16" s="52"/>
      <c r="AH16" s="54"/>
    </row>
    <row r="17" spans="1:34" ht="15.75" x14ac:dyDescent="0.25">
      <c r="A17" s="73"/>
      <c r="B17" s="74"/>
      <c r="C17" s="72"/>
      <c r="D17" s="218" t="s">
        <v>668</v>
      </c>
      <c r="E17" s="219"/>
      <c r="F17" s="219"/>
      <c r="G17" s="219"/>
      <c r="H17" s="219"/>
      <c r="I17" s="219"/>
      <c r="J17" s="63"/>
      <c r="K17" s="202">
        <v>0.2</v>
      </c>
      <c r="L17" s="199"/>
      <c r="M17" s="202"/>
      <c r="N17" s="199"/>
      <c r="O17" s="202">
        <v>0.3</v>
      </c>
      <c r="P17" s="199"/>
      <c r="Q17" s="202"/>
      <c r="R17" s="199"/>
      <c r="S17" s="202">
        <f t="shared" si="0"/>
        <v>4.9000000000000004</v>
      </c>
      <c r="T17" s="199"/>
      <c r="U17" s="202"/>
      <c r="V17" s="199"/>
      <c r="W17" s="203">
        <f>K17*O17</f>
        <v>0.06</v>
      </c>
      <c r="X17" s="204"/>
      <c r="Y17" s="205"/>
      <c r="Z17" s="203">
        <f>W17*S17</f>
        <v>0.29399999999999998</v>
      </c>
      <c r="AA17" s="204"/>
      <c r="AB17" s="205"/>
      <c r="AC17" s="51"/>
      <c r="AD17" s="52"/>
      <c r="AE17" s="53"/>
      <c r="AF17" s="51"/>
      <c r="AG17" s="52"/>
      <c r="AH17" s="54"/>
    </row>
    <row r="18" spans="1:34" ht="15.75" x14ac:dyDescent="0.25">
      <c r="A18" s="73"/>
      <c r="B18" s="74"/>
      <c r="C18" s="72"/>
      <c r="D18" s="218" t="s">
        <v>669</v>
      </c>
      <c r="E18" s="219"/>
      <c r="F18" s="219"/>
      <c r="G18" s="219"/>
      <c r="H18" s="219"/>
      <c r="I18" s="219"/>
      <c r="J18" s="63"/>
      <c r="K18" s="202">
        <v>0.2</v>
      </c>
      <c r="L18" s="199"/>
      <c r="M18" s="202"/>
      <c r="N18" s="199"/>
      <c r="O18" s="202">
        <v>0.3</v>
      </c>
      <c r="P18" s="199"/>
      <c r="Q18" s="202"/>
      <c r="R18" s="199"/>
      <c r="S18" s="202">
        <f t="shared" si="0"/>
        <v>4.9000000000000004</v>
      </c>
      <c r="T18" s="199"/>
      <c r="U18" s="202"/>
      <c r="V18" s="199"/>
      <c r="W18" s="203">
        <f>K18*O18</f>
        <v>0.06</v>
      </c>
      <c r="X18" s="204"/>
      <c r="Y18" s="205"/>
      <c r="Z18" s="203">
        <f>W18*S18</f>
        <v>0.29399999999999998</v>
      </c>
      <c r="AA18" s="204"/>
      <c r="AB18" s="205"/>
      <c r="AC18" s="51"/>
      <c r="AD18" s="52"/>
      <c r="AE18" s="53"/>
      <c r="AF18" s="51"/>
      <c r="AG18" s="52"/>
      <c r="AH18" s="54"/>
    </row>
    <row r="19" spans="1:34" ht="15.75" x14ac:dyDescent="0.25">
      <c r="A19" s="73"/>
      <c r="B19" s="74"/>
      <c r="C19" s="72"/>
      <c r="D19" s="218" t="s">
        <v>670</v>
      </c>
      <c r="E19" s="219"/>
      <c r="F19" s="219"/>
      <c r="G19" s="219"/>
      <c r="H19" s="219"/>
      <c r="I19" s="219"/>
      <c r="J19" s="64"/>
      <c r="K19" s="202">
        <v>0.2</v>
      </c>
      <c r="L19" s="199"/>
      <c r="M19" s="202"/>
      <c r="N19" s="199"/>
      <c r="O19" s="202">
        <v>0.3</v>
      </c>
      <c r="P19" s="199"/>
      <c r="Q19" s="202"/>
      <c r="R19" s="199"/>
      <c r="S19" s="202">
        <f t="shared" si="0"/>
        <v>4.9000000000000004</v>
      </c>
      <c r="T19" s="199"/>
      <c r="U19" s="202"/>
      <c r="V19" s="199"/>
      <c r="W19" s="203">
        <f>K19*O19</f>
        <v>0.06</v>
      </c>
      <c r="X19" s="204"/>
      <c r="Y19" s="205"/>
      <c r="Z19" s="203">
        <f>W19*S19</f>
        <v>0.29399999999999998</v>
      </c>
      <c r="AA19" s="204"/>
      <c r="AB19" s="205"/>
      <c r="AC19" s="51"/>
      <c r="AD19" s="52"/>
      <c r="AE19" s="53"/>
      <c r="AF19" s="51"/>
      <c r="AG19" s="52"/>
      <c r="AH19" s="54"/>
    </row>
    <row r="20" spans="1:34" ht="15.75" x14ac:dyDescent="0.25">
      <c r="A20" s="73"/>
      <c r="B20" s="74"/>
      <c r="C20" s="72"/>
      <c r="D20" s="218" t="s">
        <v>671</v>
      </c>
      <c r="E20" s="219"/>
      <c r="F20" s="219"/>
      <c r="G20" s="219"/>
      <c r="H20" s="219"/>
      <c r="I20" s="219"/>
      <c r="J20" s="63"/>
      <c r="K20" s="202">
        <v>0.15</v>
      </c>
      <c r="L20" s="199"/>
      <c r="M20" s="202"/>
      <c r="N20" s="199"/>
      <c r="O20" s="202">
        <v>0.3</v>
      </c>
      <c r="P20" s="199"/>
      <c r="Q20" s="202"/>
      <c r="R20" s="199"/>
      <c r="S20" s="202">
        <f t="shared" si="0"/>
        <v>4.9000000000000004</v>
      </c>
      <c r="T20" s="199"/>
      <c r="U20" s="202"/>
      <c r="V20" s="199"/>
      <c r="W20" s="203">
        <f>K20*O20</f>
        <v>4.4999999999999998E-2</v>
      </c>
      <c r="X20" s="204"/>
      <c r="Y20" s="205"/>
      <c r="Z20" s="203">
        <f>W20*S20</f>
        <v>0.2205</v>
      </c>
      <c r="AA20" s="204"/>
      <c r="AB20" s="205"/>
      <c r="AC20" s="51"/>
      <c r="AD20" s="52"/>
      <c r="AE20" s="53"/>
      <c r="AF20" s="51"/>
      <c r="AG20" s="52"/>
      <c r="AH20" s="54"/>
    </row>
    <row r="21" spans="1:34" ht="15.75" x14ac:dyDescent="0.25">
      <c r="A21" s="73"/>
      <c r="B21" s="74"/>
      <c r="C21" s="72"/>
      <c r="D21" s="218" t="s">
        <v>672</v>
      </c>
      <c r="E21" s="219"/>
      <c r="F21" s="219"/>
      <c r="G21" s="219"/>
      <c r="H21" s="219"/>
      <c r="I21" s="219"/>
      <c r="J21" s="63"/>
      <c r="K21" s="202">
        <v>0.15</v>
      </c>
      <c r="L21" s="199"/>
      <c r="M21" s="202"/>
      <c r="N21" s="199"/>
      <c r="O21" s="202">
        <v>0.3</v>
      </c>
      <c r="P21" s="199"/>
      <c r="Q21" s="202"/>
      <c r="R21" s="199"/>
      <c r="S21" s="202">
        <f t="shared" si="0"/>
        <v>4.9000000000000004</v>
      </c>
      <c r="T21" s="199"/>
      <c r="U21" s="202"/>
      <c r="V21" s="199"/>
      <c r="W21" s="203">
        <f t="shared" ref="W21:W40" si="1">K21*O21</f>
        <v>4.4999999999999998E-2</v>
      </c>
      <c r="X21" s="204"/>
      <c r="Y21" s="205"/>
      <c r="Z21" s="203">
        <f t="shared" ref="Z21:Z40" si="2">W21*S21</f>
        <v>0.2205</v>
      </c>
      <c r="AA21" s="204"/>
      <c r="AB21" s="205"/>
      <c r="AC21" s="51"/>
      <c r="AD21" s="52"/>
      <c r="AE21" s="53"/>
      <c r="AF21" s="51"/>
      <c r="AG21" s="52"/>
      <c r="AH21" s="54"/>
    </row>
    <row r="22" spans="1:34" ht="15.75" x14ac:dyDescent="0.25">
      <c r="A22" s="73"/>
      <c r="B22" s="74"/>
      <c r="C22" s="72"/>
      <c r="D22" s="218" t="s">
        <v>673</v>
      </c>
      <c r="E22" s="219"/>
      <c r="F22" s="219"/>
      <c r="G22" s="219"/>
      <c r="H22" s="219"/>
      <c r="I22" s="219"/>
      <c r="J22" s="63"/>
      <c r="K22" s="202">
        <v>0.15</v>
      </c>
      <c r="L22" s="199"/>
      <c r="M22" s="202"/>
      <c r="N22" s="199"/>
      <c r="O22" s="202">
        <v>0.3</v>
      </c>
      <c r="P22" s="199"/>
      <c r="Q22" s="202"/>
      <c r="R22" s="199"/>
      <c r="S22" s="202">
        <f t="shared" si="0"/>
        <v>4.9000000000000004</v>
      </c>
      <c r="T22" s="199"/>
      <c r="U22" s="202"/>
      <c r="V22" s="199"/>
      <c r="W22" s="203">
        <f t="shared" si="1"/>
        <v>4.4999999999999998E-2</v>
      </c>
      <c r="X22" s="204"/>
      <c r="Y22" s="205"/>
      <c r="Z22" s="203">
        <f t="shared" si="2"/>
        <v>0.2205</v>
      </c>
      <c r="AA22" s="204"/>
      <c r="AB22" s="205"/>
      <c r="AC22" s="51"/>
      <c r="AD22" s="52"/>
      <c r="AE22" s="53"/>
      <c r="AF22" s="51"/>
      <c r="AG22" s="52"/>
      <c r="AH22" s="54"/>
    </row>
    <row r="23" spans="1:34" ht="15.75" x14ac:dyDescent="0.25">
      <c r="A23" s="73"/>
      <c r="B23" s="74"/>
      <c r="C23" s="72"/>
      <c r="D23" s="218" t="s">
        <v>674</v>
      </c>
      <c r="E23" s="219"/>
      <c r="F23" s="219"/>
      <c r="G23" s="219"/>
      <c r="H23" s="219"/>
      <c r="I23" s="219"/>
      <c r="J23" s="63"/>
      <c r="K23" s="202">
        <v>0.15</v>
      </c>
      <c r="L23" s="199"/>
      <c r="M23" s="202"/>
      <c r="N23" s="199"/>
      <c r="O23" s="202">
        <v>0.3</v>
      </c>
      <c r="P23" s="199"/>
      <c r="Q23" s="202"/>
      <c r="R23" s="199"/>
      <c r="S23" s="202">
        <f t="shared" si="0"/>
        <v>4.9000000000000004</v>
      </c>
      <c r="T23" s="199"/>
      <c r="U23" s="202"/>
      <c r="V23" s="199"/>
      <c r="W23" s="203">
        <f t="shared" si="1"/>
        <v>4.4999999999999998E-2</v>
      </c>
      <c r="X23" s="204"/>
      <c r="Y23" s="205"/>
      <c r="Z23" s="203">
        <f t="shared" si="2"/>
        <v>0.2205</v>
      </c>
      <c r="AA23" s="204"/>
      <c r="AB23" s="205"/>
      <c r="AC23" s="51"/>
      <c r="AD23" s="52"/>
      <c r="AE23" s="53"/>
      <c r="AF23" s="51"/>
      <c r="AG23" s="52"/>
      <c r="AH23" s="54"/>
    </row>
    <row r="24" spans="1:34" ht="15.75" x14ac:dyDescent="0.25">
      <c r="A24" s="197"/>
      <c r="B24" s="198"/>
      <c r="C24" s="199"/>
      <c r="D24" s="218" t="s">
        <v>675</v>
      </c>
      <c r="E24" s="219"/>
      <c r="F24" s="219"/>
      <c r="G24" s="219"/>
      <c r="H24" s="219"/>
      <c r="I24" s="219"/>
      <c r="J24" s="63"/>
      <c r="K24" s="202">
        <v>0.15</v>
      </c>
      <c r="L24" s="199"/>
      <c r="M24" s="202"/>
      <c r="N24" s="199"/>
      <c r="O24" s="202">
        <v>0.3</v>
      </c>
      <c r="P24" s="199"/>
      <c r="Q24" s="202"/>
      <c r="R24" s="199"/>
      <c r="S24" s="202">
        <v>3.4</v>
      </c>
      <c r="T24" s="199"/>
      <c r="U24" s="202"/>
      <c r="V24" s="199"/>
      <c r="W24" s="203">
        <f t="shared" si="1"/>
        <v>4.4999999999999998E-2</v>
      </c>
      <c r="X24" s="204"/>
      <c r="Y24" s="205"/>
      <c r="Z24" s="203">
        <f t="shared" si="2"/>
        <v>0.153</v>
      </c>
      <c r="AA24" s="204"/>
      <c r="AB24" s="205"/>
      <c r="AC24" s="51"/>
      <c r="AD24" s="52"/>
      <c r="AE24" s="53"/>
      <c r="AF24" s="51"/>
      <c r="AG24" s="52"/>
      <c r="AH24" s="54"/>
    </row>
    <row r="25" spans="1:34" ht="15.75" x14ac:dyDescent="0.25">
      <c r="A25" s="197"/>
      <c r="B25" s="198"/>
      <c r="C25" s="199"/>
      <c r="D25" s="218" t="s">
        <v>676</v>
      </c>
      <c r="E25" s="219"/>
      <c r="F25" s="219"/>
      <c r="G25" s="219"/>
      <c r="H25" s="219"/>
      <c r="I25" s="219"/>
      <c r="J25" s="63"/>
      <c r="K25" s="202">
        <v>0.15</v>
      </c>
      <c r="L25" s="199"/>
      <c r="M25" s="202"/>
      <c r="N25" s="199"/>
      <c r="O25" s="202">
        <v>0.3</v>
      </c>
      <c r="P25" s="199"/>
      <c r="Q25" s="202"/>
      <c r="R25" s="199"/>
      <c r="S25" s="202">
        <f>3.4+1.5</f>
        <v>4.9000000000000004</v>
      </c>
      <c r="T25" s="199"/>
      <c r="U25" s="202"/>
      <c r="V25" s="199"/>
      <c r="W25" s="203">
        <f t="shared" si="1"/>
        <v>4.4999999999999998E-2</v>
      </c>
      <c r="X25" s="204"/>
      <c r="Y25" s="205"/>
      <c r="Z25" s="203">
        <f t="shared" si="2"/>
        <v>0.2205</v>
      </c>
      <c r="AA25" s="204"/>
      <c r="AB25" s="205"/>
      <c r="AC25" s="51"/>
      <c r="AD25" s="52"/>
      <c r="AE25" s="53"/>
      <c r="AF25" s="51"/>
      <c r="AG25" s="52"/>
      <c r="AH25" s="54"/>
    </row>
    <row r="26" spans="1:34" ht="15.75" x14ac:dyDescent="0.25">
      <c r="A26" s="197"/>
      <c r="B26" s="198"/>
      <c r="C26" s="199"/>
      <c r="D26" s="218" t="s">
        <v>677</v>
      </c>
      <c r="E26" s="219"/>
      <c r="F26" s="219"/>
      <c r="G26" s="219"/>
      <c r="H26" s="219"/>
      <c r="I26" s="219"/>
      <c r="J26" s="63"/>
      <c r="K26" s="202">
        <v>0.15</v>
      </c>
      <c r="L26" s="199"/>
      <c r="M26" s="202"/>
      <c r="N26" s="199"/>
      <c r="O26" s="202">
        <v>0.3</v>
      </c>
      <c r="P26" s="199"/>
      <c r="Q26" s="202"/>
      <c r="R26" s="199"/>
      <c r="S26" s="202">
        <f>3.4+1.5</f>
        <v>4.9000000000000004</v>
      </c>
      <c r="T26" s="199"/>
      <c r="U26" s="202"/>
      <c r="V26" s="199"/>
      <c r="W26" s="203">
        <f t="shared" si="1"/>
        <v>4.4999999999999998E-2</v>
      </c>
      <c r="X26" s="204"/>
      <c r="Y26" s="205"/>
      <c r="Z26" s="203">
        <f t="shared" si="2"/>
        <v>0.2205</v>
      </c>
      <c r="AA26" s="204"/>
      <c r="AB26" s="205"/>
      <c r="AC26" s="51"/>
      <c r="AD26" s="52"/>
      <c r="AE26" s="53"/>
      <c r="AF26" s="51"/>
      <c r="AG26" s="52"/>
      <c r="AH26" s="54"/>
    </row>
    <row r="27" spans="1:34" ht="15.75" x14ac:dyDescent="0.25">
      <c r="A27" s="197"/>
      <c r="B27" s="198"/>
      <c r="C27" s="199"/>
      <c r="D27" s="218" t="s">
        <v>678</v>
      </c>
      <c r="E27" s="219"/>
      <c r="F27" s="219"/>
      <c r="G27" s="219"/>
      <c r="H27" s="219"/>
      <c r="I27" s="219"/>
      <c r="J27" s="63"/>
      <c r="K27" s="202">
        <v>0.15</v>
      </c>
      <c r="L27" s="199"/>
      <c r="M27" s="202"/>
      <c r="N27" s="199"/>
      <c r="O27" s="202">
        <v>0.3</v>
      </c>
      <c r="P27" s="199"/>
      <c r="Q27" s="202"/>
      <c r="R27" s="199"/>
      <c r="S27" s="202">
        <v>3.4</v>
      </c>
      <c r="T27" s="199"/>
      <c r="U27" s="202"/>
      <c r="V27" s="199"/>
      <c r="W27" s="203">
        <f t="shared" si="1"/>
        <v>4.4999999999999998E-2</v>
      </c>
      <c r="X27" s="204"/>
      <c r="Y27" s="205"/>
      <c r="Z27" s="203">
        <f t="shared" si="2"/>
        <v>0.153</v>
      </c>
      <c r="AA27" s="204"/>
      <c r="AB27" s="205"/>
      <c r="AC27" s="51"/>
      <c r="AD27" s="52"/>
      <c r="AE27" s="53"/>
      <c r="AF27" s="51"/>
      <c r="AG27" s="52"/>
      <c r="AH27" s="54"/>
    </row>
    <row r="28" spans="1:34" ht="15.75" x14ac:dyDescent="0.25">
      <c r="A28" s="197"/>
      <c r="B28" s="198"/>
      <c r="C28" s="199"/>
      <c r="D28" s="218" t="s">
        <v>679</v>
      </c>
      <c r="E28" s="219"/>
      <c r="F28" s="219"/>
      <c r="G28" s="219"/>
      <c r="H28" s="219"/>
      <c r="I28" s="219"/>
      <c r="J28" s="63"/>
      <c r="K28" s="202">
        <v>0.15</v>
      </c>
      <c r="L28" s="199"/>
      <c r="M28" s="202"/>
      <c r="N28" s="199"/>
      <c r="O28" s="202">
        <v>0.3</v>
      </c>
      <c r="P28" s="199"/>
      <c r="Q28" s="202"/>
      <c r="R28" s="199"/>
      <c r="S28" s="202">
        <v>3.4</v>
      </c>
      <c r="T28" s="199"/>
      <c r="U28" s="202"/>
      <c r="V28" s="199"/>
      <c r="W28" s="203">
        <f t="shared" si="1"/>
        <v>4.4999999999999998E-2</v>
      </c>
      <c r="X28" s="204"/>
      <c r="Y28" s="205"/>
      <c r="Z28" s="203">
        <f t="shared" si="2"/>
        <v>0.153</v>
      </c>
      <c r="AA28" s="204"/>
      <c r="AB28" s="205"/>
      <c r="AC28" s="51"/>
      <c r="AD28" s="52"/>
      <c r="AE28" s="53"/>
      <c r="AF28" s="51"/>
      <c r="AG28" s="52"/>
      <c r="AH28" s="54"/>
    </row>
    <row r="29" spans="1:34" ht="15.75" x14ac:dyDescent="0.25">
      <c r="A29" s="197"/>
      <c r="B29" s="198"/>
      <c r="C29" s="199"/>
      <c r="D29" s="220" t="s">
        <v>680</v>
      </c>
      <c r="E29" s="221"/>
      <c r="F29" s="221"/>
      <c r="G29" s="221"/>
      <c r="H29" s="221"/>
      <c r="I29" s="222"/>
      <c r="J29" s="63"/>
      <c r="K29" s="202">
        <v>0.15</v>
      </c>
      <c r="L29" s="199"/>
      <c r="M29" s="202"/>
      <c r="N29" s="199"/>
      <c r="O29" s="202">
        <v>0.3</v>
      </c>
      <c r="P29" s="199"/>
      <c r="Q29" s="202"/>
      <c r="R29" s="199"/>
      <c r="S29" s="202">
        <v>3.4</v>
      </c>
      <c r="T29" s="199"/>
      <c r="U29" s="202"/>
      <c r="V29" s="199"/>
      <c r="W29" s="203">
        <f t="shared" si="1"/>
        <v>4.4999999999999998E-2</v>
      </c>
      <c r="X29" s="204"/>
      <c r="Y29" s="205"/>
      <c r="Z29" s="203">
        <f t="shared" si="2"/>
        <v>0.153</v>
      </c>
      <c r="AA29" s="204"/>
      <c r="AB29" s="205"/>
      <c r="AC29" s="51"/>
      <c r="AD29" s="52"/>
      <c r="AE29" s="53"/>
      <c r="AF29" s="51"/>
      <c r="AG29" s="52"/>
      <c r="AH29" s="54"/>
    </row>
    <row r="30" spans="1:34" ht="15.75" x14ac:dyDescent="0.25">
      <c r="A30" s="197"/>
      <c r="B30" s="198"/>
      <c r="C30" s="199"/>
      <c r="D30" s="220" t="s">
        <v>682</v>
      </c>
      <c r="E30" s="221"/>
      <c r="F30" s="221"/>
      <c r="G30" s="221"/>
      <c r="H30" s="221"/>
      <c r="I30" s="222"/>
      <c r="J30" s="63"/>
      <c r="K30" s="202">
        <v>0.15</v>
      </c>
      <c r="L30" s="199"/>
      <c r="M30" s="202"/>
      <c r="N30" s="199"/>
      <c r="O30" s="202">
        <v>0.3</v>
      </c>
      <c r="P30" s="199"/>
      <c r="Q30" s="202"/>
      <c r="R30" s="199"/>
      <c r="S30" s="202">
        <v>3.4</v>
      </c>
      <c r="T30" s="199"/>
      <c r="U30" s="202"/>
      <c r="V30" s="199"/>
      <c r="W30" s="203">
        <f t="shared" si="1"/>
        <v>4.4999999999999998E-2</v>
      </c>
      <c r="X30" s="204"/>
      <c r="Y30" s="205"/>
      <c r="Z30" s="203">
        <f t="shared" si="2"/>
        <v>0.153</v>
      </c>
      <c r="AA30" s="204"/>
      <c r="AB30" s="205"/>
      <c r="AC30" s="51"/>
      <c r="AD30" s="52"/>
      <c r="AE30" s="53"/>
      <c r="AF30" s="51"/>
      <c r="AG30" s="52"/>
      <c r="AH30" s="54"/>
    </row>
    <row r="31" spans="1:34" ht="15.75" x14ac:dyDescent="0.25">
      <c r="A31" s="197"/>
      <c r="B31" s="198"/>
      <c r="C31" s="199"/>
      <c r="D31" s="220" t="s">
        <v>683</v>
      </c>
      <c r="E31" s="221"/>
      <c r="F31" s="221"/>
      <c r="G31" s="221"/>
      <c r="H31" s="221"/>
      <c r="I31" s="222"/>
      <c r="J31" s="63"/>
      <c r="K31" s="202">
        <v>0.15</v>
      </c>
      <c r="L31" s="199"/>
      <c r="M31" s="202"/>
      <c r="N31" s="199"/>
      <c r="O31" s="202">
        <v>0.3</v>
      </c>
      <c r="P31" s="199"/>
      <c r="Q31" s="202"/>
      <c r="R31" s="199"/>
      <c r="S31" s="202">
        <f>3.4+1.5</f>
        <v>4.9000000000000004</v>
      </c>
      <c r="T31" s="199"/>
      <c r="U31" s="202"/>
      <c r="V31" s="199"/>
      <c r="W31" s="203">
        <f t="shared" si="1"/>
        <v>4.4999999999999998E-2</v>
      </c>
      <c r="X31" s="204"/>
      <c r="Y31" s="205"/>
      <c r="Z31" s="203">
        <f t="shared" si="2"/>
        <v>0.2205</v>
      </c>
      <c r="AA31" s="204"/>
      <c r="AB31" s="205"/>
      <c r="AC31" s="51"/>
      <c r="AD31" s="52"/>
      <c r="AE31" s="53"/>
      <c r="AF31" s="51"/>
      <c r="AG31" s="52"/>
      <c r="AH31" s="54"/>
    </row>
    <row r="32" spans="1:34" ht="15.75" x14ac:dyDescent="0.25">
      <c r="A32" s="197"/>
      <c r="B32" s="198"/>
      <c r="C32" s="199"/>
      <c r="D32" s="220" t="s">
        <v>684</v>
      </c>
      <c r="E32" s="221"/>
      <c r="F32" s="221"/>
      <c r="G32" s="221"/>
      <c r="H32" s="221"/>
      <c r="I32" s="222"/>
      <c r="J32" s="63"/>
      <c r="K32" s="202">
        <v>0.15</v>
      </c>
      <c r="L32" s="199"/>
      <c r="M32" s="202"/>
      <c r="N32" s="199"/>
      <c r="O32" s="202">
        <v>0.3</v>
      </c>
      <c r="P32" s="199"/>
      <c r="Q32" s="202"/>
      <c r="R32" s="199"/>
      <c r="S32" s="202">
        <v>3.4</v>
      </c>
      <c r="T32" s="199"/>
      <c r="U32" s="202"/>
      <c r="V32" s="199"/>
      <c r="W32" s="203">
        <f t="shared" si="1"/>
        <v>4.4999999999999998E-2</v>
      </c>
      <c r="X32" s="204"/>
      <c r="Y32" s="205"/>
      <c r="Z32" s="203">
        <f t="shared" si="2"/>
        <v>0.153</v>
      </c>
      <c r="AA32" s="204"/>
      <c r="AB32" s="205"/>
      <c r="AC32" s="51"/>
      <c r="AD32" s="52"/>
      <c r="AE32" s="53"/>
      <c r="AF32" s="51"/>
      <c r="AG32" s="52"/>
      <c r="AH32" s="54"/>
    </row>
    <row r="33" spans="1:34" ht="15.75" x14ac:dyDescent="0.25">
      <c r="A33" s="197"/>
      <c r="B33" s="198"/>
      <c r="C33" s="199"/>
      <c r="D33" s="220" t="s">
        <v>685</v>
      </c>
      <c r="E33" s="221"/>
      <c r="F33" s="221"/>
      <c r="G33" s="221"/>
      <c r="H33" s="221"/>
      <c r="I33" s="222"/>
      <c r="J33" s="63"/>
      <c r="K33" s="202">
        <v>0.15</v>
      </c>
      <c r="L33" s="199"/>
      <c r="M33" s="202"/>
      <c r="N33" s="199"/>
      <c r="O33" s="202">
        <v>0.3</v>
      </c>
      <c r="P33" s="199"/>
      <c r="Q33" s="202"/>
      <c r="R33" s="199"/>
      <c r="S33" s="202">
        <f>3.4+1.5</f>
        <v>4.9000000000000004</v>
      </c>
      <c r="T33" s="199"/>
      <c r="U33" s="202"/>
      <c r="V33" s="199"/>
      <c r="W33" s="203">
        <f t="shared" si="1"/>
        <v>4.4999999999999998E-2</v>
      </c>
      <c r="X33" s="204"/>
      <c r="Y33" s="205"/>
      <c r="Z33" s="203">
        <f t="shared" si="2"/>
        <v>0.2205</v>
      </c>
      <c r="AA33" s="204"/>
      <c r="AB33" s="205"/>
      <c r="AC33" s="51"/>
      <c r="AD33" s="52"/>
      <c r="AE33" s="53"/>
      <c r="AF33" s="51"/>
      <c r="AG33" s="52"/>
      <c r="AH33" s="54"/>
    </row>
    <row r="34" spans="1:34" ht="15.75" x14ac:dyDescent="0.25">
      <c r="A34" s="197"/>
      <c r="B34" s="198"/>
      <c r="C34" s="199"/>
      <c r="D34" s="220" t="s">
        <v>681</v>
      </c>
      <c r="E34" s="221"/>
      <c r="F34" s="221"/>
      <c r="G34" s="221"/>
      <c r="H34" s="221"/>
      <c r="I34" s="222"/>
      <c r="J34" s="63"/>
      <c r="K34" s="202">
        <v>0.15</v>
      </c>
      <c r="L34" s="199"/>
      <c r="M34" s="202"/>
      <c r="N34" s="199"/>
      <c r="O34" s="202">
        <v>0.3</v>
      </c>
      <c r="P34" s="199"/>
      <c r="Q34" s="202"/>
      <c r="R34" s="199"/>
      <c r="S34" s="202">
        <v>3.4</v>
      </c>
      <c r="T34" s="199"/>
      <c r="U34" s="202"/>
      <c r="V34" s="199"/>
      <c r="W34" s="203">
        <f t="shared" si="1"/>
        <v>4.4999999999999998E-2</v>
      </c>
      <c r="X34" s="204"/>
      <c r="Y34" s="205"/>
      <c r="Z34" s="203">
        <f t="shared" si="2"/>
        <v>0.153</v>
      </c>
      <c r="AA34" s="204"/>
      <c r="AB34" s="205"/>
      <c r="AC34" s="51"/>
      <c r="AD34" s="52"/>
      <c r="AE34" s="53"/>
      <c r="AF34" s="51"/>
      <c r="AG34" s="52"/>
      <c r="AH34" s="54"/>
    </row>
    <row r="35" spans="1:34" ht="15.75" x14ac:dyDescent="0.25">
      <c r="A35" s="197"/>
      <c r="B35" s="198"/>
      <c r="C35" s="199"/>
      <c r="D35" s="220" t="s">
        <v>686</v>
      </c>
      <c r="E35" s="221"/>
      <c r="F35" s="221"/>
      <c r="G35" s="221"/>
      <c r="H35" s="221"/>
      <c r="I35" s="222"/>
      <c r="J35" s="63"/>
      <c r="K35" s="202">
        <v>0.15</v>
      </c>
      <c r="L35" s="199"/>
      <c r="M35" s="202"/>
      <c r="N35" s="199"/>
      <c r="O35" s="202">
        <v>0.3</v>
      </c>
      <c r="P35" s="199"/>
      <c r="Q35" s="202"/>
      <c r="R35" s="199"/>
      <c r="S35" s="202">
        <f>3.4+1.5</f>
        <v>4.9000000000000004</v>
      </c>
      <c r="T35" s="199"/>
      <c r="U35" s="202"/>
      <c r="V35" s="199"/>
      <c r="W35" s="203">
        <f t="shared" si="1"/>
        <v>4.4999999999999998E-2</v>
      </c>
      <c r="X35" s="204"/>
      <c r="Y35" s="205"/>
      <c r="Z35" s="203">
        <f t="shared" si="2"/>
        <v>0.2205</v>
      </c>
      <c r="AA35" s="204"/>
      <c r="AB35" s="205"/>
      <c r="AC35" s="51"/>
      <c r="AD35" s="52"/>
      <c r="AE35" s="53"/>
      <c r="AF35" s="51"/>
      <c r="AG35" s="52"/>
      <c r="AH35" s="54"/>
    </row>
    <row r="36" spans="1:34" ht="15.75" x14ac:dyDescent="0.25">
      <c r="A36" s="197"/>
      <c r="B36" s="198"/>
      <c r="C36" s="199"/>
      <c r="D36" s="220" t="s">
        <v>687</v>
      </c>
      <c r="E36" s="221"/>
      <c r="F36" s="221"/>
      <c r="G36" s="221"/>
      <c r="H36" s="221"/>
      <c r="I36" s="222"/>
      <c r="J36" s="63"/>
      <c r="K36" s="202">
        <v>0.15</v>
      </c>
      <c r="L36" s="199"/>
      <c r="M36" s="202"/>
      <c r="N36" s="199"/>
      <c r="O36" s="202">
        <v>0.4</v>
      </c>
      <c r="P36" s="199"/>
      <c r="Q36" s="202"/>
      <c r="R36" s="199"/>
      <c r="S36" s="202">
        <f>3.4+1.5</f>
        <v>4.9000000000000004</v>
      </c>
      <c r="T36" s="199"/>
      <c r="U36" s="202"/>
      <c r="V36" s="199"/>
      <c r="W36" s="203">
        <f t="shared" si="1"/>
        <v>0.06</v>
      </c>
      <c r="X36" s="204"/>
      <c r="Y36" s="205"/>
      <c r="Z36" s="203">
        <f t="shared" si="2"/>
        <v>0.29399999999999998</v>
      </c>
      <c r="AA36" s="204"/>
      <c r="AB36" s="205"/>
      <c r="AC36" s="51"/>
      <c r="AD36" s="52"/>
      <c r="AE36" s="53"/>
      <c r="AF36" s="51"/>
      <c r="AG36" s="52"/>
      <c r="AH36" s="54"/>
    </row>
    <row r="37" spans="1:34" ht="15.75" x14ac:dyDescent="0.25">
      <c r="A37" s="197"/>
      <c r="B37" s="198"/>
      <c r="C37" s="199"/>
      <c r="D37" s="220" t="s">
        <v>688</v>
      </c>
      <c r="E37" s="221"/>
      <c r="F37" s="221"/>
      <c r="G37" s="221"/>
      <c r="H37" s="221"/>
      <c r="I37" s="222"/>
      <c r="J37" s="63"/>
      <c r="K37" s="202">
        <v>0.2</v>
      </c>
      <c r="L37" s="199"/>
      <c r="M37" s="202"/>
      <c r="N37" s="199"/>
      <c r="O37" s="202">
        <v>0.4</v>
      </c>
      <c r="P37" s="199"/>
      <c r="Q37" s="202"/>
      <c r="R37" s="199"/>
      <c r="S37" s="202">
        <v>3.4</v>
      </c>
      <c r="T37" s="199"/>
      <c r="U37" s="202"/>
      <c r="V37" s="199"/>
      <c r="W37" s="203">
        <f t="shared" si="1"/>
        <v>8.0000000000000016E-2</v>
      </c>
      <c r="X37" s="204"/>
      <c r="Y37" s="205"/>
      <c r="Z37" s="203">
        <f t="shared" si="2"/>
        <v>0.27200000000000002</v>
      </c>
      <c r="AA37" s="204"/>
      <c r="AB37" s="205"/>
      <c r="AC37" s="51"/>
      <c r="AD37" s="52"/>
      <c r="AE37" s="53"/>
      <c r="AF37" s="51"/>
      <c r="AG37" s="52"/>
      <c r="AH37" s="54"/>
    </row>
    <row r="38" spans="1:34" ht="15.75" x14ac:dyDescent="0.25">
      <c r="A38" s="197"/>
      <c r="B38" s="198"/>
      <c r="C38" s="199"/>
      <c r="D38" s="220" t="s">
        <v>689</v>
      </c>
      <c r="E38" s="221"/>
      <c r="F38" s="221"/>
      <c r="G38" s="221"/>
      <c r="H38" s="221"/>
      <c r="I38" s="222"/>
      <c r="J38" s="63"/>
      <c r="K38" s="202">
        <v>0.15</v>
      </c>
      <c r="L38" s="199"/>
      <c r="M38" s="202"/>
      <c r="N38" s="199"/>
      <c r="O38" s="202">
        <v>0.3</v>
      </c>
      <c r="P38" s="199"/>
      <c r="Q38" s="202"/>
      <c r="R38" s="199"/>
      <c r="S38" s="202">
        <f t="shared" ref="S38:S54" si="3">3.4+1.5</f>
        <v>4.9000000000000004</v>
      </c>
      <c r="T38" s="199"/>
      <c r="U38" s="202"/>
      <c r="V38" s="199"/>
      <c r="W38" s="203">
        <f t="shared" si="1"/>
        <v>4.4999999999999998E-2</v>
      </c>
      <c r="X38" s="204"/>
      <c r="Y38" s="205"/>
      <c r="Z38" s="203">
        <f t="shared" si="2"/>
        <v>0.2205</v>
      </c>
      <c r="AA38" s="204"/>
      <c r="AB38" s="205"/>
      <c r="AC38" s="51"/>
      <c r="AD38" s="52"/>
      <c r="AE38" s="53"/>
      <c r="AF38" s="51"/>
      <c r="AG38" s="52"/>
      <c r="AH38" s="54"/>
    </row>
    <row r="39" spans="1:34" ht="15.75" x14ac:dyDescent="0.25">
      <c r="A39" s="197"/>
      <c r="B39" s="198"/>
      <c r="C39" s="199"/>
      <c r="D39" s="220" t="s">
        <v>690</v>
      </c>
      <c r="E39" s="221"/>
      <c r="F39" s="221"/>
      <c r="G39" s="221"/>
      <c r="H39" s="221"/>
      <c r="I39" s="222"/>
      <c r="J39" s="63"/>
      <c r="K39" s="202">
        <v>0.15</v>
      </c>
      <c r="L39" s="199"/>
      <c r="M39" s="202"/>
      <c r="N39" s="199"/>
      <c r="O39" s="202">
        <v>0.3</v>
      </c>
      <c r="P39" s="199"/>
      <c r="Q39" s="202"/>
      <c r="R39" s="199"/>
      <c r="S39" s="202">
        <f t="shared" si="3"/>
        <v>4.9000000000000004</v>
      </c>
      <c r="T39" s="199"/>
      <c r="U39" s="202"/>
      <c r="V39" s="199"/>
      <c r="W39" s="203">
        <f t="shared" si="1"/>
        <v>4.4999999999999998E-2</v>
      </c>
      <c r="X39" s="204"/>
      <c r="Y39" s="205"/>
      <c r="Z39" s="203">
        <f t="shared" si="2"/>
        <v>0.2205</v>
      </c>
      <c r="AA39" s="204"/>
      <c r="AB39" s="205"/>
      <c r="AC39" s="51"/>
      <c r="AD39" s="52"/>
      <c r="AE39" s="53"/>
      <c r="AF39" s="51"/>
      <c r="AG39" s="52"/>
      <c r="AH39" s="54"/>
    </row>
    <row r="40" spans="1:34" ht="15.75" x14ac:dyDescent="0.25">
      <c r="A40" s="197"/>
      <c r="B40" s="198"/>
      <c r="C40" s="199"/>
      <c r="D40" s="220" t="s">
        <v>691</v>
      </c>
      <c r="E40" s="221"/>
      <c r="F40" s="221"/>
      <c r="G40" s="221"/>
      <c r="H40" s="221"/>
      <c r="I40" s="222"/>
      <c r="J40" s="63"/>
      <c r="K40" s="202">
        <v>0.15</v>
      </c>
      <c r="L40" s="199"/>
      <c r="M40" s="202"/>
      <c r="N40" s="199"/>
      <c r="O40" s="202">
        <v>0.3</v>
      </c>
      <c r="P40" s="199"/>
      <c r="Q40" s="202"/>
      <c r="R40" s="199"/>
      <c r="S40" s="202">
        <f t="shared" si="3"/>
        <v>4.9000000000000004</v>
      </c>
      <c r="T40" s="199"/>
      <c r="U40" s="202"/>
      <c r="V40" s="199"/>
      <c r="W40" s="203">
        <f t="shared" si="1"/>
        <v>4.4999999999999998E-2</v>
      </c>
      <c r="X40" s="204"/>
      <c r="Y40" s="205"/>
      <c r="Z40" s="203">
        <f t="shared" si="2"/>
        <v>0.2205</v>
      </c>
      <c r="AA40" s="204"/>
      <c r="AB40" s="205"/>
      <c r="AC40" s="51"/>
      <c r="AD40" s="52"/>
      <c r="AE40" s="53"/>
      <c r="AF40" s="51"/>
      <c r="AG40" s="52"/>
      <c r="AH40" s="54"/>
    </row>
    <row r="41" spans="1:34" ht="15.75" x14ac:dyDescent="0.25">
      <c r="A41" s="197"/>
      <c r="B41" s="198"/>
      <c r="C41" s="199"/>
      <c r="D41" s="220" t="s">
        <v>692</v>
      </c>
      <c r="E41" s="221"/>
      <c r="F41" s="221"/>
      <c r="G41" s="221"/>
      <c r="H41" s="221"/>
      <c r="I41" s="222"/>
      <c r="J41" s="63"/>
      <c r="K41" s="202">
        <v>0.15</v>
      </c>
      <c r="L41" s="199"/>
      <c r="M41" s="202"/>
      <c r="N41" s="199"/>
      <c r="O41" s="202">
        <v>0.3</v>
      </c>
      <c r="P41" s="199"/>
      <c r="Q41" s="202"/>
      <c r="R41" s="199"/>
      <c r="S41" s="202">
        <f t="shared" si="3"/>
        <v>4.9000000000000004</v>
      </c>
      <c r="T41" s="199"/>
      <c r="U41" s="202"/>
      <c r="V41" s="199"/>
      <c r="W41" s="203">
        <f t="shared" ref="W41:W55" si="4">K41*O41</f>
        <v>4.4999999999999998E-2</v>
      </c>
      <c r="X41" s="204"/>
      <c r="Y41" s="205"/>
      <c r="Z41" s="203">
        <f t="shared" ref="Z41:Z55" si="5">W41*S41</f>
        <v>0.2205</v>
      </c>
      <c r="AA41" s="204"/>
      <c r="AB41" s="205"/>
      <c r="AC41" s="51"/>
      <c r="AD41" s="52"/>
      <c r="AE41" s="53"/>
      <c r="AF41" s="51"/>
      <c r="AG41" s="52"/>
      <c r="AH41" s="54"/>
    </row>
    <row r="42" spans="1:34" ht="15.75" x14ac:dyDescent="0.25">
      <c r="A42" s="197"/>
      <c r="B42" s="198"/>
      <c r="C42" s="199"/>
      <c r="D42" s="220" t="s">
        <v>693</v>
      </c>
      <c r="E42" s="221"/>
      <c r="F42" s="221"/>
      <c r="G42" s="221"/>
      <c r="H42" s="221"/>
      <c r="I42" s="222"/>
      <c r="J42" s="63"/>
      <c r="K42" s="202">
        <v>0.15</v>
      </c>
      <c r="L42" s="199"/>
      <c r="M42" s="202"/>
      <c r="N42" s="199"/>
      <c r="O42" s="202">
        <v>0.3</v>
      </c>
      <c r="P42" s="199"/>
      <c r="Q42" s="202"/>
      <c r="R42" s="199"/>
      <c r="S42" s="202">
        <f t="shared" si="3"/>
        <v>4.9000000000000004</v>
      </c>
      <c r="T42" s="199"/>
      <c r="U42" s="202"/>
      <c r="V42" s="199"/>
      <c r="W42" s="203">
        <f t="shared" si="4"/>
        <v>4.4999999999999998E-2</v>
      </c>
      <c r="X42" s="204"/>
      <c r="Y42" s="205"/>
      <c r="Z42" s="203">
        <f t="shared" si="5"/>
        <v>0.2205</v>
      </c>
      <c r="AA42" s="204"/>
      <c r="AB42" s="205"/>
      <c r="AC42" s="51"/>
      <c r="AD42" s="52"/>
      <c r="AE42" s="53"/>
      <c r="AF42" s="51"/>
      <c r="AG42" s="52"/>
      <c r="AH42" s="54"/>
    </row>
    <row r="43" spans="1:34" ht="15.75" x14ac:dyDescent="0.25">
      <c r="A43" s="197"/>
      <c r="B43" s="198"/>
      <c r="C43" s="199"/>
      <c r="D43" s="220" t="s">
        <v>694</v>
      </c>
      <c r="E43" s="221"/>
      <c r="F43" s="221"/>
      <c r="G43" s="221"/>
      <c r="H43" s="221"/>
      <c r="I43" s="222"/>
      <c r="J43" s="63"/>
      <c r="K43" s="202">
        <v>0.15</v>
      </c>
      <c r="L43" s="199"/>
      <c r="M43" s="202"/>
      <c r="N43" s="199"/>
      <c r="O43" s="202">
        <v>0.3</v>
      </c>
      <c r="P43" s="199"/>
      <c r="Q43" s="202"/>
      <c r="R43" s="199"/>
      <c r="S43" s="202">
        <f t="shared" si="3"/>
        <v>4.9000000000000004</v>
      </c>
      <c r="T43" s="199"/>
      <c r="U43" s="202"/>
      <c r="V43" s="199"/>
      <c r="W43" s="203">
        <f t="shared" si="4"/>
        <v>4.4999999999999998E-2</v>
      </c>
      <c r="X43" s="204"/>
      <c r="Y43" s="205"/>
      <c r="Z43" s="203">
        <f t="shared" si="5"/>
        <v>0.2205</v>
      </c>
      <c r="AA43" s="204"/>
      <c r="AB43" s="205"/>
      <c r="AC43" s="51"/>
      <c r="AD43" s="52"/>
      <c r="AE43" s="53"/>
      <c r="AF43" s="51"/>
      <c r="AG43" s="52"/>
      <c r="AH43" s="54"/>
    </row>
    <row r="44" spans="1:34" ht="15.75" x14ac:dyDescent="0.25">
      <c r="A44" s="197"/>
      <c r="B44" s="198"/>
      <c r="C44" s="199"/>
      <c r="D44" s="220" t="s">
        <v>695</v>
      </c>
      <c r="E44" s="221"/>
      <c r="F44" s="221"/>
      <c r="G44" s="221"/>
      <c r="H44" s="221"/>
      <c r="I44" s="222"/>
      <c r="J44" s="63"/>
      <c r="K44" s="202">
        <v>0.15</v>
      </c>
      <c r="L44" s="199"/>
      <c r="M44" s="202"/>
      <c r="N44" s="199"/>
      <c r="O44" s="202">
        <v>0.3</v>
      </c>
      <c r="P44" s="199"/>
      <c r="Q44" s="202"/>
      <c r="R44" s="199"/>
      <c r="S44" s="202">
        <f t="shared" si="3"/>
        <v>4.9000000000000004</v>
      </c>
      <c r="T44" s="199"/>
      <c r="U44" s="202"/>
      <c r="V44" s="199"/>
      <c r="W44" s="203">
        <f t="shared" si="4"/>
        <v>4.4999999999999998E-2</v>
      </c>
      <c r="X44" s="204"/>
      <c r="Y44" s="205"/>
      <c r="Z44" s="203">
        <f t="shared" si="5"/>
        <v>0.2205</v>
      </c>
      <c r="AA44" s="204"/>
      <c r="AB44" s="205"/>
      <c r="AC44" s="51"/>
      <c r="AD44" s="52"/>
      <c r="AE44" s="53"/>
      <c r="AF44" s="51"/>
      <c r="AG44" s="52"/>
      <c r="AH44" s="54"/>
    </row>
    <row r="45" spans="1:34" ht="15.75" x14ac:dyDescent="0.25">
      <c r="A45" s="197"/>
      <c r="B45" s="198"/>
      <c r="C45" s="199"/>
      <c r="D45" s="220" t="s">
        <v>696</v>
      </c>
      <c r="E45" s="221"/>
      <c r="F45" s="221"/>
      <c r="G45" s="221"/>
      <c r="H45" s="221"/>
      <c r="I45" s="222"/>
      <c r="J45" s="63"/>
      <c r="K45" s="202">
        <v>0.15</v>
      </c>
      <c r="L45" s="199"/>
      <c r="M45" s="202"/>
      <c r="N45" s="199"/>
      <c r="O45" s="202">
        <v>0.3</v>
      </c>
      <c r="P45" s="199"/>
      <c r="Q45" s="202"/>
      <c r="R45" s="199"/>
      <c r="S45" s="202">
        <f t="shared" si="3"/>
        <v>4.9000000000000004</v>
      </c>
      <c r="T45" s="199"/>
      <c r="U45" s="202"/>
      <c r="V45" s="199"/>
      <c r="W45" s="203">
        <f t="shared" si="4"/>
        <v>4.4999999999999998E-2</v>
      </c>
      <c r="X45" s="204"/>
      <c r="Y45" s="205"/>
      <c r="Z45" s="203">
        <f t="shared" si="5"/>
        <v>0.2205</v>
      </c>
      <c r="AA45" s="204"/>
      <c r="AB45" s="205"/>
      <c r="AC45" s="51"/>
      <c r="AD45" s="52"/>
      <c r="AE45" s="53"/>
      <c r="AF45" s="51"/>
      <c r="AG45" s="52"/>
      <c r="AH45" s="54"/>
    </row>
    <row r="46" spans="1:34" ht="15.75" x14ac:dyDescent="0.25">
      <c r="A46" s="197"/>
      <c r="B46" s="198"/>
      <c r="C46" s="199"/>
      <c r="D46" s="220" t="s">
        <v>697</v>
      </c>
      <c r="E46" s="221"/>
      <c r="F46" s="221"/>
      <c r="G46" s="221"/>
      <c r="H46" s="221"/>
      <c r="I46" s="222"/>
      <c r="J46" s="63"/>
      <c r="K46" s="202">
        <v>0.15</v>
      </c>
      <c r="L46" s="199"/>
      <c r="M46" s="202"/>
      <c r="N46" s="199"/>
      <c r="O46" s="202">
        <v>0.3</v>
      </c>
      <c r="P46" s="199"/>
      <c r="Q46" s="202"/>
      <c r="R46" s="199"/>
      <c r="S46" s="202">
        <f t="shared" si="3"/>
        <v>4.9000000000000004</v>
      </c>
      <c r="T46" s="199"/>
      <c r="U46" s="202"/>
      <c r="V46" s="199"/>
      <c r="W46" s="203">
        <f t="shared" si="4"/>
        <v>4.4999999999999998E-2</v>
      </c>
      <c r="X46" s="204"/>
      <c r="Y46" s="205"/>
      <c r="Z46" s="203">
        <f t="shared" si="5"/>
        <v>0.2205</v>
      </c>
      <c r="AA46" s="204"/>
      <c r="AB46" s="205"/>
      <c r="AC46" s="51"/>
      <c r="AD46" s="52"/>
      <c r="AE46" s="53"/>
      <c r="AF46" s="51"/>
      <c r="AG46" s="52"/>
      <c r="AH46" s="54"/>
    </row>
    <row r="47" spans="1:34" ht="15.75" x14ac:dyDescent="0.25">
      <c r="A47" s="197"/>
      <c r="B47" s="198"/>
      <c r="C47" s="199"/>
      <c r="D47" s="220" t="s">
        <v>698</v>
      </c>
      <c r="E47" s="221"/>
      <c r="F47" s="221"/>
      <c r="G47" s="221"/>
      <c r="H47" s="221"/>
      <c r="I47" s="222"/>
      <c r="J47" s="63"/>
      <c r="K47" s="202">
        <v>0.15</v>
      </c>
      <c r="L47" s="199"/>
      <c r="M47" s="202"/>
      <c r="N47" s="199"/>
      <c r="O47" s="202">
        <v>0.3</v>
      </c>
      <c r="P47" s="199"/>
      <c r="Q47" s="202"/>
      <c r="R47" s="199"/>
      <c r="S47" s="202">
        <f t="shared" si="3"/>
        <v>4.9000000000000004</v>
      </c>
      <c r="T47" s="199"/>
      <c r="U47" s="202"/>
      <c r="V47" s="199"/>
      <c r="W47" s="203">
        <f t="shared" si="4"/>
        <v>4.4999999999999998E-2</v>
      </c>
      <c r="X47" s="204"/>
      <c r="Y47" s="205"/>
      <c r="Z47" s="203">
        <f t="shared" si="5"/>
        <v>0.2205</v>
      </c>
      <c r="AA47" s="204"/>
      <c r="AB47" s="205"/>
      <c r="AC47" s="51"/>
      <c r="AD47" s="52"/>
      <c r="AE47" s="53"/>
      <c r="AF47" s="51"/>
      <c r="AG47" s="52"/>
      <c r="AH47" s="54"/>
    </row>
    <row r="48" spans="1:34" ht="15.75" x14ac:dyDescent="0.25">
      <c r="A48" s="197"/>
      <c r="B48" s="198"/>
      <c r="C48" s="199"/>
      <c r="D48" s="220" t="s">
        <v>699</v>
      </c>
      <c r="E48" s="221"/>
      <c r="F48" s="221"/>
      <c r="G48" s="221"/>
      <c r="H48" s="221"/>
      <c r="I48" s="222"/>
      <c r="J48" s="63"/>
      <c r="K48" s="202">
        <v>0.15</v>
      </c>
      <c r="L48" s="199"/>
      <c r="M48" s="202"/>
      <c r="N48" s="199"/>
      <c r="O48" s="202">
        <v>0.3</v>
      </c>
      <c r="P48" s="199"/>
      <c r="Q48" s="202"/>
      <c r="R48" s="199"/>
      <c r="S48" s="202">
        <f t="shared" si="3"/>
        <v>4.9000000000000004</v>
      </c>
      <c r="T48" s="199"/>
      <c r="U48" s="202"/>
      <c r="V48" s="199"/>
      <c r="W48" s="203">
        <f t="shared" si="4"/>
        <v>4.4999999999999998E-2</v>
      </c>
      <c r="X48" s="204"/>
      <c r="Y48" s="205"/>
      <c r="Z48" s="203">
        <f t="shared" si="5"/>
        <v>0.2205</v>
      </c>
      <c r="AA48" s="204"/>
      <c r="AB48" s="205"/>
      <c r="AC48" s="51"/>
      <c r="AD48" s="52"/>
      <c r="AE48" s="53"/>
      <c r="AF48" s="51"/>
      <c r="AG48" s="52"/>
      <c r="AH48" s="54"/>
    </row>
    <row r="49" spans="1:34" ht="15.75" x14ac:dyDescent="0.25">
      <c r="A49" s="197"/>
      <c r="B49" s="198"/>
      <c r="C49" s="199"/>
      <c r="D49" s="220" t="s">
        <v>700</v>
      </c>
      <c r="E49" s="221"/>
      <c r="F49" s="221"/>
      <c r="G49" s="221"/>
      <c r="H49" s="221"/>
      <c r="I49" s="222"/>
      <c r="J49" s="63"/>
      <c r="K49" s="202">
        <v>0.15</v>
      </c>
      <c r="L49" s="199"/>
      <c r="M49" s="202"/>
      <c r="N49" s="199"/>
      <c r="O49" s="202">
        <v>0.3</v>
      </c>
      <c r="P49" s="199"/>
      <c r="Q49" s="202"/>
      <c r="R49" s="199"/>
      <c r="S49" s="202">
        <f t="shared" si="3"/>
        <v>4.9000000000000004</v>
      </c>
      <c r="T49" s="199"/>
      <c r="U49" s="202"/>
      <c r="V49" s="199"/>
      <c r="W49" s="203">
        <f t="shared" si="4"/>
        <v>4.4999999999999998E-2</v>
      </c>
      <c r="X49" s="204"/>
      <c r="Y49" s="205"/>
      <c r="Z49" s="203">
        <f t="shared" si="5"/>
        <v>0.2205</v>
      </c>
      <c r="AA49" s="204"/>
      <c r="AB49" s="205"/>
      <c r="AC49" s="51"/>
      <c r="AD49" s="52"/>
      <c r="AE49" s="53"/>
      <c r="AF49" s="51"/>
      <c r="AG49" s="52"/>
      <c r="AH49" s="54"/>
    </row>
    <row r="50" spans="1:34" ht="15.75" x14ac:dyDescent="0.25">
      <c r="A50" s="197"/>
      <c r="B50" s="198"/>
      <c r="C50" s="199"/>
      <c r="D50" s="220" t="s">
        <v>701</v>
      </c>
      <c r="E50" s="221"/>
      <c r="F50" s="221"/>
      <c r="G50" s="221"/>
      <c r="H50" s="221"/>
      <c r="I50" s="222"/>
      <c r="J50" s="63"/>
      <c r="K50" s="202">
        <v>0.15</v>
      </c>
      <c r="L50" s="199"/>
      <c r="M50" s="202"/>
      <c r="N50" s="199"/>
      <c r="O50" s="202">
        <v>0.3</v>
      </c>
      <c r="P50" s="199"/>
      <c r="Q50" s="202"/>
      <c r="R50" s="199"/>
      <c r="S50" s="202">
        <f t="shared" si="3"/>
        <v>4.9000000000000004</v>
      </c>
      <c r="T50" s="199"/>
      <c r="U50" s="202"/>
      <c r="V50" s="199"/>
      <c r="W50" s="203">
        <f t="shared" si="4"/>
        <v>4.4999999999999998E-2</v>
      </c>
      <c r="X50" s="204"/>
      <c r="Y50" s="205"/>
      <c r="Z50" s="203">
        <f t="shared" si="5"/>
        <v>0.2205</v>
      </c>
      <c r="AA50" s="204"/>
      <c r="AB50" s="205"/>
      <c r="AC50" s="51"/>
      <c r="AD50" s="52"/>
      <c r="AE50" s="53"/>
      <c r="AF50" s="51"/>
      <c r="AG50" s="52"/>
      <c r="AH50" s="54"/>
    </row>
    <row r="51" spans="1:34" ht="15.75" x14ac:dyDescent="0.25">
      <c r="A51" s="197"/>
      <c r="B51" s="198"/>
      <c r="C51" s="199"/>
      <c r="D51" s="220" t="s">
        <v>702</v>
      </c>
      <c r="E51" s="221"/>
      <c r="F51" s="221"/>
      <c r="G51" s="221"/>
      <c r="H51" s="221"/>
      <c r="I51" s="222"/>
      <c r="J51" s="63"/>
      <c r="K51" s="202">
        <v>0.15</v>
      </c>
      <c r="L51" s="199"/>
      <c r="M51" s="202"/>
      <c r="N51" s="199"/>
      <c r="O51" s="202">
        <v>0.3</v>
      </c>
      <c r="P51" s="199"/>
      <c r="Q51" s="202"/>
      <c r="R51" s="199"/>
      <c r="S51" s="202">
        <f t="shared" si="3"/>
        <v>4.9000000000000004</v>
      </c>
      <c r="T51" s="199"/>
      <c r="U51" s="202"/>
      <c r="V51" s="199"/>
      <c r="W51" s="203">
        <f t="shared" si="4"/>
        <v>4.4999999999999998E-2</v>
      </c>
      <c r="X51" s="204"/>
      <c r="Y51" s="205"/>
      <c r="Z51" s="203">
        <f t="shared" si="5"/>
        <v>0.2205</v>
      </c>
      <c r="AA51" s="204"/>
      <c r="AB51" s="205"/>
      <c r="AC51" s="51"/>
      <c r="AD51" s="52"/>
      <c r="AE51" s="53"/>
      <c r="AF51" s="51"/>
      <c r="AG51" s="52"/>
      <c r="AH51" s="54"/>
    </row>
    <row r="52" spans="1:34" ht="15.75" x14ac:dyDescent="0.25">
      <c r="A52" s="197"/>
      <c r="B52" s="198"/>
      <c r="C52" s="199"/>
      <c r="D52" s="220" t="s">
        <v>703</v>
      </c>
      <c r="E52" s="221"/>
      <c r="F52" s="221"/>
      <c r="G52" s="221"/>
      <c r="H52" s="221"/>
      <c r="I52" s="222"/>
      <c r="J52" s="63"/>
      <c r="K52" s="202">
        <v>0.15</v>
      </c>
      <c r="L52" s="199"/>
      <c r="M52" s="202"/>
      <c r="N52" s="199"/>
      <c r="O52" s="202">
        <v>0.3</v>
      </c>
      <c r="P52" s="199"/>
      <c r="Q52" s="202"/>
      <c r="R52" s="199"/>
      <c r="S52" s="202">
        <f t="shared" si="3"/>
        <v>4.9000000000000004</v>
      </c>
      <c r="T52" s="199"/>
      <c r="U52" s="202"/>
      <c r="V52" s="199"/>
      <c r="W52" s="203">
        <f t="shared" si="4"/>
        <v>4.4999999999999998E-2</v>
      </c>
      <c r="X52" s="204"/>
      <c r="Y52" s="205"/>
      <c r="Z52" s="203">
        <f t="shared" si="5"/>
        <v>0.2205</v>
      </c>
      <c r="AA52" s="204"/>
      <c r="AB52" s="205"/>
      <c r="AC52" s="51"/>
      <c r="AD52" s="52"/>
      <c r="AE52" s="53"/>
      <c r="AF52" s="51"/>
      <c r="AG52" s="52"/>
      <c r="AH52" s="54"/>
    </row>
    <row r="53" spans="1:34" ht="15.75" x14ac:dyDescent="0.25">
      <c r="A53" s="197"/>
      <c r="B53" s="198"/>
      <c r="C53" s="199"/>
      <c r="D53" s="220" t="s">
        <v>704</v>
      </c>
      <c r="E53" s="221"/>
      <c r="F53" s="221"/>
      <c r="G53" s="221"/>
      <c r="H53" s="221"/>
      <c r="I53" s="222"/>
      <c r="J53" s="63"/>
      <c r="K53" s="202">
        <v>0.15</v>
      </c>
      <c r="L53" s="199"/>
      <c r="M53" s="202"/>
      <c r="N53" s="199"/>
      <c r="O53" s="202">
        <v>0.3</v>
      </c>
      <c r="P53" s="199"/>
      <c r="Q53" s="202"/>
      <c r="R53" s="199"/>
      <c r="S53" s="202">
        <f t="shared" si="3"/>
        <v>4.9000000000000004</v>
      </c>
      <c r="T53" s="199"/>
      <c r="U53" s="202"/>
      <c r="V53" s="199"/>
      <c r="W53" s="203">
        <f t="shared" si="4"/>
        <v>4.4999999999999998E-2</v>
      </c>
      <c r="X53" s="204"/>
      <c r="Y53" s="205"/>
      <c r="Z53" s="203">
        <f t="shared" si="5"/>
        <v>0.2205</v>
      </c>
      <c r="AA53" s="204"/>
      <c r="AB53" s="205"/>
      <c r="AC53" s="51"/>
      <c r="AD53" s="52"/>
      <c r="AE53" s="53"/>
      <c r="AF53" s="51"/>
      <c r="AG53" s="52"/>
      <c r="AH53" s="54"/>
    </row>
    <row r="54" spans="1:34" ht="15.75" x14ac:dyDescent="0.25">
      <c r="A54" s="197"/>
      <c r="B54" s="198"/>
      <c r="C54" s="199"/>
      <c r="D54" s="220" t="s">
        <v>705</v>
      </c>
      <c r="E54" s="221"/>
      <c r="F54" s="221"/>
      <c r="G54" s="221"/>
      <c r="H54" s="221"/>
      <c r="I54" s="222"/>
      <c r="J54" s="63"/>
      <c r="K54" s="202">
        <v>0.15</v>
      </c>
      <c r="L54" s="199"/>
      <c r="M54" s="202"/>
      <c r="N54" s="199"/>
      <c r="O54" s="202">
        <v>0.3</v>
      </c>
      <c r="P54" s="199"/>
      <c r="Q54" s="202"/>
      <c r="R54" s="199"/>
      <c r="S54" s="202">
        <f t="shared" si="3"/>
        <v>4.9000000000000004</v>
      </c>
      <c r="T54" s="199"/>
      <c r="U54" s="202"/>
      <c r="V54" s="199"/>
      <c r="W54" s="203">
        <f t="shared" si="4"/>
        <v>4.4999999999999998E-2</v>
      </c>
      <c r="X54" s="204"/>
      <c r="Y54" s="205"/>
      <c r="Z54" s="203">
        <f t="shared" si="5"/>
        <v>0.2205</v>
      </c>
      <c r="AA54" s="204"/>
      <c r="AB54" s="205"/>
      <c r="AC54" s="51"/>
      <c r="AD54" s="52"/>
      <c r="AE54" s="53"/>
      <c r="AF54" s="51"/>
      <c r="AG54" s="52"/>
      <c r="AH54" s="54"/>
    </row>
    <row r="55" spans="1:34" ht="15.75" x14ac:dyDescent="0.25">
      <c r="A55" s="197"/>
      <c r="B55" s="198"/>
      <c r="C55" s="199"/>
      <c r="D55" s="220" t="s">
        <v>706</v>
      </c>
      <c r="E55" s="221"/>
      <c r="F55" s="221"/>
      <c r="G55" s="221"/>
      <c r="H55" s="221"/>
      <c r="I55" s="222"/>
      <c r="J55" s="63"/>
      <c r="K55" s="202">
        <v>0.15</v>
      </c>
      <c r="L55" s="199"/>
      <c r="M55" s="202"/>
      <c r="N55" s="199"/>
      <c r="O55" s="202">
        <v>0.3</v>
      </c>
      <c r="P55" s="199"/>
      <c r="Q55" s="202"/>
      <c r="R55" s="199"/>
      <c r="S55" s="202">
        <v>3.4</v>
      </c>
      <c r="T55" s="199"/>
      <c r="U55" s="202"/>
      <c r="V55" s="199"/>
      <c r="W55" s="203">
        <f t="shared" si="4"/>
        <v>4.4999999999999998E-2</v>
      </c>
      <c r="X55" s="204"/>
      <c r="Y55" s="205"/>
      <c r="Z55" s="203">
        <f t="shared" si="5"/>
        <v>0.153</v>
      </c>
      <c r="AA55" s="204"/>
      <c r="AB55" s="205"/>
      <c r="AC55" s="51"/>
      <c r="AD55" s="52"/>
      <c r="AE55" s="53"/>
      <c r="AF55" s="51"/>
      <c r="AG55" s="52"/>
      <c r="AH55" s="54"/>
    </row>
    <row r="56" spans="1:34" ht="15.75" x14ac:dyDescent="0.25">
      <c r="A56" s="197"/>
      <c r="B56" s="198"/>
      <c r="C56" s="199"/>
      <c r="D56" s="220" t="s">
        <v>707</v>
      </c>
      <c r="E56" s="221"/>
      <c r="F56" s="221"/>
      <c r="G56" s="221"/>
      <c r="H56" s="221"/>
      <c r="I56" s="222"/>
      <c r="J56" s="63"/>
      <c r="K56" s="202">
        <v>0.15</v>
      </c>
      <c r="L56" s="199"/>
      <c r="M56" s="202"/>
      <c r="N56" s="199"/>
      <c r="O56" s="202">
        <v>0.3</v>
      </c>
      <c r="P56" s="199"/>
      <c r="Q56" s="202"/>
      <c r="R56" s="199"/>
      <c r="S56" s="202">
        <v>3.4</v>
      </c>
      <c r="T56" s="199"/>
      <c r="U56" s="202"/>
      <c r="V56" s="199"/>
      <c r="W56" s="203">
        <f t="shared" ref="W56:W69" si="6">K56*O56</f>
        <v>4.4999999999999998E-2</v>
      </c>
      <c r="X56" s="204"/>
      <c r="Y56" s="205"/>
      <c r="Z56" s="203">
        <f t="shared" ref="Z56:Z69" si="7">W56*S56</f>
        <v>0.153</v>
      </c>
      <c r="AA56" s="204"/>
      <c r="AB56" s="205"/>
      <c r="AC56" s="51"/>
      <c r="AD56" s="52"/>
      <c r="AE56" s="53"/>
      <c r="AF56" s="51"/>
      <c r="AG56" s="52"/>
      <c r="AH56" s="54"/>
    </row>
    <row r="57" spans="1:34" ht="15.75" x14ac:dyDescent="0.25">
      <c r="A57" s="197"/>
      <c r="B57" s="198"/>
      <c r="C57" s="199"/>
      <c r="D57" s="220" t="s">
        <v>708</v>
      </c>
      <c r="E57" s="221"/>
      <c r="F57" s="221"/>
      <c r="G57" s="221"/>
      <c r="H57" s="221"/>
      <c r="I57" s="222"/>
      <c r="J57" s="63"/>
      <c r="K57" s="202">
        <v>0.15</v>
      </c>
      <c r="L57" s="199"/>
      <c r="M57" s="202"/>
      <c r="N57" s="199"/>
      <c r="O57" s="202">
        <v>0.3</v>
      </c>
      <c r="P57" s="199"/>
      <c r="Q57" s="202"/>
      <c r="R57" s="199"/>
      <c r="S57" s="202">
        <v>3.4</v>
      </c>
      <c r="T57" s="199"/>
      <c r="U57" s="202"/>
      <c r="V57" s="199"/>
      <c r="W57" s="203">
        <f t="shared" si="6"/>
        <v>4.4999999999999998E-2</v>
      </c>
      <c r="X57" s="204"/>
      <c r="Y57" s="205"/>
      <c r="Z57" s="203">
        <f t="shared" si="7"/>
        <v>0.153</v>
      </c>
      <c r="AA57" s="204"/>
      <c r="AB57" s="205"/>
      <c r="AC57" s="51"/>
      <c r="AD57" s="52"/>
      <c r="AE57" s="53"/>
      <c r="AF57" s="51"/>
      <c r="AG57" s="52"/>
      <c r="AH57" s="54"/>
    </row>
    <row r="58" spans="1:34" ht="15.75" x14ac:dyDescent="0.25">
      <c r="A58" s="197"/>
      <c r="B58" s="198"/>
      <c r="C58" s="199"/>
      <c r="D58" s="220" t="s">
        <v>709</v>
      </c>
      <c r="E58" s="221"/>
      <c r="F58" s="221"/>
      <c r="G58" s="221"/>
      <c r="H58" s="221"/>
      <c r="I58" s="222"/>
      <c r="J58" s="63"/>
      <c r="K58" s="202">
        <v>0.15</v>
      </c>
      <c r="L58" s="199"/>
      <c r="M58" s="202"/>
      <c r="N58" s="199"/>
      <c r="O58" s="202">
        <v>0.3</v>
      </c>
      <c r="P58" s="199"/>
      <c r="Q58" s="202"/>
      <c r="R58" s="199"/>
      <c r="S58" s="202">
        <v>3.4</v>
      </c>
      <c r="T58" s="199"/>
      <c r="U58" s="202"/>
      <c r="V58" s="199"/>
      <c r="W58" s="203">
        <f t="shared" si="6"/>
        <v>4.4999999999999998E-2</v>
      </c>
      <c r="X58" s="204"/>
      <c r="Y58" s="205"/>
      <c r="Z58" s="203">
        <f t="shared" si="7"/>
        <v>0.153</v>
      </c>
      <c r="AA58" s="204"/>
      <c r="AB58" s="205"/>
      <c r="AC58" s="51"/>
      <c r="AD58" s="52"/>
      <c r="AE58" s="53"/>
      <c r="AF58" s="51"/>
      <c r="AG58" s="52"/>
      <c r="AH58" s="54"/>
    </row>
    <row r="59" spans="1:34" ht="15.75" x14ac:dyDescent="0.25">
      <c r="A59" s="197"/>
      <c r="B59" s="198"/>
      <c r="C59" s="199"/>
      <c r="D59" s="220" t="s">
        <v>710</v>
      </c>
      <c r="E59" s="221"/>
      <c r="F59" s="221"/>
      <c r="G59" s="221"/>
      <c r="H59" s="221"/>
      <c r="I59" s="222"/>
      <c r="J59" s="63"/>
      <c r="K59" s="202">
        <v>0.15</v>
      </c>
      <c r="L59" s="199"/>
      <c r="M59" s="202"/>
      <c r="N59" s="199"/>
      <c r="O59" s="202">
        <v>0.3</v>
      </c>
      <c r="P59" s="199"/>
      <c r="Q59" s="202"/>
      <c r="R59" s="199"/>
      <c r="S59" s="202">
        <v>3.4</v>
      </c>
      <c r="T59" s="199"/>
      <c r="U59" s="202"/>
      <c r="V59" s="199"/>
      <c r="W59" s="203">
        <f t="shared" si="6"/>
        <v>4.4999999999999998E-2</v>
      </c>
      <c r="X59" s="204"/>
      <c r="Y59" s="205"/>
      <c r="Z59" s="203">
        <f t="shared" si="7"/>
        <v>0.153</v>
      </c>
      <c r="AA59" s="204"/>
      <c r="AB59" s="205"/>
      <c r="AC59" s="51"/>
      <c r="AD59" s="52"/>
      <c r="AE59" s="53"/>
      <c r="AF59" s="51"/>
      <c r="AG59" s="52"/>
      <c r="AH59" s="54"/>
    </row>
    <row r="60" spans="1:34" ht="15.75" x14ac:dyDescent="0.25">
      <c r="A60" s="197"/>
      <c r="B60" s="198"/>
      <c r="C60" s="199"/>
      <c r="D60" s="220" t="s">
        <v>711</v>
      </c>
      <c r="E60" s="221"/>
      <c r="F60" s="221"/>
      <c r="G60" s="221"/>
      <c r="H60" s="221"/>
      <c r="I60" s="222"/>
      <c r="J60" s="63"/>
      <c r="K60" s="202">
        <v>0.25</v>
      </c>
      <c r="L60" s="199"/>
      <c r="M60" s="202"/>
      <c r="N60" s="199"/>
      <c r="O60" s="202">
        <v>0.3</v>
      </c>
      <c r="P60" s="199"/>
      <c r="Q60" s="202"/>
      <c r="R60" s="199"/>
      <c r="S60" s="202">
        <v>3.4</v>
      </c>
      <c r="T60" s="199"/>
      <c r="U60" s="202"/>
      <c r="V60" s="199"/>
      <c r="W60" s="203">
        <f t="shared" si="6"/>
        <v>7.4999999999999997E-2</v>
      </c>
      <c r="X60" s="204"/>
      <c r="Y60" s="205"/>
      <c r="Z60" s="203">
        <f t="shared" si="7"/>
        <v>0.255</v>
      </c>
      <c r="AA60" s="204"/>
      <c r="AB60" s="205"/>
      <c r="AC60" s="51"/>
      <c r="AD60" s="52"/>
      <c r="AE60" s="53"/>
      <c r="AF60" s="51"/>
      <c r="AG60" s="52"/>
      <c r="AH60" s="54"/>
    </row>
    <row r="61" spans="1:34" ht="15.75" x14ac:dyDescent="0.25">
      <c r="A61" s="197"/>
      <c r="B61" s="198"/>
      <c r="C61" s="199"/>
      <c r="D61" s="220" t="s">
        <v>712</v>
      </c>
      <c r="E61" s="221"/>
      <c r="F61" s="221"/>
      <c r="G61" s="221"/>
      <c r="H61" s="221"/>
      <c r="I61" s="222"/>
      <c r="J61" s="63"/>
      <c r="K61" s="202">
        <v>0.25</v>
      </c>
      <c r="L61" s="199"/>
      <c r="M61" s="202"/>
      <c r="N61" s="199"/>
      <c r="O61" s="202">
        <v>0.3</v>
      </c>
      <c r="P61" s="199"/>
      <c r="Q61" s="202"/>
      <c r="R61" s="199"/>
      <c r="S61" s="202">
        <f>3.4+1.5</f>
        <v>4.9000000000000004</v>
      </c>
      <c r="T61" s="199"/>
      <c r="U61" s="202"/>
      <c r="V61" s="199"/>
      <c r="W61" s="203">
        <f t="shared" si="6"/>
        <v>7.4999999999999997E-2</v>
      </c>
      <c r="X61" s="204"/>
      <c r="Y61" s="205"/>
      <c r="Z61" s="203">
        <f t="shared" si="7"/>
        <v>0.36749999999999999</v>
      </c>
      <c r="AA61" s="204"/>
      <c r="AB61" s="205"/>
      <c r="AC61" s="51"/>
      <c r="AD61" s="52"/>
      <c r="AE61" s="53"/>
      <c r="AF61" s="51"/>
      <c r="AG61" s="52"/>
      <c r="AH61" s="54"/>
    </row>
    <row r="62" spans="1:34" ht="15.75" x14ac:dyDescent="0.25">
      <c r="A62" s="197"/>
      <c r="B62" s="198"/>
      <c r="C62" s="199"/>
      <c r="D62" s="220" t="s">
        <v>713</v>
      </c>
      <c r="E62" s="221"/>
      <c r="F62" s="221"/>
      <c r="G62" s="221"/>
      <c r="H62" s="221"/>
      <c r="I62" s="222"/>
      <c r="J62" s="63"/>
      <c r="K62" s="202">
        <v>0.15</v>
      </c>
      <c r="L62" s="199"/>
      <c r="M62" s="202"/>
      <c r="N62" s="199"/>
      <c r="O62" s="202">
        <v>0.3</v>
      </c>
      <c r="P62" s="199"/>
      <c r="Q62" s="202"/>
      <c r="R62" s="199"/>
      <c r="S62" s="202">
        <f>3.4+1.5</f>
        <v>4.9000000000000004</v>
      </c>
      <c r="T62" s="199"/>
      <c r="U62" s="202"/>
      <c r="V62" s="199"/>
      <c r="W62" s="203">
        <f t="shared" si="6"/>
        <v>4.4999999999999998E-2</v>
      </c>
      <c r="X62" s="204"/>
      <c r="Y62" s="205"/>
      <c r="Z62" s="203">
        <f t="shared" si="7"/>
        <v>0.2205</v>
      </c>
      <c r="AA62" s="204"/>
      <c r="AB62" s="205"/>
      <c r="AC62" s="51"/>
      <c r="AD62" s="52"/>
      <c r="AE62" s="53"/>
      <c r="AF62" s="51"/>
      <c r="AG62" s="52"/>
      <c r="AH62" s="54"/>
    </row>
    <row r="63" spans="1:34" ht="15.75" x14ac:dyDescent="0.25">
      <c r="A63" s="197"/>
      <c r="B63" s="198"/>
      <c r="C63" s="199"/>
      <c r="D63" s="220" t="s">
        <v>714</v>
      </c>
      <c r="E63" s="221"/>
      <c r="F63" s="221"/>
      <c r="G63" s="221"/>
      <c r="H63" s="221"/>
      <c r="I63" s="222"/>
      <c r="J63" s="63"/>
      <c r="K63" s="202">
        <v>0.15</v>
      </c>
      <c r="L63" s="199"/>
      <c r="M63" s="202"/>
      <c r="N63" s="199"/>
      <c r="O63" s="202">
        <v>0.3</v>
      </c>
      <c r="P63" s="199"/>
      <c r="Q63" s="202"/>
      <c r="R63" s="199"/>
      <c r="S63" s="202">
        <f>3.4+1.5</f>
        <v>4.9000000000000004</v>
      </c>
      <c r="T63" s="199"/>
      <c r="U63" s="202"/>
      <c r="V63" s="199"/>
      <c r="W63" s="203">
        <f t="shared" si="6"/>
        <v>4.4999999999999998E-2</v>
      </c>
      <c r="X63" s="204"/>
      <c r="Y63" s="205"/>
      <c r="Z63" s="203">
        <f t="shared" si="7"/>
        <v>0.2205</v>
      </c>
      <c r="AA63" s="204"/>
      <c r="AB63" s="205"/>
      <c r="AC63" s="51"/>
      <c r="AD63" s="52"/>
      <c r="AE63" s="53"/>
      <c r="AF63" s="51"/>
      <c r="AG63" s="52"/>
      <c r="AH63" s="54"/>
    </row>
    <row r="64" spans="1:34" ht="15.75" x14ac:dyDescent="0.25">
      <c r="A64" s="197"/>
      <c r="B64" s="198"/>
      <c r="C64" s="199"/>
      <c r="D64" s="220" t="s">
        <v>715</v>
      </c>
      <c r="E64" s="221"/>
      <c r="F64" s="221"/>
      <c r="G64" s="221"/>
      <c r="H64" s="221"/>
      <c r="I64" s="222"/>
      <c r="J64" s="63"/>
      <c r="K64" s="202">
        <v>0.15</v>
      </c>
      <c r="L64" s="199"/>
      <c r="M64" s="202"/>
      <c r="N64" s="199"/>
      <c r="O64" s="202">
        <v>0.3</v>
      </c>
      <c r="P64" s="199"/>
      <c r="Q64" s="202"/>
      <c r="R64" s="199"/>
      <c r="S64" s="202">
        <f>3.4+1.5</f>
        <v>4.9000000000000004</v>
      </c>
      <c r="T64" s="199"/>
      <c r="U64" s="202"/>
      <c r="V64" s="199"/>
      <c r="W64" s="203">
        <f t="shared" si="6"/>
        <v>4.4999999999999998E-2</v>
      </c>
      <c r="X64" s="204"/>
      <c r="Y64" s="205"/>
      <c r="Z64" s="203">
        <f t="shared" si="7"/>
        <v>0.2205</v>
      </c>
      <c r="AA64" s="204"/>
      <c r="AB64" s="205"/>
      <c r="AC64" s="51"/>
      <c r="AD64" s="52"/>
      <c r="AE64" s="53"/>
      <c r="AF64" s="51"/>
      <c r="AG64" s="52"/>
      <c r="AH64" s="54"/>
    </row>
    <row r="65" spans="1:34" ht="15.75" x14ac:dyDescent="0.25">
      <c r="A65" s="197"/>
      <c r="B65" s="198"/>
      <c r="C65" s="199"/>
      <c r="D65" s="220" t="s">
        <v>716</v>
      </c>
      <c r="E65" s="221"/>
      <c r="F65" s="221"/>
      <c r="G65" s="221"/>
      <c r="H65" s="221"/>
      <c r="I65" s="222"/>
      <c r="J65" s="63"/>
      <c r="K65" s="202">
        <v>0.15</v>
      </c>
      <c r="L65" s="199"/>
      <c r="M65" s="202"/>
      <c r="N65" s="199"/>
      <c r="O65" s="202">
        <v>0.3</v>
      </c>
      <c r="P65" s="199"/>
      <c r="Q65" s="202"/>
      <c r="R65" s="199"/>
      <c r="S65" s="202">
        <v>3.4</v>
      </c>
      <c r="T65" s="199"/>
      <c r="U65" s="202"/>
      <c r="V65" s="199"/>
      <c r="W65" s="203">
        <f t="shared" si="6"/>
        <v>4.4999999999999998E-2</v>
      </c>
      <c r="X65" s="204"/>
      <c r="Y65" s="205"/>
      <c r="Z65" s="203">
        <f t="shared" si="7"/>
        <v>0.153</v>
      </c>
      <c r="AA65" s="204"/>
      <c r="AB65" s="205"/>
      <c r="AC65" s="51"/>
      <c r="AD65" s="52"/>
      <c r="AE65" s="53"/>
      <c r="AF65" s="51"/>
      <c r="AG65" s="52"/>
      <c r="AH65" s="54"/>
    </row>
    <row r="66" spans="1:34" ht="15.75" x14ac:dyDescent="0.25">
      <c r="A66" s="197"/>
      <c r="B66" s="198"/>
      <c r="C66" s="199"/>
      <c r="D66" s="220" t="s">
        <v>717</v>
      </c>
      <c r="E66" s="221"/>
      <c r="F66" s="221"/>
      <c r="G66" s="221"/>
      <c r="H66" s="221"/>
      <c r="I66" s="222"/>
      <c r="J66" s="63"/>
      <c r="K66" s="202">
        <v>0.15</v>
      </c>
      <c r="L66" s="199"/>
      <c r="M66" s="202"/>
      <c r="N66" s="199"/>
      <c r="O66" s="202">
        <v>0.3</v>
      </c>
      <c r="P66" s="199"/>
      <c r="Q66" s="202"/>
      <c r="R66" s="199"/>
      <c r="S66" s="202">
        <v>3.4</v>
      </c>
      <c r="T66" s="199"/>
      <c r="U66" s="202"/>
      <c r="V66" s="199"/>
      <c r="W66" s="203">
        <f t="shared" si="6"/>
        <v>4.4999999999999998E-2</v>
      </c>
      <c r="X66" s="204"/>
      <c r="Y66" s="205"/>
      <c r="Z66" s="203">
        <f t="shared" si="7"/>
        <v>0.153</v>
      </c>
      <c r="AA66" s="204"/>
      <c r="AB66" s="205"/>
      <c r="AC66" s="51"/>
      <c r="AD66" s="52"/>
      <c r="AE66" s="53"/>
      <c r="AF66" s="51"/>
      <c r="AG66" s="52"/>
      <c r="AH66" s="54"/>
    </row>
    <row r="67" spans="1:34" ht="15.75" x14ac:dyDescent="0.25">
      <c r="A67" s="197"/>
      <c r="B67" s="198"/>
      <c r="C67" s="199"/>
      <c r="D67" s="220" t="s">
        <v>718</v>
      </c>
      <c r="E67" s="221"/>
      <c r="F67" s="221"/>
      <c r="G67" s="221"/>
      <c r="H67" s="221"/>
      <c r="I67" s="222"/>
      <c r="J67" s="63"/>
      <c r="K67" s="202">
        <v>0.15</v>
      </c>
      <c r="L67" s="199"/>
      <c r="M67" s="202"/>
      <c r="N67" s="199"/>
      <c r="O67" s="202">
        <v>0.3</v>
      </c>
      <c r="P67" s="199"/>
      <c r="Q67" s="202"/>
      <c r="R67" s="199"/>
      <c r="S67" s="202">
        <v>3.4</v>
      </c>
      <c r="T67" s="199"/>
      <c r="U67" s="226"/>
      <c r="V67" s="227"/>
      <c r="W67" s="223">
        <f t="shared" si="6"/>
        <v>4.4999999999999998E-2</v>
      </c>
      <c r="X67" s="224"/>
      <c r="Y67" s="225"/>
      <c r="Z67" s="223">
        <f t="shared" si="7"/>
        <v>0.153</v>
      </c>
      <c r="AA67" s="224"/>
      <c r="AB67" s="225"/>
      <c r="AC67" s="51"/>
      <c r="AD67" s="52"/>
      <c r="AE67" s="53"/>
      <c r="AF67" s="51"/>
      <c r="AG67" s="52"/>
      <c r="AH67" s="54"/>
    </row>
    <row r="68" spans="1:34" ht="15.75" x14ac:dyDescent="0.25">
      <c r="A68" s="197"/>
      <c r="B68" s="198"/>
      <c r="C68" s="199"/>
      <c r="D68" s="220" t="s">
        <v>719</v>
      </c>
      <c r="E68" s="221"/>
      <c r="F68" s="221"/>
      <c r="G68" s="221"/>
      <c r="H68" s="221"/>
      <c r="I68" s="222"/>
      <c r="J68" s="63"/>
      <c r="K68" s="202">
        <v>0.15</v>
      </c>
      <c r="L68" s="199"/>
      <c r="M68" s="202"/>
      <c r="N68" s="199"/>
      <c r="O68" s="202">
        <v>0.3</v>
      </c>
      <c r="P68" s="199"/>
      <c r="Q68" s="202"/>
      <c r="R68" s="199"/>
      <c r="S68" s="202">
        <v>3.4</v>
      </c>
      <c r="T68" s="199"/>
      <c r="U68" s="226"/>
      <c r="V68" s="227"/>
      <c r="W68" s="223">
        <f t="shared" si="6"/>
        <v>4.4999999999999998E-2</v>
      </c>
      <c r="X68" s="224"/>
      <c r="Y68" s="225"/>
      <c r="Z68" s="223">
        <f t="shared" si="7"/>
        <v>0.153</v>
      </c>
      <c r="AA68" s="224"/>
      <c r="AB68" s="225"/>
      <c r="AC68" s="51"/>
      <c r="AD68" s="52"/>
      <c r="AE68" s="53"/>
      <c r="AF68" s="51"/>
      <c r="AG68" s="52"/>
      <c r="AH68" s="54"/>
    </row>
    <row r="69" spans="1:34" ht="15.75" x14ac:dyDescent="0.25">
      <c r="A69" s="197"/>
      <c r="B69" s="198"/>
      <c r="C69" s="199"/>
      <c r="D69" s="220" t="s">
        <v>720</v>
      </c>
      <c r="E69" s="221"/>
      <c r="F69" s="221"/>
      <c r="G69" s="221"/>
      <c r="H69" s="221"/>
      <c r="I69" s="222"/>
      <c r="J69" s="63"/>
      <c r="K69" s="202">
        <v>0.15</v>
      </c>
      <c r="L69" s="199"/>
      <c r="M69" s="202"/>
      <c r="N69" s="199"/>
      <c r="O69" s="202">
        <v>0.3</v>
      </c>
      <c r="P69" s="199"/>
      <c r="Q69" s="202"/>
      <c r="R69" s="199"/>
      <c r="S69" s="202">
        <v>3.4</v>
      </c>
      <c r="T69" s="199"/>
      <c r="U69" s="226"/>
      <c r="V69" s="227"/>
      <c r="W69" s="223">
        <f t="shared" si="6"/>
        <v>4.4999999999999998E-2</v>
      </c>
      <c r="X69" s="224"/>
      <c r="Y69" s="225"/>
      <c r="Z69" s="223">
        <f t="shared" si="7"/>
        <v>0.153</v>
      </c>
      <c r="AA69" s="224"/>
      <c r="AB69" s="225"/>
      <c r="AC69" s="51"/>
      <c r="AD69" s="52"/>
      <c r="AE69" s="53"/>
      <c r="AF69" s="51"/>
      <c r="AG69" s="52"/>
      <c r="AH69" s="54"/>
    </row>
    <row r="70" spans="1:34" ht="15.75" x14ac:dyDescent="0.25">
      <c r="A70" s="197"/>
      <c r="B70" s="198"/>
      <c r="C70" s="199"/>
      <c r="D70" s="220" t="s">
        <v>721</v>
      </c>
      <c r="E70" s="221"/>
      <c r="F70" s="221"/>
      <c r="G70" s="221"/>
      <c r="H70" s="221"/>
      <c r="I70" s="222"/>
      <c r="J70" s="63"/>
      <c r="K70" s="202">
        <v>0.15</v>
      </c>
      <c r="L70" s="199"/>
      <c r="M70" s="202"/>
      <c r="N70" s="199"/>
      <c r="O70" s="202">
        <v>0.3</v>
      </c>
      <c r="P70" s="199"/>
      <c r="Q70" s="202"/>
      <c r="R70" s="199"/>
      <c r="S70" s="202">
        <v>3.4</v>
      </c>
      <c r="T70" s="199"/>
      <c r="U70" s="202"/>
      <c r="V70" s="199"/>
      <c r="W70" s="203">
        <f t="shared" ref="W70:W92" si="8">K70*O70</f>
        <v>4.4999999999999998E-2</v>
      </c>
      <c r="X70" s="204"/>
      <c r="Y70" s="205"/>
      <c r="Z70" s="203">
        <f t="shared" ref="Z70:Z92" si="9">W70*S70</f>
        <v>0.153</v>
      </c>
      <c r="AA70" s="204"/>
      <c r="AB70" s="205"/>
      <c r="AC70" s="51"/>
      <c r="AD70" s="52"/>
      <c r="AE70" s="53"/>
      <c r="AF70" s="51"/>
      <c r="AG70" s="52"/>
      <c r="AH70" s="54"/>
    </row>
    <row r="71" spans="1:34" ht="15.75" x14ac:dyDescent="0.25">
      <c r="A71" s="197"/>
      <c r="B71" s="198"/>
      <c r="C71" s="199"/>
      <c r="D71" s="220" t="s">
        <v>722</v>
      </c>
      <c r="E71" s="221"/>
      <c r="F71" s="221"/>
      <c r="G71" s="221"/>
      <c r="H71" s="221"/>
      <c r="I71" s="222"/>
      <c r="J71" s="63"/>
      <c r="K71" s="202">
        <v>0.15</v>
      </c>
      <c r="L71" s="199"/>
      <c r="M71" s="202"/>
      <c r="N71" s="199"/>
      <c r="O71" s="202">
        <v>0.3</v>
      </c>
      <c r="P71" s="199"/>
      <c r="Q71" s="202"/>
      <c r="R71" s="199"/>
      <c r="S71" s="202">
        <f>3.4+1.5</f>
        <v>4.9000000000000004</v>
      </c>
      <c r="T71" s="199"/>
      <c r="U71" s="226"/>
      <c r="V71" s="227"/>
      <c r="W71" s="223">
        <f t="shared" si="8"/>
        <v>4.4999999999999998E-2</v>
      </c>
      <c r="X71" s="224"/>
      <c r="Y71" s="225"/>
      <c r="Z71" s="223">
        <f t="shared" si="9"/>
        <v>0.2205</v>
      </c>
      <c r="AA71" s="224"/>
      <c r="AB71" s="225"/>
      <c r="AC71" s="51"/>
      <c r="AD71" s="52"/>
      <c r="AE71" s="53"/>
      <c r="AF71" s="51"/>
      <c r="AG71" s="52"/>
      <c r="AH71" s="54"/>
    </row>
    <row r="72" spans="1:34" ht="15.75" x14ac:dyDescent="0.25">
      <c r="A72" s="197"/>
      <c r="B72" s="198"/>
      <c r="C72" s="199"/>
      <c r="D72" s="220" t="s">
        <v>723</v>
      </c>
      <c r="E72" s="221"/>
      <c r="F72" s="221"/>
      <c r="G72" s="221"/>
      <c r="H72" s="221"/>
      <c r="I72" s="222"/>
      <c r="J72" s="63"/>
      <c r="K72" s="202">
        <v>0.15</v>
      </c>
      <c r="L72" s="199"/>
      <c r="M72" s="202"/>
      <c r="N72" s="199"/>
      <c r="O72" s="202">
        <v>0.3</v>
      </c>
      <c r="P72" s="199"/>
      <c r="Q72" s="202"/>
      <c r="R72" s="199"/>
      <c r="S72" s="202">
        <v>3.4</v>
      </c>
      <c r="T72" s="199"/>
      <c r="U72" s="226"/>
      <c r="V72" s="227"/>
      <c r="W72" s="223">
        <f t="shared" si="8"/>
        <v>4.4999999999999998E-2</v>
      </c>
      <c r="X72" s="224"/>
      <c r="Y72" s="225"/>
      <c r="Z72" s="223">
        <f t="shared" si="9"/>
        <v>0.153</v>
      </c>
      <c r="AA72" s="224"/>
      <c r="AB72" s="225"/>
      <c r="AC72" s="51"/>
      <c r="AD72" s="52"/>
      <c r="AE72" s="53"/>
      <c r="AF72" s="51"/>
      <c r="AG72" s="52"/>
      <c r="AH72" s="54"/>
    </row>
    <row r="73" spans="1:34" ht="15.75" x14ac:dyDescent="0.25">
      <c r="A73" s="197"/>
      <c r="B73" s="198"/>
      <c r="C73" s="199"/>
      <c r="D73" s="220" t="s">
        <v>724</v>
      </c>
      <c r="E73" s="221"/>
      <c r="F73" s="221"/>
      <c r="G73" s="221"/>
      <c r="H73" s="221"/>
      <c r="I73" s="222"/>
      <c r="J73" s="63"/>
      <c r="K73" s="202">
        <v>0.15</v>
      </c>
      <c r="L73" s="199"/>
      <c r="M73" s="202"/>
      <c r="N73" s="199"/>
      <c r="O73" s="202">
        <v>0.3</v>
      </c>
      <c r="P73" s="199"/>
      <c r="Q73" s="202"/>
      <c r="R73" s="199"/>
      <c r="S73" s="202">
        <f>3.4+1.5</f>
        <v>4.9000000000000004</v>
      </c>
      <c r="T73" s="199"/>
      <c r="U73" s="226"/>
      <c r="V73" s="227"/>
      <c r="W73" s="223">
        <f t="shared" si="8"/>
        <v>4.4999999999999998E-2</v>
      </c>
      <c r="X73" s="224"/>
      <c r="Y73" s="225"/>
      <c r="Z73" s="223">
        <f t="shared" si="9"/>
        <v>0.2205</v>
      </c>
      <c r="AA73" s="224"/>
      <c r="AB73" s="225"/>
      <c r="AC73" s="51"/>
      <c r="AD73" s="52"/>
      <c r="AE73" s="53"/>
      <c r="AF73" s="51"/>
      <c r="AG73" s="52"/>
      <c r="AH73" s="54"/>
    </row>
    <row r="74" spans="1:34" ht="15.75" x14ac:dyDescent="0.25">
      <c r="A74" s="197"/>
      <c r="B74" s="198"/>
      <c r="C74" s="199"/>
      <c r="D74" s="220" t="s">
        <v>725</v>
      </c>
      <c r="E74" s="221"/>
      <c r="F74" s="221"/>
      <c r="G74" s="221"/>
      <c r="H74" s="221"/>
      <c r="I74" s="222"/>
      <c r="J74" s="63"/>
      <c r="K74" s="202">
        <v>0.15</v>
      </c>
      <c r="L74" s="199"/>
      <c r="M74" s="202"/>
      <c r="N74" s="199"/>
      <c r="O74" s="202">
        <v>0.3</v>
      </c>
      <c r="P74" s="199"/>
      <c r="Q74" s="202"/>
      <c r="R74" s="199"/>
      <c r="S74" s="202">
        <f>3.4+1.5</f>
        <v>4.9000000000000004</v>
      </c>
      <c r="T74" s="199"/>
      <c r="U74" s="202"/>
      <c r="V74" s="199"/>
      <c r="W74" s="203">
        <f t="shared" si="8"/>
        <v>4.4999999999999998E-2</v>
      </c>
      <c r="X74" s="204"/>
      <c r="Y74" s="205"/>
      <c r="Z74" s="203">
        <f t="shared" si="9"/>
        <v>0.2205</v>
      </c>
      <c r="AA74" s="204"/>
      <c r="AB74" s="205"/>
      <c r="AC74" s="51"/>
      <c r="AD74" s="52"/>
      <c r="AE74" s="53"/>
      <c r="AF74" s="51"/>
      <c r="AG74" s="52"/>
      <c r="AH74" s="54"/>
    </row>
    <row r="75" spans="1:34" ht="15.75" x14ac:dyDescent="0.25">
      <c r="A75" s="197"/>
      <c r="B75" s="198"/>
      <c r="C75" s="199"/>
      <c r="D75" s="220" t="s">
        <v>726</v>
      </c>
      <c r="E75" s="221"/>
      <c r="F75" s="221"/>
      <c r="G75" s="221"/>
      <c r="H75" s="221"/>
      <c r="I75" s="222"/>
      <c r="J75" s="63"/>
      <c r="K75" s="202">
        <v>0.15</v>
      </c>
      <c r="L75" s="199"/>
      <c r="M75" s="202"/>
      <c r="N75" s="199"/>
      <c r="O75" s="202">
        <v>0.3</v>
      </c>
      <c r="P75" s="199"/>
      <c r="Q75" s="202"/>
      <c r="R75" s="199"/>
      <c r="S75" s="202">
        <v>3.4</v>
      </c>
      <c r="T75" s="199"/>
      <c r="U75" s="226"/>
      <c r="V75" s="227"/>
      <c r="W75" s="223">
        <f t="shared" si="8"/>
        <v>4.4999999999999998E-2</v>
      </c>
      <c r="X75" s="224"/>
      <c r="Y75" s="225"/>
      <c r="Z75" s="223">
        <f t="shared" si="9"/>
        <v>0.153</v>
      </c>
      <c r="AA75" s="224"/>
      <c r="AB75" s="225"/>
      <c r="AC75" s="51"/>
      <c r="AD75" s="52"/>
      <c r="AE75" s="53"/>
      <c r="AF75" s="51"/>
      <c r="AG75" s="52"/>
      <c r="AH75" s="54"/>
    </row>
    <row r="76" spans="1:34" ht="15.75" x14ac:dyDescent="0.25">
      <c r="A76" s="197"/>
      <c r="B76" s="198"/>
      <c r="C76" s="199"/>
      <c r="D76" s="220" t="s">
        <v>727</v>
      </c>
      <c r="E76" s="221"/>
      <c r="F76" s="221"/>
      <c r="G76" s="221"/>
      <c r="H76" s="221"/>
      <c r="I76" s="222"/>
      <c r="J76" s="63"/>
      <c r="K76" s="202">
        <v>0.15</v>
      </c>
      <c r="L76" s="199"/>
      <c r="M76" s="202"/>
      <c r="N76" s="199"/>
      <c r="O76" s="202">
        <v>0.3</v>
      </c>
      <c r="P76" s="199"/>
      <c r="Q76" s="202"/>
      <c r="R76" s="199"/>
      <c r="S76" s="202">
        <v>3.4</v>
      </c>
      <c r="T76" s="199"/>
      <c r="U76" s="226"/>
      <c r="V76" s="227"/>
      <c r="W76" s="223">
        <f t="shared" si="8"/>
        <v>4.4999999999999998E-2</v>
      </c>
      <c r="X76" s="224"/>
      <c r="Y76" s="225"/>
      <c r="Z76" s="223">
        <f t="shared" si="9"/>
        <v>0.153</v>
      </c>
      <c r="AA76" s="224"/>
      <c r="AB76" s="225"/>
      <c r="AC76" s="51"/>
      <c r="AD76" s="52"/>
      <c r="AE76" s="53"/>
      <c r="AF76" s="51"/>
      <c r="AG76" s="52"/>
      <c r="AH76" s="54"/>
    </row>
    <row r="77" spans="1:34" ht="15.75" x14ac:dyDescent="0.25">
      <c r="A77" s="197"/>
      <c r="B77" s="198"/>
      <c r="C77" s="199"/>
      <c r="D77" s="220" t="s">
        <v>728</v>
      </c>
      <c r="E77" s="221"/>
      <c r="F77" s="221"/>
      <c r="G77" s="221"/>
      <c r="H77" s="221"/>
      <c r="I77" s="222"/>
      <c r="J77" s="63"/>
      <c r="K77" s="202">
        <v>0.15</v>
      </c>
      <c r="L77" s="199"/>
      <c r="M77" s="202"/>
      <c r="N77" s="199"/>
      <c r="O77" s="202">
        <v>0.3</v>
      </c>
      <c r="P77" s="199"/>
      <c r="Q77" s="202"/>
      <c r="R77" s="199"/>
      <c r="S77" s="202">
        <v>3.4</v>
      </c>
      <c r="T77" s="199"/>
      <c r="U77" s="226"/>
      <c r="V77" s="227"/>
      <c r="W77" s="223">
        <f t="shared" si="8"/>
        <v>4.4999999999999998E-2</v>
      </c>
      <c r="X77" s="224"/>
      <c r="Y77" s="225"/>
      <c r="Z77" s="223">
        <f t="shared" si="9"/>
        <v>0.153</v>
      </c>
      <c r="AA77" s="224"/>
      <c r="AB77" s="225"/>
      <c r="AC77" s="51"/>
      <c r="AD77" s="52"/>
      <c r="AE77" s="53"/>
      <c r="AF77" s="51"/>
      <c r="AG77" s="52"/>
      <c r="AH77" s="54"/>
    </row>
    <row r="78" spans="1:34" ht="15.75" x14ac:dyDescent="0.25">
      <c r="A78" s="197"/>
      <c r="B78" s="198"/>
      <c r="C78" s="199"/>
      <c r="D78" s="220" t="s">
        <v>729</v>
      </c>
      <c r="E78" s="221"/>
      <c r="F78" s="221"/>
      <c r="G78" s="221"/>
      <c r="H78" s="221"/>
      <c r="I78" s="222"/>
      <c r="J78" s="63"/>
      <c r="K78" s="202">
        <v>0.15</v>
      </c>
      <c r="L78" s="199"/>
      <c r="M78" s="202"/>
      <c r="N78" s="199"/>
      <c r="O78" s="202">
        <v>0.3</v>
      </c>
      <c r="P78" s="199"/>
      <c r="Q78" s="202"/>
      <c r="R78" s="199"/>
      <c r="S78" s="202">
        <v>3.4</v>
      </c>
      <c r="T78" s="199"/>
      <c r="U78" s="202"/>
      <c r="V78" s="199"/>
      <c r="W78" s="203">
        <f t="shared" si="8"/>
        <v>4.4999999999999998E-2</v>
      </c>
      <c r="X78" s="204"/>
      <c r="Y78" s="205"/>
      <c r="Z78" s="203">
        <f t="shared" si="9"/>
        <v>0.153</v>
      </c>
      <c r="AA78" s="204"/>
      <c r="AB78" s="205"/>
      <c r="AC78" s="51"/>
      <c r="AD78" s="52"/>
      <c r="AE78" s="53"/>
      <c r="AF78" s="51"/>
      <c r="AG78" s="52"/>
      <c r="AH78" s="54"/>
    </row>
    <row r="79" spans="1:34" ht="15.75" x14ac:dyDescent="0.25">
      <c r="A79" s="197"/>
      <c r="B79" s="198"/>
      <c r="C79" s="199"/>
      <c r="D79" s="220" t="s">
        <v>730</v>
      </c>
      <c r="E79" s="221"/>
      <c r="F79" s="221"/>
      <c r="G79" s="221"/>
      <c r="H79" s="221"/>
      <c r="I79" s="222"/>
      <c r="J79" s="63"/>
      <c r="K79" s="202">
        <v>0.15</v>
      </c>
      <c r="L79" s="199"/>
      <c r="M79" s="202"/>
      <c r="N79" s="199"/>
      <c r="O79" s="202">
        <v>0.3</v>
      </c>
      <c r="P79" s="199"/>
      <c r="Q79" s="202"/>
      <c r="R79" s="199"/>
      <c r="S79" s="202">
        <v>3.4</v>
      </c>
      <c r="T79" s="199"/>
      <c r="U79" s="226"/>
      <c r="V79" s="227"/>
      <c r="W79" s="223">
        <f t="shared" si="8"/>
        <v>4.4999999999999998E-2</v>
      </c>
      <c r="X79" s="224"/>
      <c r="Y79" s="225"/>
      <c r="Z79" s="223">
        <f t="shared" si="9"/>
        <v>0.153</v>
      </c>
      <c r="AA79" s="224"/>
      <c r="AB79" s="225"/>
      <c r="AC79" s="51"/>
      <c r="AD79" s="52"/>
      <c r="AE79" s="53"/>
      <c r="AF79" s="51"/>
      <c r="AG79" s="52"/>
      <c r="AH79" s="54"/>
    </row>
    <row r="80" spans="1:34" ht="15.75" x14ac:dyDescent="0.25">
      <c r="A80" s="197"/>
      <c r="B80" s="198"/>
      <c r="C80" s="199"/>
      <c r="D80" s="220" t="s">
        <v>731</v>
      </c>
      <c r="E80" s="221"/>
      <c r="F80" s="221"/>
      <c r="G80" s="221"/>
      <c r="H80" s="221"/>
      <c r="I80" s="222"/>
      <c r="J80" s="63"/>
      <c r="K80" s="226">
        <v>0.2</v>
      </c>
      <c r="L80" s="227"/>
      <c r="M80" s="226"/>
      <c r="N80" s="227"/>
      <c r="O80" s="226">
        <v>0.3</v>
      </c>
      <c r="P80" s="227"/>
      <c r="Q80" s="226"/>
      <c r="R80" s="227"/>
      <c r="S80" s="226">
        <v>3.4</v>
      </c>
      <c r="T80" s="227"/>
      <c r="U80" s="226"/>
      <c r="V80" s="227"/>
      <c r="W80" s="223">
        <f t="shared" si="8"/>
        <v>0.06</v>
      </c>
      <c r="X80" s="224"/>
      <c r="Y80" s="225"/>
      <c r="Z80" s="223">
        <f t="shared" si="9"/>
        <v>0.20399999999999999</v>
      </c>
      <c r="AA80" s="224"/>
      <c r="AB80" s="225"/>
      <c r="AC80" s="51"/>
      <c r="AD80" s="52"/>
      <c r="AE80" s="53"/>
      <c r="AF80" s="51"/>
      <c r="AG80" s="52"/>
      <c r="AH80" s="54"/>
    </row>
    <row r="81" spans="1:34" ht="15.75" x14ac:dyDescent="0.25">
      <c r="A81" s="197"/>
      <c r="B81" s="198"/>
      <c r="C81" s="199"/>
      <c r="D81" s="220" t="s">
        <v>732</v>
      </c>
      <c r="E81" s="221"/>
      <c r="F81" s="221"/>
      <c r="G81" s="221"/>
      <c r="H81" s="221"/>
      <c r="I81" s="222"/>
      <c r="J81" s="63"/>
      <c r="K81" s="226">
        <v>0.2</v>
      </c>
      <c r="L81" s="227"/>
      <c r="M81" s="226"/>
      <c r="N81" s="227"/>
      <c r="O81" s="226">
        <v>0.3</v>
      </c>
      <c r="P81" s="227"/>
      <c r="Q81" s="226"/>
      <c r="R81" s="227"/>
      <c r="S81" s="202">
        <f>3.4+1.5</f>
        <v>4.9000000000000004</v>
      </c>
      <c r="T81" s="199"/>
      <c r="U81" s="226"/>
      <c r="V81" s="227"/>
      <c r="W81" s="223">
        <f t="shared" si="8"/>
        <v>0.06</v>
      </c>
      <c r="X81" s="224"/>
      <c r="Y81" s="225"/>
      <c r="Z81" s="223">
        <f t="shared" si="9"/>
        <v>0.29399999999999998</v>
      </c>
      <c r="AA81" s="224"/>
      <c r="AB81" s="225"/>
      <c r="AC81" s="51"/>
      <c r="AD81" s="52"/>
      <c r="AE81" s="53"/>
      <c r="AF81" s="51"/>
      <c r="AG81" s="52"/>
      <c r="AH81" s="54"/>
    </row>
    <row r="82" spans="1:34" ht="15.75" x14ac:dyDescent="0.25">
      <c r="A82" s="197"/>
      <c r="B82" s="198"/>
      <c r="C82" s="199"/>
      <c r="D82" s="220" t="s">
        <v>733</v>
      </c>
      <c r="E82" s="221"/>
      <c r="F82" s="221"/>
      <c r="G82" s="221"/>
      <c r="H82" s="221"/>
      <c r="I82" s="222"/>
      <c r="J82" s="63"/>
      <c r="K82" s="226">
        <v>0.15</v>
      </c>
      <c r="L82" s="227"/>
      <c r="M82" s="226"/>
      <c r="N82" s="227"/>
      <c r="O82" s="226">
        <v>0.3</v>
      </c>
      <c r="P82" s="227"/>
      <c r="Q82" s="202"/>
      <c r="R82" s="199"/>
      <c r="S82" s="202">
        <f>3.4+1.5</f>
        <v>4.9000000000000004</v>
      </c>
      <c r="T82" s="199"/>
      <c r="U82" s="202"/>
      <c r="V82" s="199"/>
      <c r="W82" s="203">
        <f t="shared" si="8"/>
        <v>4.4999999999999998E-2</v>
      </c>
      <c r="X82" s="204"/>
      <c r="Y82" s="205"/>
      <c r="Z82" s="203">
        <f t="shared" si="9"/>
        <v>0.2205</v>
      </c>
      <c r="AA82" s="204"/>
      <c r="AB82" s="205"/>
      <c r="AC82" s="51"/>
      <c r="AD82" s="52"/>
      <c r="AE82" s="53"/>
      <c r="AF82" s="51"/>
      <c r="AG82" s="52"/>
      <c r="AH82" s="54"/>
    </row>
    <row r="83" spans="1:34" ht="15.75" x14ac:dyDescent="0.25">
      <c r="A83" s="197"/>
      <c r="B83" s="198"/>
      <c r="C83" s="199"/>
      <c r="D83" s="220" t="s">
        <v>734</v>
      </c>
      <c r="E83" s="221"/>
      <c r="F83" s="221"/>
      <c r="G83" s="221"/>
      <c r="H83" s="221"/>
      <c r="I83" s="222"/>
      <c r="J83" s="63"/>
      <c r="K83" s="226">
        <v>0.15</v>
      </c>
      <c r="L83" s="227"/>
      <c r="M83" s="226"/>
      <c r="N83" s="227"/>
      <c r="O83" s="226">
        <v>0.3</v>
      </c>
      <c r="P83" s="227"/>
      <c r="Q83" s="202"/>
      <c r="R83" s="199"/>
      <c r="S83" s="202">
        <f>3.4+1.5</f>
        <v>4.9000000000000004</v>
      </c>
      <c r="T83" s="199"/>
      <c r="U83" s="226"/>
      <c r="V83" s="227"/>
      <c r="W83" s="223">
        <f t="shared" si="8"/>
        <v>4.4999999999999998E-2</v>
      </c>
      <c r="X83" s="224"/>
      <c r="Y83" s="225"/>
      <c r="Z83" s="223">
        <f t="shared" si="9"/>
        <v>0.2205</v>
      </c>
      <c r="AA83" s="224"/>
      <c r="AB83" s="225"/>
      <c r="AC83" s="51"/>
      <c r="AD83" s="52"/>
      <c r="AE83" s="53"/>
      <c r="AF83" s="51"/>
      <c r="AG83" s="52"/>
      <c r="AH83" s="54"/>
    </row>
    <row r="84" spans="1:34" ht="15.75" x14ac:dyDescent="0.25">
      <c r="A84" s="197"/>
      <c r="B84" s="198"/>
      <c r="C84" s="199"/>
      <c r="D84" s="220" t="s">
        <v>735</v>
      </c>
      <c r="E84" s="221"/>
      <c r="F84" s="221"/>
      <c r="G84" s="221"/>
      <c r="H84" s="221"/>
      <c r="I84" s="222"/>
      <c r="J84" s="63"/>
      <c r="K84" s="202">
        <v>0.15</v>
      </c>
      <c r="L84" s="199"/>
      <c r="M84" s="202"/>
      <c r="N84" s="199"/>
      <c r="O84" s="202">
        <v>0.3</v>
      </c>
      <c r="P84" s="199"/>
      <c r="Q84" s="202"/>
      <c r="R84" s="199"/>
      <c r="S84" s="202">
        <v>3.4</v>
      </c>
      <c r="T84" s="199"/>
      <c r="U84" s="226"/>
      <c r="V84" s="227"/>
      <c r="W84" s="223">
        <f t="shared" si="8"/>
        <v>4.4999999999999998E-2</v>
      </c>
      <c r="X84" s="224"/>
      <c r="Y84" s="225"/>
      <c r="Z84" s="223">
        <f t="shared" si="9"/>
        <v>0.153</v>
      </c>
      <c r="AA84" s="224"/>
      <c r="AB84" s="225"/>
      <c r="AC84" s="51"/>
      <c r="AD84" s="52"/>
      <c r="AE84" s="53"/>
      <c r="AF84" s="51"/>
      <c r="AG84" s="52"/>
      <c r="AH84" s="54"/>
    </row>
    <row r="85" spans="1:34" ht="15.75" x14ac:dyDescent="0.25">
      <c r="A85" s="197"/>
      <c r="B85" s="198"/>
      <c r="C85" s="199"/>
      <c r="D85" s="220" t="s">
        <v>736</v>
      </c>
      <c r="E85" s="221"/>
      <c r="F85" s="221"/>
      <c r="G85" s="221"/>
      <c r="H85" s="221"/>
      <c r="I85" s="222"/>
      <c r="J85" s="63"/>
      <c r="K85" s="202">
        <v>0.15</v>
      </c>
      <c r="L85" s="199"/>
      <c r="M85" s="202"/>
      <c r="N85" s="199"/>
      <c r="O85" s="202">
        <v>0.3</v>
      </c>
      <c r="P85" s="199"/>
      <c r="Q85" s="202"/>
      <c r="R85" s="199"/>
      <c r="S85" s="202">
        <v>3.4</v>
      </c>
      <c r="T85" s="199"/>
      <c r="U85" s="226"/>
      <c r="V85" s="227"/>
      <c r="W85" s="223">
        <f t="shared" si="8"/>
        <v>4.4999999999999998E-2</v>
      </c>
      <c r="X85" s="224"/>
      <c r="Y85" s="225"/>
      <c r="Z85" s="223">
        <f t="shared" si="9"/>
        <v>0.153</v>
      </c>
      <c r="AA85" s="224"/>
      <c r="AB85" s="225"/>
      <c r="AC85" s="51"/>
      <c r="AD85" s="52"/>
      <c r="AE85" s="53"/>
      <c r="AF85" s="51"/>
      <c r="AG85" s="52"/>
      <c r="AH85" s="54"/>
    </row>
    <row r="86" spans="1:34" ht="15.75" x14ac:dyDescent="0.25">
      <c r="A86" s="197"/>
      <c r="B86" s="198"/>
      <c r="C86" s="199"/>
      <c r="D86" s="220" t="s">
        <v>737</v>
      </c>
      <c r="E86" s="221"/>
      <c r="F86" s="221"/>
      <c r="G86" s="221"/>
      <c r="H86" s="221"/>
      <c r="I86" s="222"/>
      <c r="J86" s="63"/>
      <c r="K86" s="226">
        <v>0.15</v>
      </c>
      <c r="L86" s="227"/>
      <c r="M86" s="226"/>
      <c r="N86" s="227"/>
      <c r="O86" s="226">
        <v>0.3</v>
      </c>
      <c r="P86" s="227"/>
      <c r="Q86" s="202"/>
      <c r="R86" s="199"/>
      <c r="S86" s="202">
        <f>3.4+1.5</f>
        <v>4.9000000000000004</v>
      </c>
      <c r="T86" s="199"/>
      <c r="U86" s="202"/>
      <c r="V86" s="199"/>
      <c r="W86" s="203">
        <f t="shared" si="8"/>
        <v>4.4999999999999998E-2</v>
      </c>
      <c r="X86" s="204"/>
      <c r="Y86" s="205"/>
      <c r="Z86" s="203">
        <f t="shared" si="9"/>
        <v>0.2205</v>
      </c>
      <c r="AA86" s="204"/>
      <c r="AB86" s="205"/>
      <c r="AC86" s="51"/>
      <c r="AD86" s="52"/>
      <c r="AE86" s="53"/>
      <c r="AF86" s="51"/>
      <c r="AG86" s="52"/>
      <c r="AH86" s="54"/>
    </row>
    <row r="87" spans="1:34" ht="15.75" x14ac:dyDescent="0.25">
      <c r="A87" s="197"/>
      <c r="B87" s="198"/>
      <c r="C87" s="199"/>
      <c r="D87" s="220" t="s">
        <v>738</v>
      </c>
      <c r="E87" s="221"/>
      <c r="F87" s="221"/>
      <c r="G87" s="221"/>
      <c r="H87" s="221"/>
      <c r="I87" s="222"/>
      <c r="J87" s="63"/>
      <c r="K87" s="226">
        <v>0.15</v>
      </c>
      <c r="L87" s="227"/>
      <c r="M87" s="226"/>
      <c r="N87" s="227"/>
      <c r="O87" s="226">
        <v>0.3</v>
      </c>
      <c r="P87" s="227"/>
      <c r="Q87" s="202"/>
      <c r="R87" s="199"/>
      <c r="S87" s="202">
        <f>3.4+1.5</f>
        <v>4.9000000000000004</v>
      </c>
      <c r="T87" s="199"/>
      <c r="U87" s="226"/>
      <c r="V87" s="227"/>
      <c r="W87" s="223">
        <f t="shared" si="8"/>
        <v>4.4999999999999998E-2</v>
      </c>
      <c r="X87" s="224"/>
      <c r="Y87" s="225"/>
      <c r="Z87" s="223">
        <f t="shared" si="9"/>
        <v>0.2205</v>
      </c>
      <c r="AA87" s="224"/>
      <c r="AB87" s="225"/>
      <c r="AC87" s="51"/>
      <c r="AD87" s="52"/>
      <c r="AE87" s="53"/>
      <c r="AF87" s="51"/>
      <c r="AG87" s="52"/>
      <c r="AH87" s="54"/>
    </row>
    <row r="88" spans="1:34" ht="15.75" x14ac:dyDescent="0.25">
      <c r="A88" s="197"/>
      <c r="B88" s="198"/>
      <c r="C88" s="199"/>
      <c r="D88" s="220" t="s">
        <v>739</v>
      </c>
      <c r="E88" s="221"/>
      <c r="F88" s="221"/>
      <c r="G88" s="221"/>
      <c r="H88" s="221"/>
      <c r="I88" s="222"/>
      <c r="J88" s="63"/>
      <c r="K88" s="202">
        <v>0.15</v>
      </c>
      <c r="L88" s="199"/>
      <c r="M88" s="202"/>
      <c r="N88" s="199"/>
      <c r="O88" s="202">
        <v>0.3</v>
      </c>
      <c r="P88" s="199"/>
      <c r="Q88" s="202"/>
      <c r="R88" s="199"/>
      <c r="S88" s="202">
        <v>3.4</v>
      </c>
      <c r="T88" s="199"/>
      <c r="U88" s="226"/>
      <c r="V88" s="227"/>
      <c r="W88" s="223">
        <f t="shared" si="8"/>
        <v>4.4999999999999998E-2</v>
      </c>
      <c r="X88" s="224"/>
      <c r="Y88" s="225"/>
      <c r="Z88" s="223">
        <f t="shared" si="9"/>
        <v>0.153</v>
      </c>
      <c r="AA88" s="224"/>
      <c r="AB88" s="225"/>
      <c r="AC88" s="51"/>
      <c r="AD88" s="52"/>
      <c r="AE88" s="53"/>
      <c r="AF88" s="51"/>
      <c r="AG88" s="52"/>
      <c r="AH88" s="54"/>
    </row>
    <row r="89" spans="1:34" ht="15.75" x14ac:dyDescent="0.25">
      <c r="A89" s="197"/>
      <c r="B89" s="198"/>
      <c r="C89" s="199"/>
      <c r="D89" s="220" t="s">
        <v>740</v>
      </c>
      <c r="E89" s="221"/>
      <c r="F89" s="221"/>
      <c r="G89" s="221"/>
      <c r="H89" s="221"/>
      <c r="I89" s="222"/>
      <c r="J89" s="63"/>
      <c r="K89" s="202">
        <v>0.15</v>
      </c>
      <c r="L89" s="199"/>
      <c r="M89" s="202"/>
      <c r="N89" s="199"/>
      <c r="O89" s="202">
        <v>0.3</v>
      </c>
      <c r="P89" s="199"/>
      <c r="Q89" s="202"/>
      <c r="R89" s="199"/>
      <c r="S89" s="202">
        <v>3.4</v>
      </c>
      <c r="T89" s="199"/>
      <c r="U89" s="202"/>
      <c r="V89" s="199"/>
      <c r="W89" s="203">
        <f t="shared" si="8"/>
        <v>4.4999999999999998E-2</v>
      </c>
      <c r="X89" s="204"/>
      <c r="Y89" s="205"/>
      <c r="Z89" s="203">
        <f t="shared" si="9"/>
        <v>0.153</v>
      </c>
      <c r="AA89" s="204"/>
      <c r="AB89" s="205"/>
      <c r="AC89" s="51"/>
      <c r="AD89" s="52"/>
      <c r="AE89" s="53"/>
      <c r="AF89" s="51"/>
      <c r="AG89" s="52"/>
      <c r="AH89" s="54"/>
    </row>
    <row r="90" spans="1:34" ht="15.75" x14ac:dyDescent="0.25">
      <c r="A90" s="197"/>
      <c r="B90" s="198"/>
      <c r="C90" s="199"/>
      <c r="D90" s="220" t="s">
        <v>741</v>
      </c>
      <c r="E90" s="221"/>
      <c r="F90" s="221"/>
      <c r="G90" s="221"/>
      <c r="H90" s="221"/>
      <c r="I90" s="222"/>
      <c r="J90" s="63"/>
      <c r="K90" s="202">
        <v>0.15</v>
      </c>
      <c r="L90" s="199"/>
      <c r="M90" s="202"/>
      <c r="N90" s="199"/>
      <c r="O90" s="202">
        <v>0.3</v>
      </c>
      <c r="P90" s="199"/>
      <c r="Q90" s="202"/>
      <c r="R90" s="199"/>
      <c r="S90" s="202">
        <v>3.4</v>
      </c>
      <c r="T90" s="199"/>
      <c r="U90" s="226"/>
      <c r="V90" s="227"/>
      <c r="W90" s="223">
        <f t="shared" si="8"/>
        <v>4.4999999999999998E-2</v>
      </c>
      <c r="X90" s="224"/>
      <c r="Y90" s="225"/>
      <c r="Z90" s="223">
        <f t="shared" si="9"/>
        <v>0.153</v>
      </c>
      <c r="AA90" s="224"/>
      <c r="AB90" s="225"/>
      <c r="AC90" s="51"/>
      <c r="AD90" s="52"/>
      <c r="AE90" s="53"/>
      <c r="AF90" s="51"/>
      <c r="AG90" s="52"/>
      <c r="AH90" s="54"/>
    </row>
    <row r="91" spans="1:34" ht="15.75" x14ac:dyDescent="0.25">
      <c r="A91" s="197"/>
      <c r="B91" s="198"/>
      <c r="C91" s="199"/>
      <c r="D91" s="220" t="s">
        <v>742</v>
      </c>
      <c r="E91" s="221"/>
      <c r="F91" s="221"/>
      <c r="G91" s="221"/>
      <c r="H91" s="221"/>
      <c r="I91" s="222"/>
      <c r="J91" s="63"/>
      <c r="K91" s="202">
        <v>0.15</v>
      </c>
      <c r="L91" s="199"/>
      <c r="M91" s="202"/>
      <c r="N91" s="199"/>
      <c r="O91" s="202">
        <v>0.3</v>
      </c>
      <c r="P91" s="199"/>
      <c r="Q91" s="202"/>
      <c r="R91" s="199"/>
      <c r="S91" s="202">
        <v>3.4</v>
      </c>
      <c r="T91" s="199"/>
      <c r="U91" s="226"/>
      <c r="V91" s="227"/>
      <c r="W91" s="223">
        <f t="shared" si="8"/>
        <v>4.4999999999999998E-2</v>
      </c>
      <c r="X91" s="224"/>
      <c r="Y91" s="225"/>
      <c r="Z91" s="223">
        <f t="shared" si="9"/>
        <v>0.153</v>
      </c>
      <c r="AA91" s="224"/>
      <c r="AB91" s="225"/>
      <c r="AC91" s="51"/>
      <c r="AD91" s="52"/>
      <c r="AE91" s="53"/>
      <c r="AF91" s="51"/>
      <c r="AG91" s="52"/>
      <c r="AH91" s="54"/>
    </row>
    <row r="92" spans="1:34" ht="15.75" x14ac:dyDescent="0.25">
      <c r="A92" s="197"/>
      <c r="B92" s="198"/>
      <c r="C92" s="199"/>
      <c r="D92" s="220" t="s">
        <v>743</v>
      </c>
      <c r="E92" s="221"/>
      <c r="F92" s="221"/>
      <c r="G92" s="221"/>
      <c r="H92" s="221"/>
      <c r="I92" s="222"/>
      <c r="J92" s="63"/>
      <c r="K92" s="202">
        <v>0.15</v>
      </c>
      <c r="L92" s="199"/>
      <c r="M92" s="202"/>
      <c r="N92" s="199"/>
      <c r="O92" s="202">
        <v>0.3</v>
      </c>
      <c r="P92" s="199"/>
      <c r="Q92" s="202"/>
      <c r="R92" s="199"/>
      <c r="S92" s="202">
        <v>3.4</v>
      </c>
      <c r="T92" s="199"/>
      <c r="U92" s="226"/>
      <c r="V92" s="227"/>
      <c r="W92" s="223">
        <f t="shared" si="8"/>
        <v>4.4999999999999998E-2</v>
      </c>
      <c r="X92" s="224"/>
      <c r="Y92" s="225"/>
      <c r="Z92" s="223">
        <f t="shared" si="9"/>
        <v>0.153</v>
      </c>
      <c r="AA92" s="224"/>
      <c r="AB92" s="225"/>
      <c r="AC92" s="51"/>
      <c r="AD92" s="52"/>
      <c r="AE92" s="53"/>
      <c r="AF92" s="51"/>
      <c r="AG92" s="52"/>
      <c r="AH92" s="54"/>
    </row>
    <row r="93" spans="1:34" ht="15.75" x14ac:dyDescent="0.25">
      <c r="A93" s="197"/>
      <c r="B93" s="198"/>
      <c r="C93" s="199"/>
      <c r="D93" s="220" t="s">
        <v>744</v>
      </c>
      <c r="E93" s="221"/>
      <c r="F93" s="221"/>
      <c r="G93" s="221"/>
      <c r="H93" s="221"/>
      <c r="I93" s="222"/>
      <c r="J93" s="63"/>
      <c r="K93" s="202">
        <v>0.15</v>
      </c>
      <c r="L93" s="199"/>
      <c r="M93" s="202"/>
      <c r="N93" s="199"/>
      <c r="O93" s="202">
        <v>0.3</v>
      </c>
      <c r="P93" s="199"/>
      <c r="Q93" s="226"/>
      <c r="R93" s="227"/>
      <c r="S93" s="202">
        <f>3.4+1.5</f>
        <v>4.9000000000000004</v>
      </c>
      <c r="T93" s="199"/>
      <c r="U93" s="226"/>
      <c r="V93" s="227"/>
      <c r="W93" s="223">
        <f t="shared" ref="W93:W117" si="10">K93*O93</f>
        <v>4.4999999999999998E-2</v>
      </c>
      <c r="X93" s="224"/>
      <c r="Y93" s="225"/>
      <c r="Z93" s="223">
        <f t="shared" ref="Z93:Z108" si="11">W93*S93</f>
        <v>0.2205</v>
      </c>
      <c r="AA93" s="224"/>
      <c r="AB93" s="225"/>
      <c r="AC93" s="51"/>
      <c r="AD93" s="52"/>
      <c r="AE93" s="53"/>
      <c r="AF93" s="51"/>
      <c r="AG93" s="52"/>
      <c r="AH93" s="54"/>
    </row>
    <row r="94" spans="1:34" ht="15.75" x14ac:dyDescent="0.25">
      <c r="A94" s="197"/>
      <c r="B94" s="198"/>
      <c r="C94" s="199"/>
      <c r="D94" s="220" t="s">
        <v>745</v>
      </c>
      <c r="E94" s="221"/>
      <c r="F94" s="221"/>
      <c r="G94" s="221"/>
      <c r="H94" s="221"/>
      <c r="I94" s="222"/>
      <c r="J94" s="63"/>
      <c r="K94" s="202">
        <v>0.15</v>
      </c>
      <c r="L94" s="199"/>
      <c r="M94" s="202"/>
      <c r="N94" s="199"/>
      <c r="O94" s="202">
        <v>0.3</v>
      </c>
      <c r="P94" s="199"/>
      <c r="Q94" s="202"/>
      <c r="R94" s="199"/>
      <c r="S94" s="202">
        <v>3.4</v>
      </c>
      <c r="T94" s="199"/>
      <c r="U94" s="202"/>
      <c r="V94" s="199"/>
      <c r="W94" s="203">
        <f t="shared" si="10"/>
        <v>4.4999999999999998E-2</v>
      </c>
      <c r="X94" s="204"/>
      <c r="Y94" s="205"/>
      <c r="Z94" s="203">
        <f t="shared" si="11"/>
        <v>0.153</v>
      </c>
      <c r="AA94" s="204"/>
      <c r="AB94" s="205"/>
      <c r="AC94" s="51"/>
      <c r="AD94" s="52"/>
      <c r="AE94" s="53"/>
      <c r="AF94" s="51"/>
      <c r="AG94" s="52"/>
      <c r="AH94" s="54"/>
    </row>
    <row r="95" spans="1:34" ht="15.75" x14ac:dyDescent="0.25">
      <c r="A95" s="197"/>
      <c r="B95" s="198"/>
      <c r="C95" s="199"/>
      <c r="D95" s="220" t="s">
        <v>746</v>
      </c>
      <c r="E95" s="221"/>
      <c r="F95" s="221"/>
      <c r="G95" s="221"/>
      <c r="H95" s="221"/>
      <c r="I95" s="222"/>
      <c r="J95" s="63"/>
      <c r="K95" s="202">
        <v>0.15</v>
      </c>
      <c r="L95" s="199"/>
      <c r="M95" s="202"/>
      <c r="N95" s="199"/>
      <c r="O95" s="202">
        <v>0.3</v>
      </c>
      <c r="P95" s="199"/>
      <c r="Q95" s="202"/>
      <c r="R95" s="199"/>
      <c r="S95" s="202">
        <v>3.4</v>
      </c>
      <c r="T95" s="199"/>
      <c r="U95" s="226"/>
      <c r="V95" s="227"/>
      <c r="W95" s="223">
        <f t="shared" si="10"/>
        <v>4.4999999999999998E-2</v>
      </c>
      <c r="X95" s="224"/>
      <c r="Y95" s="225"/>
      <c r="Z95" s="223">
        <f t="shared" si="11"/>
        <v>0.153</v>
      </c>
      <c r="AA95" s="224"/>
      <c r="AB95" s="225"/>
      <c r="AC95" s="51"/>
      <c r="AD95" s="52"/>
      <c r="AE95" s="53"/>
      <c r="AF95" s="51"/>
      <c r="AG95" s="52"/>
      <c r="AH95" s="54"/>
    </row>
    <row r="96" spans="1:34" ht="15.75" x14ac:dyDescent="0.25">
      <c r="A96" s="197"/>
      <c r="B96" s="198"/>
      <c r="C96" s="199"/>
      <c r="D96" s="220" t="s">
        <v>747</v>
      </c>
      <c r="E96" s="221"/>
      <c r="F96" s="221"/>
      <c r="G96" s="221"/>
      <c r="H96" s="221"/>
      <c r="I96" s="222"/>
      <c r="J96" s="63"/>
      <c r="K96" s="202">
        <v>0.15</v>
      </c>
      <c r="L96" s="199"/>
      <c r="M96" s="202"/>
      <c r="N96" s="199"/>
      <c r="O96" s="202">
        <v>0.3</v>
      </c>
      <c r="P96" s="199"/>
      <c r="Q96" s="202"/>
      <c r="R96" s="199"/>
      <c r="S96" s="202">
        <v>3.4</v>
      </c>
      <c r="T96" s="199"/>
      <c r="U96" s="226"/>
      <c r="V96" s="227"/>
      <c r="W96" s="223">
        <f t="shared" si="10"/>
        <v>4.4999999999999998E-2</v>
      </c>
      <c r="X96" s="224"/>
      <c r="Y96" s="225"/>
      <c r="Z96" s="223">
        <f t="shared" si="11"/>
        <v>0.153</v>
      </c>
      <c r="AA96" s="224"/>
      <c r="AB96" s="225"/>
      <c r="AC96" s="51"/>
      <c r="AD96" s="52"/>
      <c r="AE96" s="53"/>
      <c r="AF96" s="51"/>
      <c r="AG96" s="52"/>
      <c r="AH96" s="54"/>
    </row>
    <row r="97" spans="1:35" ht="15.75" x14ac:dyDescent="0.25">
      <c r="A97" s="197"/>
      <c r="B97" s="198"/>
      <c r="C97" s="199"/>
      <c r="D97" s="220" t="s">
        <v>748</v>
      </c>
      <c r="E97" s="221"/>
      <c r="F97" s="221"/>
      <c r="G97" s="221"/>
      <c r="H97" s="221"/>
      <c r="I97" s="222"/>
      <c r="J97" s="63"/>
      <c r="K97" s="202">
        <v>0.15</v>
      </c>
      <c r="L97" s="199"/>
      <c r="M97" s="202"/>
      <c r="N97" s="199"/>
      <c r="O97" s="202">
        <v>0.3</v>
      </c>
      <c r="P97" s="199"/>
      <c r="Q97" s="226"/>
      <c r="R97" s="227"/>
      <c r="S97" s="202">
        <f t="shared" ref="S97:S108" si="12">3.4+1.5</f>
        <v>4.9000000000000004</v>
      </c>
      <c r="T97" s="199"/>
      <c r="U97" s="226"/>
      <c r="V97" s="227"/>
      <c r="W97" s="223">
        <f t="shared" si="10"/>
        <v>4.4999999999999998E-2</v>
      </c>
      <c r="X97" s="224"/>
      <c r="Y97" s="225"/>
      <c r="Z97" s="223">
        <f t="shared" si="11"/>
        <v>0.2205</v>
      </c>
      <c r="AA97" s="224"/>
      <c r="AB97" s="225"/>
      <c r="AC97" s="51"/>
      <c r="AD97" s="52"/>
      <c r="AE97" s="53"/>
      <c r="AF97" s="51"/>
      <c r="AG97" s="52"/>
      <c r="AH97" s="54"/>
    </row>
    <row r="98" spans="1:35" ht="15.75" x14ac:dyDescent="0.25">
      <c r="A98" s="197"/>
      <c r="B98" s="198"/>
      <c r="C98" s="199"/>
      <c r="D98" s="220" t="s">
        <v>749</v>
      </c>
      <c r="E98" s="221"/>
      <c r="F98" s="221"/>
      <c r="G98" s="221"/>
      <c r="H98" s="221"/>
      <c r="I98" s="222"/>
      <c r="J98" s="63"/>
      <c r="K98" s="202">
        <v>0.15</v>
      </c>
      <c r="L98" s="199"/>
      <c r="M98" s="202"/>
      <c r="N98" s="199"/>
      <c r="O98" s="202">
        <v>0.3</v>
      </c>
      <c r="P98" s="199"/>
      <c r="Q98" s="226"/>
      <c r="R98" s="227"/>
      <c r="S98" s="202">
        <f t="shared" si="12"/>
        <v>4.9000000000000004</v>
      </c>
      <c r="T98" s="199"/>
      <c r="U98" s="226"/>
      <c r="V98" s="227"/>
      <c r="W98" s="223">
        <f t="shared" si="10"/>
        <v>4.4999999999999998E-2</v>
      </c>
      <c r="X98" s="224"/>
      <c r="Y98" s="225"/>
      <c r="Z98" s="223">
        <f t="shared" si="11"/>
        <v>0.2205</v>
      </c>
      <c r="AA98" s="224"/>
      <c r="AB98" s="225"/>
      <c r="AC98" s="51"/>
      <c r="AD98" s="52"/>
      <c r="AE98" s="53"/>
      <c r="AF98" s="51"/>
      <c r="AG98" s="52"/>
      <c r="AH98" s="54"/>
    </row>
    <row r="99" spans="1:35" ht="15.75" x14ac:dyDescent="0.25">
      <c r="A99" s="197"/>
      <c r="B99" s="198"/>
      <c r="C99" s="199"/>
      <c r="D99" s="220" t="s">
        <v>750</v>
      </c>
      <c r="E99" s="221"/>
      <c r="F99" s="221"/>
      <c r="G99" s="221"/>
      <c r="H99" s="221"/>
      <c r="I99" s="222"/>
      <c r="J99" s="63"/>
      <c r="K99" s="202">
        <v>0.15</v>
      </c>
      <c r="L99" s="199"/>
      <c r="M99" s="202"/>
      <c r="N99" s="199"/>
      <c r="O99" s="202">
        <v>0.3</v>
      </c>
      <c r="P99" s="199"/>
      <c r="Q99" s="226"/>
      <c r="R99" s="227"/>
      <c r="S99" s="202">
        <f t="shared" si="12"/>
        <v>4.9000000000000004</v>
      </c>
      <c r="T99" s="199"/>
      <c r="U99" s="202"/>
      <c r="V99" s="199"/>
      <c r="W99" s="203">
        <f t="shared" si="10"/>
        <v>4.4999999999999998E-2</v>
      </c>
      <c r="X99" s="204"/>
      <c r="Y99" s="205"/>
      <c r="Z99" s="203">
        <f t="shared" si="11"/>
        <v>0.2205</v>
      </c>
      <c r="AA99" s="204"/>
      <c r="AB99" s="205"/>
      <c r="AC99" s="51"/>
      <c r="AD99" s="52"/>
      <c r="AE99" s="53"/>
      <c r="AF99" s="51"/>
      <c r="AG99" s="52"/>
      <c r="AH99" s="54"/>
    </row>
    <row r="100" spans="1:35" ht="15.75" x14ac:dyDescent="0.25">
      <c r="A100" s="197"/>
      <c r="B100" s="198"/>
      <c r="C100" s="199"/>
      <c r="D100" s="220" t="s">
        <v>751</v>
      </c>
      <c r="E100" s="221"/>
      <c r="F100" s="221"/>
      <c r="G100" s="221"/>
      <c r="H100" s="221"/>
      <c r="I100" s="222"/>
      <c r="J100" s="63"/>
      <c r="K100" s="202">
        <v>0.15</v>
      </c>
      <c r="L100" s="199"/>
      <c r="M100" s="202"/>
      <c r="N100" s="199"/>
      <c r="O100" s="202">
        <v>0.3</v>
      </c>
      <c r="P100" s="199"/>
      <c r="Q100" s="226"/>
      <c r="R100" s="227"/>
      <c r="S100" s="202">
        <f t="shared" si="12"/>
        <v>4.9000000000000004</v>
      </c>
      <c r="T100" s="199"/>
      <c r="U100" s="226"/>
      <c r="V100" s="227"/>
      <c r="W100" s="223">
        <f t="shared" si="10"/>
        <v>4.4999999999999998E-2</v>
      </c>
      <c r="X100" s="224"/>
      <c r="Y100" s="225"/>
      <c r="Z100" s="223">
        <f t="shared" si="11"/>
        <v>0.2205</v>
      </c>
      <c r="AA100" s="224"/>
      <c r="AB100" s="225"/>
      <c r="AC100" s="51"/>
      <c r="AD100" s="52"/>
      <c r="AE100" s="53"/>
      <c r="AF100" s="51"/>
      <c r="AG100" s="52"/>
      <c r="AH100" s="54"/>
    </row>
    <row r="101" spans="1:35" ht="15.75" x14ac:dyDescent="0.25">
      <c r="A101" s="197"/>
      <c r="B101" s="198"/>
      <c r="C101" s="199"/>
      <c r="D101" s="220" t="s">
        <v>752</v>
      </c>
      <c r="E101" s="221"/>
      <c r="F101" s="221"/>
      <c r="G101" s="221"/>
      <c r="H101" s="221"/>
      <c r="I101" s="222"/>
      <c r="J101" s="63"/>
      <c r="K101" s="202">
        <v>0.15</v>
      </c>
      <c r="L101" s="199"/>
      <c r="M101" s="202"/>
      <c r="N101" s="199"/>
      <c r="O101" s="202">
        <v>0.3</v>
      </c>
      <c r="P101" s="199"/>
      <c r="Q101" s="226"/>
      <c r="R101" s="227"/>
      <c r="S101" s="202">
        <f t="shared" si="12"/>
        <v>4.9000000000000004</v>
      </c>
      <c r="T101" s="199"/>
      <c r="U101" s="226"/>
      <c r="V101" s="227"/>
      <c r="W101" s="223">
        <f t="shared" si="10"/>
        <v>4.4999999999999998E-2</v>
      </c>
      <c r="X101" s="224"/>
      <c r="Y101" s="225"/>
      <c r="Z101" s="223">
        <f t="shared" si="11"/>
        <v>0.2205</v>
      </c>
      <c r="AA101" s="224"/>
      <c r="AB101" s="225"/>
      <c r="AC101" s="51"/>
      <c r="AD101" s="52"/>
      <c r="AE101" s="53"/>
      <c r="AF101" s="51"/>
      <c r="AG101" s="52"/>
      <c r="AH101" s="54"/>
    </row>
    <row r="102" spans="1:35" ht="15.75" x14ac:dyDescent="0.25">
      <c r="A102" s="197"/>
      <c r="B102" s="198"/>
      <c r="C102" s="199"/>
      <c r="D102" s="220" t="s">
        <v>753</v>
      </c>
      <c r="E102" s="221"/>
      <c r="F102" s="221"/>
      <c r="G102" s="221"/>
      <c r="H102" s="221"/>
      <c r="I102" s="222"/>
      <c r="J102" s="63"/>
      <c r="K102" s="202">
        <v>0.15</v>
      </c>
      <c r="L102" s="199"/>
      <c r="M102" s="202"/>
      <c r="N102" s="199"/>
      <c r="O102" s="202">
        <v>0.3</v>
      </c>
      <c r="P102" s="199"/>
      <c r="Q102" s="226"/>
      <c r="R102" s="227"/>
      <c r="S102" s="202">
        <f t="shared" si="12"/>
        <v>4.9000000000000004</v>
      </c>
      <c r="T102" s="199"/>
      <c r="U102" s="226"/>
      <c r="V102" s="227"/>
      <c r="W102" s="223">
        <f t="shared" si="10"/>
        <v>4.4999999999999998E-2</v>
      </c>
      <c r="X102" s="224"/>
      <c r="Y102" s="225"/>
      <c r="Z102" s="223">
        <f t="shared" si="11"/>
        <v>0.2205</v>
      </c>
      <c r="AA102" s="224"/>
      <c r="AB102" s="225"/>
      <c r="AC102" s="51"/>
      <c r="AD102" s="52"/>
      <c r="AE102" s="53"/>
      <c r="AF102" s="51"/>
      <c r="AG102" s="52"/>
      <c r="AH102" s="54"/>
    </row>
    <row r="103" spans="1:35" ht="15.75" x14ac:dyDescent="0.25">
      <c r="A103" s="197"/>
      <c r="B103" s="198"/>
      <c r="C103" s="199"/>
      <c r="D103" s="220" t="s">
        <v>754</v>
      </c>
      <c r="E103" s="221"/>
      <c r="F103" s="221"/>
      <c r="G103" s="221"/>
      <c r="H103" s="221"/>
      <c r="I103" s="222"/>
      <c r="J103" s="63"/>
      <c r="K103" s="226">
        <v>0.2</v>
      </c>
      <c r="L103" s="227"/>
      <c r="M103" s="226"/>
      <c r="N103" s="227"/>
      <c r="O103" s="226">
        <v>0.3</v>
      </c>
      <c r="P103" s="227"/>
      <c r="Q103" s="226"/>
      <c r="R103" s="227"/>
      <c r="S103" s="202">
        <f t="shared" si="12"/>
        <v>4.9000000000000004</v>
      </c>
      <c r="T103" s="199"/>
      <c r="U103" s="226"/>
      <c r="V103" s="227"/>
      <c r="W103" s="223">
        <f t="shared" si="10"/>
        <v>0.06</v>
      </c>
      <c r="X103" s="224"/>
      <c r="Y103" s="225"/>
      <c r="Z103" s="223">
        <f t="shared" si="11"/>
        <v>0.29399999999999998</v>
      </c>
      <c r="AA103" s="224"/>
      <c r="AB103" s="225"/>
      <c r="AC103" s="51"/>
      <c r="AD103" s="52"/>
      <c r="AE103" s="53"/>
      <c r="AF103" s="51"/>
      <c r="AG103" s="52"/>
      <c r="AH103" s="54"/>
    </row>
    <row r="104" spans="1:35" ht="15.75" x14ac:dyDescent="0.25">
      <c r="A104" s="197"/>
      <c r="B104" s="198"/>
      <c r="C104" s="199"/>
      <c r="D104" s="220" t="s">
        <v>755</v>
      </c>
      <c r="E104" s="221"/>
      <c r="F104" s="221"/>
      <c r="G104" s="221"/>
      <c r="H104" s="221"/>
      <c r="I104" s="222"/>
      <c r="J104" s="63"/>
      <c r="K104" s="226">
        <v>0.2</v>
      </c>
      <c r="L104" s="227"/>
      <c r="M104" s="226"/>
      <c r="N104" s="227"/>
      <c r="O104" s="226">
        <v>0.3</v>
      </c>
      <c r="P104" s="227"/>
      <c r="Q104" s="226"/>
      <c r="R104" s="227"/>
      <c r="S104" s="202">
        <f t="shared" si="12"/>
        <v>4.9000000000000004</v>
      </c>
      <c r="T104" s="199"/>
      <c r="U104" s="202"/>
      <c r="V104" s="199"/>
      <c r="W104" s="203">
        <f t="shared" si="10"/>
        <v>0.06</v>
      </c>
      <c r="X104" s="204"/>
      <c r="Y104" s="205"/>
      <c r="Z104" s="203">
        <f t="shared" si="11"/>
        <v>0.29399999999999998</v>
      </c>
      <c r="AA104" s="204"/>
      <c r="AB104" s="205"/>
      <c r="AC104" s="51"/>
      <c r="AD104" s="52"/>
      <c r="AE104" s="53"/>
      <c r="AF104" s="51"/>
      <c r="AG104" s="52"/>
      <c r="AH104" s="54"/>
    </row>
    <row r="105" spans="1:35" ht="15.75" x14ac:dyDescent="0.25">
      <c r="A105" s="197"/>
      <c r="B105" s="198"/>
      <c r="C105" s="199"/>
      <c r="D105" s="220" t="s">
        <v>756</v>
      </c>
      <c r="E105" s="221"/>
      <c r="F105" s="221"/>
      <c r="G105" s="221"/>
      <c r="H105" s="221"/>
      <c r="I105" s="222"/>
      <c r="J105" s="63"/>
      <c r="K105" s="202">
        <v>0.15</v>
      </c>
      <c r="L105" s="199"/>
      <c r="M105" s="202"/>
      <c r="N105" s="199"/>
      <c r="O105" s="202">
        <v>0.3</v>
      </c>
      <c r="P105" s="199"/>
      <c r="Q105" s="226"/>
      <c r="R105" s="227"/>
      <c r="S105" s="202">
        <f t="shared" si="12"/>
        <v>4.9000000000000004</v>
      </c>
      <c r="T105" s="199"/>
      <c r="U105" s="226"/>
      <c r="V105" s="227"/>
      <c r="W105" s="223">
        <f t="shared" si="10"/>
        <v>4.4999999999999998E-2</v>
      </c>
      <c r="X105" s="224"/>
      <c r="Y105" s="225"/>
      <c r="Z105" s="223">
        <f t="shared" si="11"/>
        <v>0.2205</v>
      </c>
      <c r="AA105" s="224"/>
      <c r="AB105" s="225"/>
      <c r="AC105" s="51"/>
      <c r="AD105" s="52"/>
      <c r="AE105" s="53"/>
      <c r="AF105" s="51"/>
      <c r="AG105" s="52"/>
      <c r="AH105" s="54"/>
    </row>
    <row r="106" spans="1:35" ht="15.75" x14ac:dyDescent="0.25">
      <c r="A106" s="197"/>
      <c r="B106" s="198"/>
      <c r="C106" s="199"/>
      <c r="D106" s="220" t="s">
        <v>757</v>
      </c>
      <c r="E106" s="221"/>
      <c r="F106" s="221"/>
      <c r="G106" s="221"/>
      <c r="H106" s="221"/>
      <c r="I106" s="222"/>
      <c r="J106" s="63"/>
      <c r="K106" s="202">
        <v>0.15</v>
      </c>
      <c r="L106" s="199"/>
      <c r="M106" s="202"/>
      <c r="N106" s="199"/>
      <c r="O106" s="202">
        <v>0.3</v>
      </c>
      <c r="P106" s="199"/>
      <c r="Q106" s="226"/>
      <c r="R106" s="227"/>
      <c r="S106" s="202">
        <f t="shared" si="12"/>
        <v>4.9000000000000004</v>
      </c>
      <c r="T106" s="199"/>
      <c r="U106" s="226"/>
      <c r="V106" s="227"/>
      <c r="W106" s="223">
        <f t="shared" si="10"/>
        <v>4.4999999999999998E-2</v>
      </c>
      <c r="X106" s="224"/>
      <c r="Y106" s="225"/>
      <c r="Z106" s="223">
        <f t="shared" si="11"/>
        <v>0.2205</v>
      </c>
      <c r="AA106" s="224"/>
      <c r="AB106" s="225"/>
      <c r="AC106" s="51"/>
      <c r="AD106" s="52"/>
      <c r="AE106" s="53"/>
      <c r="AF106" s="51"/>
      <c r="AG106" s="52"/>
      <c r="AH106" s="54"/>
    </row>
    <row r="107" spans="1:35" ht="15.75" x14ac:dyDescent="0.25">
      <c r="A107" s="197"/>
      <c r="B107" s="198"/>
      <c r="C107" s="199"/>
      <c r="D107" s="220" t="s">
        <v>758</v>
      </c>
      <c r="E107" s="221"/>
      <c r="F107" s="221"/>
      <c r="G107" s="221"/>
      <c r="H107" s="221"/>
      <c r="I107" s="222"/>
      <c r="J107" s="63"/>
      <c r="K107" s="202">
        <v>0.15</v>
      </c>
      <c r="L107" s="199"/>
      <c r="M107" s="202"/>
      <c r="N107" s="199"/>
      <c r="O107" s="202">
        <v>0.3</v>
      </c>
      <c r="P107" s="199"/>
      <c r="Q107" s="226"/>
      <c r="R107" s="227"/>
      <c r="S107" s="202">
        <f t="shared" si="12"/>
        <v>4.9000000000000004</v>
      </c>
      <c r="T107" s="199"/>
      <c r="U107" s="226"/>
      <c r="V107" s="227"/>
      <c r="W107" s="223">
        <f t="shared" si="10"/>
        <v>4.4999999999999998E-2</v>
      </c>
      <c r="X107" s="224"/>
      <c r="Y107" s="225"/>
      <c r="Z107" s="223">
        <f t="shared" si="11"/>
        <v>0.2205</v>
      </c>
      <c r="AA107" s="224"/>
      <c r="AB107" s="225"/>
      <c r="AC107" s="51"/>
      <c r="AD107" s="52"/>
      <c r="AE107" s="53"/>
      <c r="AF107" s="51"/>
      <c r="AG107" s="52"/>
      <c r="AH107" s="54"/>
    </row>
    <row r="108" spans="1:35" ht="15.75" x14ac:dyDescent="0.25">
      <c r="A108" s="197"/>
      <c r="B108" s="198"/>
      <c r="C108" s="199"/>
      <c r="D108" s="220" t="s">
        <v>759</v>
      </c>
      <c r="E108" s="221"/>
      <c r="F108" s="221"/>
      <c r="G108" s="221"/>
      <c r="H108" s="221"/>
      <c r="I108" s="222"/>
      <c r="J108" s="63"/>
      <c r="K108" s="202">
        <v>0.15</v>
      </c>
      <c r="L108" s="199"/>
      <c r="M108" s="202"/>
      <c r="N108" s="199"/>
      <c r="O108" s="202">
        <v>0.3</v>
      </c>
      <c r="P108" s="199"/>
      <c r="Q108" s="226"/>
      <c r="R108" s="227"/>
      <c r="S108" s="202">
        <f t="shared" si="12"/>
        <v>4.9000000000000004</v>
      </c>
      <c r="T108" s="199"/>
      <c r="U108" s="226"/>
      <c r="V108" s="227"/>
      <c r="W108" s="223">
        <f t="shared" si="10"/>
        <v>4.4999999999999998E-2</v>
      </c>
      <c r="X108" s="224"/>
      <c r="Y108" s="225"/>
      <c r="Z108" s="223">
        <f t="shared" si="11"/>
        <v>0.2205</v>
      </c>
      <c r="AA108" s="224"/>
      <c r="AB108" s="225"/>
      <c r="AC108" s="51"/>
      <c r="AD108" s="52"/>
      <c r="AE108" s="53"/>
      <c r="AF108" s="51"/>
      <c r="AG108" s="52"/>
      <c r="AH108" s="54"/>
    </row>
    <row r="109" spans="1:35" ht="41.25" customHeight="1" x14ac:dyDescent="0.25">
      <c r="A109" s="189" t="str">
        <f>'MEMORIA BM 04'!A35</f>
        <v>5.3</v>
      </c>
      <c r="B109" s="190"/>
      <c r="C109" s="191"/>
      <c r="D109" s="228" t="str">
        <f>'MEMORIA BM 04'!B35</f>
        <v>ARMAÇÃO DE PILAR OU VIGA DE UMA ESTRUTURA CONVENCIONAL DE CONCRETO ARMADO EM UMA EDIFICAÇÃO TÉRREA OU SOBRADO UTILIZANDO AÇO CA-50 DE 10,0 MM - MONTAGEM. AF_12/2015</v>
      </c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30"/>
      <c r="AC109" s="195">
        <f>SUM(Z110:AB202)</f>
        <v>1074.159979999999</v>
      </c>
      <c r="AD109" s="190"/>
      <c r="AE109" s="191"/>
      <c r="AF109" s="195" t="s">
        <v>361</v>
      </c>
      <c r="AG109" s="190"/>
      <c r="AH109" s="196"/>
      <c r="AI109">
        <v>1074.1600000000001</v>
      </c>
    </row>
    <row r="110" spans="1:35" ht="15.75" x14ac:dyDescent="0.25">
      <c r="A110" s="197"/>
      <c r="B110" s="198"/>
      <c r="C110" s="199"/>
      <c r="D110" s="218" t="s">
        <v>667</v>
      </c>
      <c r="E110" s="219"/>
      <c r="F110" s="219"/>
      <c r="G110" s="219"/>
      <c r="H110" s="219"/>
      <c r="I110" s="219"/>
      <c r="J110" s="63"/>
      <c r="K110" s="226">
        <f>((4*3.73)+(4*1.47))</f>
        <v>20.8</v>
      </c>
      <c r="L110" s="227"/>
      <c r="M110" s="226"/>
      <c r="N110" s="227"/>
      <c r="O110" s="226">
        <v>1</v>
      </c>
      <c r="P110" s="227"/>
      <c r="Q110" s="226"/>
      <c r="R110" s="227"/>
      <c r="S110" s="226"/>
      <c r="T110" s="227"/>
      <c r="U110" s="226"/>
      <c r="V110" s="227"/>
      <c r="W110" s="223">
        <f t="shared" si="10"/>
        <v>20.8</v>
      </c>
      <c r="X110" s="224"/>
      <c r="Y110" s="225"/>
      <c r="Z110" s="223">
        <f>W110*0.617</f>
        <v>12.833600000000001</v>
      </c>
      <c r="AA110" s="224"/>
      <c r="AB110" s="225"/>
      <c r="AC110" s="51"/>
      <c r="AD110" s="52"/>
      <c r="AE110" s="53"/>
      <c r="AF110" s="51"/>
      <c r="AG110" s="52"/>
      <c r="AH110" s="54"/>
    </row>
    <row r="111" spans="1:35" ht="15.75" x14ac:dyDescent="0.25">
      <c r="A111" s="197"/>
      <c r="B111" s="198"/>
      <c r="C111" s="199"/>
      <c r="D111" s="218" t="s">
        <v>668</v>
      </c>
      <c r="E111" s="219"/>
      <c r="F111" s="219"/>
      <c r="G111" s="219"/>
      <c r="H111" s="219"/>
      <c r="I111" s="219"/>
      <c r="J111" s="63"/>
      <c r="K111" s="226">
        <f>((6*3.73)+(6*1.47))</f>
        <v>31.2</v>
      </c>
      <c r="L111" s="227"/>
      <c r="M111" s="226"/>
      <c r="N111" s="227"/>
      <c r="O111" s="226">
        <v>1</v>
      </c>
      <c r="P111" s="227"/>
      <c r="Q111" s="226"/>
      <c r="R111" s="227"/>
      <c r="S111" s="226"/>
      <c r="T111" s="227"/>
      <c r="U111" s="226"/>
      <c r="V111" s="227"/>
      <c r="W111" s="223">
        <f t="shared" si="10"/>
        <v>31.2</v>
      </c>
      <c r="X111" s="224"/>
      <c r="Y111" s="225"/>
      <c r="Z111" s="223">
        <f t="shared" ref="Z111:Z174" si="13">W111*0.617</f>
        <v>19.250399999999999</v>
      </c>
      <c r="AA111" s="224"/>
      <c r="AB111" s="225"/>
      <c r="AC111" s="51"/>
      <c r="AD111" s="52"/>
      <c r="AE111" s="53"/>
      <c r="AF111" s="51"/>
      <c r="AG111" s="52"/>
      <c r="AH111" s="54"/>
    </row>
    <row r="112" spans="1:35" ht="15.75" x14ac:dyDescent="0.25">
      <c r="A112" s="197"/>
      <c r="B112" s="198"/>
      <c r="C112" s="199"/>
      <c r="D112" s="218" t="s">
        <v>669</v>
      </c>
      <c r="E112" s="219"/>
      <c r="F112" s="219"/>
      <c r="G112" s="219"/>
      <c r="H112" s="219"/>
      <c r="I112" s="219"/>
      <c r="J112" s="63"/>
      <c r="K112" s="226">
        <f>((6*3.73)+(6*1.47))</f>
        <v>31.2</v>
      </c>
      <c r="L112" s="227"/>
      <c r="M112" s="226"/>
      <c r="N112" s="227"/>
      <c r="O112" s="226">
        <v>1</v>
      </c>
      <c r="P112" s="227"/>
      <c r="Q112" s="226"/>
      <c r="R112" s="227"/>
      <c r="S112" s="226"/>
      <c r="T112" s="227"/>
      <c r="U112" s="226"/>
      <c r="V112" s="227"/>
      <c r="W112" s="223">
        <f t="shared" si="10"/>
        <v>31.2</v>
      </c>
      <c r="X112" s="224"/>
      <c r="Y112" s="225"/>
      <c r="Z112" s="223">
        <f t="shared" si="13"/>
        <v>19.250399999999999</v>
      </c>
      <c r="AA112" s="224"/>
      <c r="AB112" s="225"/>
      <c r="AC112" s="51"/>
      <c r="AD112" s="52"/>
      <c r="AE112" s="53"/>
      <c r="AF112" s="51"/>
      <c r="AG112" s="52"/>
      <c r="AH112" s="54"/>
    </row>
    <row r="113" spans="1:34" ht="15.75" x14ac:dyDescent="0.25">
      <c r="A113" s="197"/>
      <c r="B113" s="198"/>
      <c r="C113" s="199"/>
      <c r="D113" s="218" t="s">
        <v>670</v>
      </c>
      <c r="E113" s="219"/>
      <c r="F113" s="219"/>
      <c r="G113" s="219"/>
      <c r="H113" s="219"/>
      <c r="I113" s="219"/>
      <c r="J113" s="63"/>
      <c r="K113" s="226">
        <f>((6*3.73)+(6*1.47))</f>
        <v>31.2</v>
      </c>
      <c r="L113" s="227"/>
      <c r="M113" s="226"/>
      <c r="N113" s="227"/>
      <c r="O113" s="226">
        <v>1</v>
      </c>
      <c r="P113" s="227"/>
      <c r="Q113" s="226"/>
      <c r="R113" s="227"/>
      <c r="S113" s="226"/>
      <c r="T113" s="227"/>
      <c r="U113" s="226"/>
      <c r="V113" s="227"/>
      <c r="W113" s="223">
        <f t="shared" si="10"/>
        <v>31.2</v>
      </c>
      <c r="X113" s="224"/>
      <c r="Y113" s="225"/>
      <c r="Z113" s="223">
        <f t="shared" si="13"/>
        <v>19.250399999999999</v>
      </c>
      <c r="AA113" s="224"/>
      <c r="AB113" s="225"/>
      <c r="AC113" s="51"/>
      <c r="AD113" s="52"/>
      <c r="AE113" s="53"/>
      <c r="AF113" s="51"/>
      <c r="AG113" s="52"/>
      <c r="AH113" s="54"/>
    </row>
    <row r="114" spans="1:34" ht="15.75" x14ac:dyDescent="0.25">
      <c r="A114" s="197"/>
      <c r="B114" s="198"/>
      <c r="C114" s="199"/>
      <c r="D114" s="218" t="s">
        <v>671</v>
      </c>
      <c r="E114" s="219"/>
      <c r="F114" s="219"/>
      <c r="G114" s="219"/>
      <c r="H114" s="219"/>
      <c r="I114" s="219"/>
      <c r="J114" s="63"/>
      <c r="K114" s="226">
        <f>((6*3.73)+(6*1.47))</f>
        <v>31.2</v>
      </c>
      <c r="L114" s="227"/>
      <c r="M114" s="226"/>
      <c r="N114" s="227"/>
      <c r="O114" s="226">
        <v>1</v>
      </c>
      <c r="P114" s="227"/>
      <c r="Q114" s="202"/>
      <c r="R114" s="199"/>
      <c r="S114" s="202"/>
      <c r="T114" s="199"/>
      <c r="U114" s="202"/>
      <c r="V114" s="199"/>
      <c r="W114" s="223">
        <f t="shared" si="10"/>
        <v>31.2</v>
      </c>
      <c r="X114" s="224"/>
      <c r="Y114" s="225"/>
      <c r="Z114" s="223">
        <f t="shared" si="13"/>
        <v>19.250399999999999</v>
      </c>
      <c r="AA114" s="224"/>
      <c r="AB114" s="225"/>
      <c r="AC114" s="51"/>
      <c r="AD114" s="52"/>
      <c r="AE114" s="53"/>
      <c r="AF114" s="51"/>
      <c r="AG114" s="52"/>
      <c r="AH114" s="54"/>
    </row>
    <row r="115" spans="1:34" ht="15.75" x14ac:dyDescent="0.25">
      <c r="A115" s="197"/>
      <c r="B115" s="198"/>
      <c r="C115" s="199"/>
      <c r="D115" s="218" t="s">
        <v>672</v>
      </c>
      <c r="E115" s="219"/>
      <c r="F115" s="219"/>
      <c r="G115" s="219"/>
      <c r="H115" s="219"/>
      <c r="I115" s="219"/>
      <c r="J115" s="63"/>
      <c r="K115" s="226">
        <f>((6*3.73)+(6*1.47))</f>
        <v>31.2</v>
      </c>
      <c r="L115" s="227"/>
      <c r="M115" s="226"/>
      <c r="N115" s="227"/>
      <c r="O115" s="226">
        <v>1</v>
      </c>
      <c r="P115" s="227"/>
      <c r="Q115" s="226"/>
      <c r="R115" s="227"/>
      <c r="S115" s="226"/>
      <c r="T115" s="227"/>
      <c r="U115" s="226"/>
      <c r="V115" s="227"/>
      <c r="W115" s="223">
        <f t="shared" si="10"/>
        <v>31.2</v>
      </c>
      <c r="X115" s="224"/>
      <c r="Y115" s="225"/>
      <c r="Z115" s="223">
        <f t="shared" si="13"/>
        <v>19.250399999999999</v>
      </c>
      <c r="AA115" s="224"/>
      <c r="AB115" s="225"/>
      <c r="AC115" s="51"/>
      <c r="AD115" s="52"/>
      <c r="AE115" s="53"/>
      <c r="AF115" s="51"/>
      <c r="AG115" s="52"/>
      <c r="AH115" s="54"/>
    </row>
    <row r="116" spans="1:34" ht="15.75" x14ac:dyDescent="0.25">
      <c r="A116" s="197"/>
      <c r="B116" s="198"/>
      <c r="C116" s="199"/>
      <c r="D116" s="218" t="s">
        <v>673</v>
      </c>
      <c r="E116" s="219"/>
      <c r="F116" s="219"/>
      <c r="G116" s="219"/>
      <c r="H116" s="219"/>
      <c r="I116" s="219"/>
      <c r="J116" s="63"/>
      <c r="K116" s="226">
        <f>((4*3.73)+(4*1.47))</f>
        <v>20.8</v>
      </c>
      <c r="L116" s="227"/>
      <c r="M116" s="226"/>
      <c r="N116" s="227"/>
      <c r="O116" s="226">
        <v>1</v>
      </c>
      <c r="P116" s="227"/>
      <c r="Q116" s="226"/>
      <c r="R116" s="227"/>
      <c r="S116" s="226"/>
      <c r="T116" s="227"/>
      <c r="U116" s="226"/>
      <c r="V116" s="227"/>
      <c r="W116" s="223">
        <f t="shared" si="10"/>
        <v>20.8</v>
      </c>
      <c r="X116" s="224"/>
      <c r="Y116" s="225"/>
      <c r="Z116" s="223">
        <f t="shared" si="13"/>
        <v>12.833600000000001</v>
      </c>
      <c r="AA116" s="224"/>
      <c r="AB116" s="225"/>
      <c r="AC116" s="51"/>
      <c r="AD116" s="52"/>
      <c r="AE116" s="53"/>
      <c r="AF116" s="51"/>
      <c r="AG116" s="52"/>
      <c r="AH116" s="54"/>
    </row>
    <row r="117" spans="1:34" ht="15.75" x14ac:dyDescent="0.25">
      <c r="A117" s="197"/>
      <c r="B117" s="198"/>
      <c r="C117" s="199"/>
      <c r="D117" s="218" t="s">
        <v>674</v>
      </c>
      <c r="E117" s="219"/>
      <c r="F117" s="219"/>
      <c r="G117" s="219"/>
      <c r="H117" s="219"/>
      <c r="I117" s="219"/>
      <c r="J117" s="63"/>
      <c r="K117" s="226">
        <f>((4*3.73)+(4*1.47))</f>
        <v>20.8</v>
      </c>
      <c r="L117" s="227"/>
      <c r="M117" s="226"/>
      <c r="N117" s="227"/>
      <c r="O117" s="226">
        <v>1</v>
      </c>
      <c r="P117" s="227"/>
      <c r="Q117" s="226"/>
      <c r="R117" s="227"/>
      <c r="S117" s="226"/>
      <c r="T117" s="227"/>
      <c r="U117" s="226"/>
      <c r="V117" s="227"/>
      <c r="W117" s="223">
        <f t="shared" si="10"/>
        <v>20.8</v>
      </c>
      <c r="X117" s="224"/>
      <c r="Y117" s="225"/>
      <c r="Z117" s="223">
        <f t="shared" si="13"/>
        <v>12.833600000000001</v>
      </c>
      <c r="AA117" s="224"/>
      <c r="AB117" s="225"/>
      <c r="AC117" s="51"/>
      <c r="AD117" s="52"/>
      <c r="AE117" s="53"/>
      <c r="AF117" s="51"/>
      <c r="AG117" s="52"/>
      <c r="AH117" s="54"/>
    </row>
    <row r="118" spans="1:34" ht="15.75" x14ac:dyDescent="0.25">
      <c r="A118" s="197"/>
      <c r="B118" s="198"/>
      <c r="C118" s="199"/>
      <c r="D118" s="218" t="s">
        <v>675</v>
      </c>
      <c r="E118" s="219"/>
      <c r="F118" s="219"/>
      <c r="G118" s="219"/>
      <c r="H118" s="219"/>
      <c r="I118" s="219"/>
      <c r="J118" s="63"/>
      <c r="K118" s="226">
        <f>4*3.37</f>
        <v>13.48</v>
      </c>
      <c r="L118" s="227"/>
      <c r="M118" s="226"/>
      <c r="N118" s="227"/>
      <c r="O118" s="226">
        <v>1</v>
      </c>
      <c r="P118" s="227"/>
      <c r="Q118" s="226"/>
      <c r="R118" s="227"/>
      <c r="S118" s="226"/>
      <c r="T118" s="227"/>
      <c r="U118" s="226"/>
      <c r="V118" s="227"/>
      <c r="W118" s="223">
        <f t="shared" ref="W118:W181" si="14">K118*O118</f>
        <v>13.48</v>
      </c>
      <c r="X118" s="224"/>
      <c r="Y118" s="225"/>
      <c r="Z118" s="223">
        <f t="shared" si="13"/>
        <v>8.3171599999999994</v>
      </c>
      <c r="AA118" s="224"/>
      <c r="AB118" s="225"/>
      <c r="AC118" s="51"/>
      <c r="AD118" s="52"/>
      <c r="AE118" s="53"/>
      <c r="AF118" s="51"/>
      <c r="AG118" s="52"/>
      <c r="AH118" s="54"/>
    </row>
    <row r="119" spans="1:34" ht="15.75" x14ac:dyDescent="0.25">
      <c r="A119" s="197"/>
      <c r="B119" s="198"/>
      <c r="C119" s="199"/>
      <c r="D119" s="218" t="s">
        <v>676</v>
      </c>
      <c r="E119" s="219"/>
      <c r="F119" s="219"/>
      <c r="G119" s="219"/>
      <c r="H119" s="219"/>
      <c r="I119" s="219"/>
      <c r="J119" s="63"/>
      <c r="K119" s="226">
        <f>((4*3.73)+(4*1.47))</f>
        <v>20.8</v>
      </c>
      <c r="L119" s="227"/>
      <c r="M119" s="226"/>
      <c r="N119" s="227"/>
      <c r="O119" s="226">
        <v>1</v>
      </c>
      <c r="P119" s="227"/>
      <c r="Q119" s="226"/>
      <c r="R119" s="227"/>
      <c r="S119" s="226"/>
      <c r="T119" s="227"/>
      <c r="U119" s="226"/>
      <c r="V119" s="227"/>
      <c r="W119" s="223">
        <f t="shared" si="14"/>
        <v>20.8</v>
      </c>
      <c r="X119" s="224"/>
      <c r="Y119" s="225"/>
      <c r="Z119" s="223">
        <f t="shared" si="13"/>
        <v>12.833600000000001</v>
      </c>
      <c r="AA119" s="224"/>
      <c r="AB119" s="225"/>
      <c r="AC119" s="51"/>
      <c r="AD119" s="52"/>
      <c r="AE119" s="53"/>
      <c r="AF119" s="51"/>
      <c r="AG119" s="52"/>
      <c r="AH119" s="54"/>
    </row>
    <row r="120" spans="1:34" ht="15.75" x14ac:dyDescent="0.25">
      <c r="A120" s="197"/>
      <c r="B120" s="198"/>
      <c r="C120" s="199"/>
      <c r="D120" s="218" t="s">
        <v>677</v>
      </c>
      <c r="E120" s="219"/>
      <c r="F120" s="219"/>
      <c r="G120" s="219"/>
      <c r="H120" s="219"/>
      <c r="I120" s="219"/>
      <c r="J120" s="63"/>
      <c r="K120" s="226">
        <f>((4*3.73)+(4*1.47))</f>
        <v>20.8</v>
      </c>
      <c r="L120" s="227"/>
      <c r="M120" s="226"/>
      <c r="N120" s="227"/>
      <c r="O120" s="226">
        <v>1</v>
      </c>
      <c r="P120" s="227"/>
      <c r="Q120" s="226"/>
      <c r="R120" s="227"/>
      <c r="S120" s="226"/>
      <c r="T120" s="227"/>
      <c r="U120" s="226"/>
      <c r="V120" s="227"/>
      <c r="W120" s="223">
        <f t="shared" si="14"/>
        <v>20.8</v>
      </c>
      <c r="X120" s="224"/>
      <c r="Y120" s="225"/>
      <c r="Z120" s="223">
        <f t="shared" si="13"/>
        <v>12.833600000000001</v>
      </c>
      <c r="AA120" s="224"/>
      <c r="AB120" s="225"/>
      <c r="AC120" s="51"/>
      <c r="AD120" s="52"/>
      <c r="AE120" s="53"/>
      <c r="AF120" s="51"/>
      <c r="AG120" s="52"/>
      <c r="AH120" s="54"/>
    </row>
    <row r="121" spans="1:34" ht="15.75" x14ac:dyDescent="0.25">
      <c r="A121" s="197"/>
      <c r="B121" s="198"/>
      <c r="C121" s="199"/>
      <c r="D121" s="218" t="s">
        <v>678</v>
      </c>
      <c r="E121" s="219"/>
      <c r="F121" s="219"/>
      <c r="G121" s="219"/>
      <c r="H121" s="219"/>
      <c r="I121" s="219"/>
      <c r="J121" s="63"/>
      <c r="K121" s="226">
        <f>4*3.37</f>
        <v>13.48</v>
      </c>
      <c r="L121" s="227"/>
      <c r="M121" s="226"/>
      <c r="N121" s="227"/>
      <c r="O121" s="226">
        <v>1</v>
      </c>
      <c r="P121" s="227"/>
      <c r="Q121" s="226"/>
      <c r="R121" s="227"/>
      <c r="S121" s="226"/>
      <c r="T121" s="227"/>
      <c r="U121" s="226"/>
      <c r="V121" s="227"/>
      <c r="W121" s="223">
        <f t="shared" si="14"/>
        <v>13.48</v>
      </c>
      <c r="X121" s="224"/>
      <c r="Y121" s="225"/>
      <c r="Z121" s="223">
        <f t="shared" si="13"/>
        <v>8.3171599999999994</v>
      </c>
      <c r="AA121" s="224"/>
      <c r="AB121" s="225"/>
      <c r="AC121" s="51"/>
      <c r="AD121" s="52"/>
      <c r="AE121" s="53"/>
      <c r="AF121" s="51"/>
      <c r="AG121" s="52"/>
      <c r="AH121" s="54"/>
    </row>
    <row r="122" spans="1:34" ht="15.75" x14ac:dyDescent="0.25">
      <c r="A122" s="197"/>
      <c r="B122" s="198"/>
      <c r="C122" s="199"/>
      <c r="D122" s="218" t="s">
        <v>679</v>
      </c>
      <c r="E122" s="219"/>
      <c r="F122" s="219"/>
      <c r="G122" s="219"/>
      <c r="H122" s="219"/>
      <c r="I122" s="219"/>
      <c r="J122" s="63"/>
      <c r="K122" s="202">
        <f>6*3.37</f>
        <v>20.22</v>
      </c>
      <c r="L122" s="199"/>
      <c r="M122" s="202"/>
      <c r="N122" s="199"/>
      <c r="O122" s="202">
        <v>1</v>
      </c>
      <c r="P122" s="199"/>
      <c r="Q122" s="202"/>
      <c r="R122" s="199"/>
      <c r="S122" s="202"/>
      <c r="T122" s="199"/>
      <c r="U122" s="202"/>
      <c r="V122" s="199"/>
      <c r="W122" s="223">
        <f t="shared" si="14"/>
        <v>20.22</v>
      </c>
      <c r="X122" s="224"/>
      <c r="Y122" s="225"/>
      <c r="Z122" s="223">
        <f t="shared" si="13"/>
        <v>12.475739999999998</v>
      </c>
      <c r="AA122" s="224"/>
      <c r="AB122" s="225"/>
      <c r="AC122" s="51"/>
      <c r="AD122" s="52"/>
      <c r="AE122" s="53"/>
      <c r="AF122" s="51"/>
      <c r="AG122" s="52"/>
      <c r="AH122" s="54"/>
    </row>
    <row r="123" spans="1:34" ht="15.75" x14ac:dyDescent="0.25">
      <c r="A123" s="197"/>
      <c r="B123" s="198"/>
      <c r="C123" s="199"/>
      <c r="D123" s="220" t="s">
        <v>680</v>
      </c>
      <c r="E123" s="221"/>
      <c r="F123" s="221"/>
      <c r="G123" s="221"/>
      <c r="H123" s="221"/>
      <c r="I123" s="222"/>
      <c r="J123" s="63"/>
      <c r="K123" s="226">
        <f>4*3.37</f>
        <v>13.48</v>
      </c>
      <c r="L123" s="227"/>
      <c r="M123" s="226"/>
      <c r="N123" s="227"/>
      <c r="O123" s="202">
        <v>1</v>
      </c>
      <c r="P123" s="199"/>
      <c r="Q123" s="226"/>
      <c r="R123" s="227"/>
      <c r="S123" s="226"/>
      <c r="T123" s="227"/>
      <c r="U123" s="226"/>
      <c r="V123" s="227"/>
      <c r="W123" s="223">
        <f t="shared" si="14"/>
        <v>13.48</v>
      </c>
      <c r="X123" s="224"/>
      <c r="Y123" s="225"/>
      <c r="Z123" s="223">
        <f t="shared" si="13"/>
        <v>8.3171599999999994</v>
      </c>
      <c r="AA123" s="224"/>
      <c r="AB123" s="225"/>
      <c r="AC123" s="51"/>
      <c r="AD123" s="52"/>
      <c r="AE123" s="53"/>
      <c r="AF123" s="51"/>
      <c r="AG123" s="52"/>
      <c r="AH123" s="54"/>
    </row>
    <row r="124" spans="1:34" ht="15.75" x14ac:dyDescent="0.25">
      <c r="A124" s="197"/>
      <c r="B124" s="198"/>
      <c r="C124" s="199"/>
      <c r="D124" s="220" t="s">
        <v>682</v>
      </c>
      <c r="E124" s="221"/>
      <c r="F124" s="221"/>
      <c r="G124" s="221"/>
      <c r="H124" s="221"/>
      <c r="I124" s="222"/>
      <c r="J124" s="63"/>
      <c r="K124" s="226">
        <f>4*3.37</f>
        <v>13.48</v>
      </c>
      <c r="L124" s="227"/>
      <c r="M124" s="226"/>
      <c r="N124" s="227"/>
      <c r="O124" s="202">
        <v>1</v>
      </c>
      <c r="P124" s="199"/>
      <c r="Q124" s="226"/>
      <c r="R124" s="227"/>
      <c r="S124" s="226"/>
      <c r="T124" s="227"/>
      <c r="U124" s="226"/>
      <c r="V124" s="227"/>
      <c r="W124" s="223">
        <f t="shared" si="14"/>
        <v>13.48</v>
      </c>
      <c r="X124" s="224"/>
      <c r="Y124" s="225"/>
      <c r="Z124" s="223">
        <f t="shared" si="13"/>
        <v>8.3171599999999994</v>
      </c>
      <c r="AA124" s="224"/>
      <c r="AB124" s="225"/>
      <c r="AC124" s="51"/>
      <c r="AD124" s="52"/>
      <c r="AE124" s="53"/>
      <c r="AF124" s="51"/>
      <c r="AG124" s="52"/>
      <c r="AH124" s="54"/>
    </row>
    <row r="125" spans="1:34" ht="15.75" x14ac:dyDescent="0.25">
      <c r="A125" s="197"/>
      <c r="B125" s="198"/>
      <c r="C125" s="199"/>
      <c r="D125" s="220" t="s">
        <v>683</v>
      </c>
      <c r="E125" s="221"/>
      <c r="F125" s="221"/>
      <c r="G125" s="221"/>
      <c r="H125" s="221"/>
      <c r="I125" s="222"/>
      <c r="J125" s="63"/>
      <c r="K125" s="226">
        <f>((4*3.73)+(4*1.47))</f>
        <v>20.8</v>
      </c>
      <c r="L125" s="227"/>
      <c r="M125" s="226"/>
      <c r="N125" s="227"/>
      <c r="O125" s="226">
        <v>1</v>
      </c>
      <c r="P125" s="227"/>
      <c r="Q125" s="226"/>
      <c r="R125" s="227"/>
      <c r="S125" s="226"/>
      <c r="T125" s="227"/>
      <c r="U125" s="226"/>
      <c r="V125" s="227"/>
      <c r="W125" s="223">
        <f t="shared" si="14"/>
        <v>20.8</v>
      </c>
      <c r="X125" s="224"/>
      <c r="Y125" s="225"/>
      <c r="Z125" s="223">
        <f t="shared" si="13"/>
        <v>12.833600000000001</v>
      </c>
      <c r="AA125" s="224"/>
      <c r="AB125" s="225"/>
      <c r="AC125" s="51"/>
      <c r="AD125" s="52"/>
      <c r="AE125" s="53"/>
      <c r="AF125" s="51"/>
      <c r="AG125" s="52"/>
      <c r="AH125" s="54"/>
    </row>
    <row r="126" spans="1:34" ht="15.75" x14ac:dyDescent="0.25">
      <c r="A126" s="197"/>
      <c r="B126" s="198"/>
      <c r="C126" s="199"/>
      <c r="D126" s="220" t="s">
        <v>684</v>
      </c>
      <c r="E126" s="221"/>
      <c r="F126" s="221"/>
      <c r="G126" s="221"/>
      <c r="H126" s="221"/>
      <c r="I126" s="222"/>
      <c r="J126" s="63"/>
      <c r="K126" s="226">
        <f>4*3.37</f>
        <v>13.48</v>
      </c>
      <c r="L126" s="227"/>
      <c r="M126" s="226"/>
      <c r="N126" s="227"/>
      <c r="O126" s="202">
        <v>1</v>
      </c>
      <c r="P126" s="199"/>
      <c r="Q126" s="226"/>
      <c r="R126" s="227"/>
      <c r="S126" s="226"/>
      <c r="T126" s="227"/>
      <c r="U126" s="226"/>
      <c r="V126" s="227"/>
      <c r="W126" s="223">
        <f t="shared" si="14"/>
        <v>13.48</v>
      </c>
      <c r="X126" s="224"/>
      <c r="Y126" s="225"/>
      <c r="Z126" s="223">
        <f t="shared" si="13"/>
        <v>8.3171599999999994</v>
      </c>
      <c r="AA126" s="224"/>
      <c r="AB126" s="225"/>
      <c r="AC126" s="51"/>
      <c r="AD126" s="52"/>
      <c r="AE126" s="53"/>
      <c r="AF126" s="51"/>
      <c r="AG126" s="52"/>
      <c r="AH126" s="54"/>
    </row>
    <row r="127" spans="1:34" ht="15.75" x14ac:dyDescent="0.25">
      <c r="A127" s="197"/>
      <c r="B127" s="198"/>
      <c r="C127" s="199"/>
      <c r="D127" s="220" t="s">
        <v>685</v>
      </c>
      <c r="E127" s="221"/>
      <c r="F127" s="221"/>
      <c r="G127" s="221"/>
      <c r="H127" s="221"/>
      <c r="I127" s="222"/>
      <c r="J127" s="63"/>
      <c r="K127" s="226">
        <f>((4*3.73)+(4*1.47))</f>
        <v>20.8</v>
      </c>
      <c r="L127" s="227"/>
      <c r="M127" s="226"/>
      <c r="N127" s="227"/>
      <c r="O127" s="226">
        <v>1</v>
      </c>
      <c r="P127" s="227"/>
      <c r="Q127" s="226"/>
      <c r="R127" s="227"/>
      <c r="S127" s="226"/>
      <c r="T127" s="227"/>
      <c r="U127" s="226"/>
      <c r="V127" s="227"/>
      <c r="W127" s="223">
        <f t="shared" si="14"/>
        <v>20.8</v>
      </c>
      <c r="X127" s="224"/>
      <c r="Y127" s="225"/>
      <c r="Z127" s="223">
        <f t="shared" si="13"/>
        <v>12.833600000000001</v>
      </c>
      <c r="AA127" s="224"/>
      <c r="AB127" s="225"/>
      <c r="AC127" s="51"/>
      <c r="AD127" s="52"/>
      <c r="AE127" s="53"/>
      <c r="AF127" s="51"/>
      <c r="AG127" s="52"/>
      <c r="AH127" s="54"/>
    </row>
    <row r="128" spans="1:34" ht="15.75" x14ac:dyDescent="0.25">
      <c r="A128" s="197"/>
      <c r="B128" s="198"/>
      <c r="C128" s="199"/>
      <c r="D128" s="220" t="s">
        <v>681</v>
      </c>
      <c r="E128" s="221"/>
      <c r="F128" s="221"/>
      <c r="G128" s="221"/>
      <c r="H128" s="221"/>
      <c r="I128" s="222"/>
      <c r="J128" s="63"/>
      <c r="K128" s="226">
        <f>4*3.37</f>
        <v>13.48</v>
      </c>
      <c r="L128" s="227"/>
      <c r="M128" s="226"/>
      <c r="N128" s="227"/>
      <c r="O128" s="226">
        <v>1</v>
      </c>
      <c r="P128" s="227"/>
      <c r="Q128" s="226"/>
      <c r="R128" s="227"/>
      <c r="S128" s="226"/>
      <c r="T128" s="227"/>
      <c r="U128" s="226"/>
      <c r="V128" s="227"/>
      <c r="W128" s="223">
        <f t="shared" si="14"/>
        <v>13.48</v>
      </c>
      <c r="X128" s="224"/>
      <c r="Y128" s="225"/>
      <c r="Z128" s="223">
        <f t="shared" si="13"/>
        <v>8.3171599999999994</v>
      </c>
      <c r="AA128" s="224"/>
      <c r="AB128" s="225"/>
      <c r="AC128" s="51"/>
      <c r="AD128" s="52"/>
      <c r="AE128" s="53"/>
      <c r="AF128" s="51"/>
      <c r="AG128" s="52"/>
      <c r="AH128" s="54"/>
    </row>
    <row r="129" spans="1:34" ht="15.75" x14ac:dyDescent="0.25">
      <c r="A129" s="197"/>
      <c r="B129" s="198"/>
      <c r="C129" s="199"/>
      <c r="D129" s="220" t="s">
        <v>686</v>
      </c>
      <c r="E129" s="221"/>
      <c r="F129" s="221"/>
      <c r="G129" s="221"/>
      <c r="H129" s="221"/>
      <c r="I129" s="222"/>
      <c r="J129" s="63"/>
      <c r="K129" s="226">
        <f>((4*3.73)+(4*1.47))</f>
        <v>20.8</v>
      </c>
      <c r="L129" s="227"/>
      <c r="M129" s="226"/>
      <c r="N129" s="227"/>
      <c r="O129" s="226">
        <v>1</v>
      </c>
      <c r="P129" s="227"/>
      <c r="Q129" s="226"/>
      <c r="R129" s="227"/>
      <c r="S129" s="226"/>
      <c r="T129" s="227"/>
      <c r="U129" s="226"/>
      <c r="V129" s="227"/>
      <c r="W129" s="223">
        <f t="shared" si="14"/>
        <v>20.8</v>
      </c>
      <c r="X129" s="224"/>
      <c r="Y129" s="225"/>
      <c r="Z129" s="223">
        <f t="shared" si="13"/>
        <v>12.833600000000001</v>
      </c>
      <c r="AA129" s="224"/>
      <c r="AB129" s="225"/>
      <c r="AC129" s="51"/>
      <c r="AD129" s="52"/>
      <c r="AE129" s="53"/>
      <c r="AF129" s="51"/>
      <c r="AG129" s="52"/>
      <c r="AH129" s="54"/>
    </row>
    <row r="130" spans="1:34" ht="15.75" x14ac:dyDescent="0.25">
      <c r="A130" s="197"/>
      <c r="B130" s="198"/>
      <c r="C130" s="199"/>
      <c r="D130" s="220" t="s">
        <v>687</v>
      </c>
      <c r="E130" s="221"/>
      <c r="F130" s="221"/>
      <c r="G130" s="221"/>
      <c r="H130" s="221"/>
      <c r="I130" s="222"/>
      <c r="J130" s="63"/>
      <c r="K130" s="202">
        <f>6*1.47</f>
        <v>8.82</v>
      </c>
      <c r="L130" s="199"/>
      <c r="M130" s="202"/>
      <c r="N130" s="199"/>
      <c r="O130" s="226">
        <v>1</v>
      </c>
      <c r="P130" s="227"/>
      <c r="Q130" s="202"/>
      <c r="R130" s="199"/>
      <c r="S130" s="202"/>
      <c r="T130" s="199"/>
      <c r="U130" s="202"/>
      <c r="V130" s="199"/>
      <c r="W130" s="223">
        <f t="shared" si="14"/>
        <v>8.82</v>
      </c>
      <c r="X130" s="224"/>
      <c r="Y130" s="225"/>
      <c r="Z130" s="223">
        <f t="shared" si="13"/>
        <v>5.4419399999999998</v>
      </c>
      <c r="AA130" s="224"/>
      <c r="AB130" s="225"/>
      <c r="AC130" s="51"/>
      <c r="AD130" s="52"/>
      <c r="AE130" s="53"/>
      <c r="AF130" s="51"/>
      <c r="AG130" s="52"/>
      <c r="AH130" s="54"/>
    </row>
    <row r="131" spans="1:34" ht="15.75" x14ac:dyDescent="0.25">
      <c r="A131" s="197"/>
      <c r="B131" s="198"/>
      <c r="C131" s="199"/>
      <c r="D131" s="231" t="s">
        <v>688</v>
      </c>
      <c r="E131" s="232"/>
      <c r="F131" s="232"/>
      <c r="G131" s="232"/>
      <c r="H131" s="232"/>
      <c r="I131" s="233"/>
      <c r="J131" s="63"/>
      <c r="K131" s="226"/>
      <c r="L131" s="227"/>
      <c r="M131" s="226"/>
      <c r="N131" s="227"/>
      <c r="O131" s="226"/>
      <c r="P131" s="227"/>
      <c r="Q131" s="226"/>
      <c r="R131" s="227"/>
      <c r="S131" s="226"/>
      <c r="T131" s="227"/>
      <c r="U131" s="226"/>
      <c r="V131" s="227"/>
      <c r="W131" s="223">
        <f t="shared" si="14"/>
        <v>0</v>
      </c>
      <c r="X131" s="224"/>
      <c r="Y131" s="225"/>
      <c r="Z131" s="223">
        <f t="shared" si="13"/>
        <v>0</v>
      </c>
      <c r="AA131" s="224"/>
      <c r="AB131" s="225"/>
      <c r="AC131" s="51"/>
      <c r="AD131" s="52"/>
      <c r="AE131" s="53"/>
      <c r="AF131" s="51"/>
      <c r="AG131" s="52"/>
      <c r="AH131" s="54"/>
    </row>
    <row r="132" spans="1:34" ht="15.75" x14ac:dyDescent="0.25">
      <c r="A132" s="197"/>
      <c r="B132" s="198"/>
      <c r="C132" s="199"/>
      <c r="D132" s="220" t="s">
        <v>689</v>
      </c>
      <c r="E132" s="221"/>
      <c r="F132" s="221"/>
      <c r="G132" s="221"/>
      <c r="H132" s="221"/>
      <c r="I132" s="222"/>
      <c r="J132" s="63"/>
      <c r="K132" s="226">
        <f t="shared" ref="K132:K148" si="15">((4*3.73)+(4*1.47))</f>
        <v>20.8</v>
      </c>
      <c r="L132" s="227"/>
      <c r="M132" s="226"/>
      <c r="N132" s="227"/>
      <c r="O132" s="226">
        <v>1</v>
      </c>
      <c r="P132" s="227"/>
      <c r="Q132" s="226"/>
      <c r="R132" s="227"/>
      <c r="S132" s="226"/>
      <c r="T132" s="227"/>
      <c r="U132" s="226"/>
      <c r="V132" s="227"/>
      <c r="W132" s="223">
        <f t="shared" si="14"/>
        <v>20.8</v>
      </c>
      <c r="X132" s="224"/>
      <c r="Y132" s="225"/>
      <c r="Z132" s="223">
        <f t="shared" si="13"/>
        <v>12.833600000000001</v>
      </c>
      <c r="AA132" s="224"/>
      <c r="AB132" s="225"/>
      <c r="AC132" s="51"/>
      <c r="AD132" s="52"/>
      <c r="AE132" s="53"/>
      <c r="AF132" s="51"/>
      <c r="AG132" s="52"/>
      <c r="AH132" s="54"/>
    </row>
    <row r="133" spans="1:34" ht="15.75" x14ac:dyDescent="0.25">
      <c r="A133" s="197"/>
      <c r="B133" s="198"/>
      <c r="C133" s="199"/>
      <c r="D133" s="220" t="s">
        <v>690</v>
      </c>
      <c r="E133" s="221"/>
      <c r="F133" s="221"/>
      <c r="G133" s="221"/>
      <c r="H133" s="221"/>
      <c r="I133" s="222"/>
      <c r="J133" s="63"/>
      <c r="K133" s="226">
        <f t="shared" si="15"/>
        <v>20.8</v>
      </c>
      <c r="L133" s="227"/>
      <c r="M133" s="226"/>
      <c r="N133" s="227"/>
      <c r="O133" s="226">
        <v>1</v>
      </c>
      <c r="P133" s="227"/>
      <c r="Q133" s="226"/>
      <c r="R133" s="227"/>
      <c r="S133" s="226"/>
      <c r="T133" s="227"/>
      <c r="U133" s="226"/>
      <c r="V133" s="227"/>
      <c r="W133" s="223">
        <f t="shared" si="14"/>
        <v>20.8</v>
      </c>
      <c r="X133" s="224"/>
      <c r="Y133" s="225"/>
      <c r="Z133" s="223">
        <f t="shared" si="13"/>
        <v>12.833600000000001</v>
      </c>
      <c r="AA133" s="224"/>
      <c r="AB133" s="225"/>
      <c r="AC133" s="51"/>
      <c r="AD133" s="52"/>
      <c r="AE133" s="53"/>
      <c r="AF133" s="51"/>
      <c r="AG133" s="52"/>
      <c r="AH133" s="54"/>
    </row>
    <row r="134" spans="1:34" ht="15.75" x14ac:dyDescent="0.25">
      <c r="A134" s="197"/>
      <c r="B134" s="198"/>
      <c r="C134" s="199"/>
      <c r="D134" s="220" t="s">
        <v>691</v>
      </c>
      <c r="E134" s="221"/>
      <c r="F134" s="221"/>
      <c r="G134" s="221"/>
      <c r="H134" s="221"/>
      <c r="I134" s="222"/>
      <c r="J134" s="63"/>
      <c r="K134" s="226">
        <f t="shared" si="15"/>
        <v>20.8</v>
      </c>
      <c r="L134" s="227"/>
      <c r="M134" s="226"/>
      <c r="N134" s="227"/>
      <c r="O134" s="226">
        <v>1</v>
      </c>
      <c r="P134" s="227"/>
      <c r="Q134" s="226"/>
      <c r="R134" s="227"/>
      <c r="S134" s="226"/>
      <c r="T134" s="227"/>
      <c r="U134" s="226"/>
      <c r="V134" s="227"/>
      <c r="W134" s="223">
        <f t="shared" si="14"/>
        <v>20.8</v>
      </c>
      <c r="X134" s="224"/>
      <c r="Y134" s="225"/>
      <c r="Z134" s="223">
        <f t="shared" si="13"/>
        <v>12.833600000000001</v>
      </c>
      <c r="AA134" s="224"/>
      <c r="AB134" s="225"/>
      <c r="AC134" s="51"/>
      <c r="AD134" s="52"/>
      <c r="AE134" s="53"/>
      <c r="AF134" s="51"/>
      <c r="AG134" s="52"/>
      <c r="AH134" s="54"/>
    </row>
    <row r="135" spans="1:34" ht="15.75" x14ac:dyDescent="0.25">
      <c r="A135" s="197"/>
      <c r="B135" s="198"/>
      <c r="C135" s="199"/>
      <c r="D135" s="220" t="s">
        <v>692</v>
      </c>
      <c r="E135" s="221"/>
      <c r="F135" s="221"/>
      <c r="G135" s="221"/>
      <c r="H135" s="221"/>
      <c r="I135" s="222"/>
      <c r="J135" s="63"/>
      <c r="K135" s="226">
        <f t="shared" si="15"/>
        <v>20.8</v>
      </c>
      <c r="L135" s="227"/>
      <c r="M135" s="226"/>
      <c r="N135" s="227"/>
      <c r="O135" s="226">
        <v>1</v>
      </c>
      <c r="P135" s="227"/>
      <c r="Q135" s="226"/>
      <c r="R135" s="227"/>
      <c r="S135" s="226"/>
      <c r="T135" s="227"/>
      <c r="U135" s="226"/>
      <c r="V135" s="227"/>
      <c r="W135" s="223">
        <f t="shared" si="14"/>
        <v>20.8</v>
      </c>
      <c r="X135" s="224"/>
      <c r="Y135" s="225"/>
      <c r="Z135" s="223">
        <f t="shared" si="13"/>
        <v>12.833600000000001</v>
      </c>
      <c r="AA135" s="224"/>
      <c r="AB135" s="225"/>
      <c r="AC135" s="51"/>
      <c r="AD135" s="52"/>
      <c r="AE135" s="53"/>
      <c r="AF135" s="51"/>
      <c r="AG135" s="52"/>
      <c r="AH135" s="54"/>
    </row>
    <row r="136" spans="1:34" ht="15.75" x14ac:dyDescent="0.25">
      <c r="A136" s="197"/>
      <c r="B136" s="198"/>
      <c r="C136" s="199"/>
      <c r="D136" s="220" t="s">
        <v>693</v>
      </c>
      <c r="E136" s="221"/>
      <c r="F136" s="221"/>
      <c r="G136" s="221"/>
      <c r="H136" s="221"/>
      <c r="I136" s="222"/>
      <c r="J136" s="63"/>
      <c r="K136" s="226">
        <f t="shared" si="15"/>
        <v>20.8</v>
      </c>
      <c r="L136" s="227"/>
      <c r="M136" s="226"/>
      <c r="N136" s="227"/>
      <c r="O136" s="226">
        <v>1</v>
      </c>
      <c r="P136" s="227"/>
      <c r="Q136" s="226"/>
      <c r="R136" s="227"/>
      <c r="S136" s="226"/>
      <c r="T136" s="227"/>
      <c r="U136" s="226"/>
      <c r="V136" s="227"/>
      <c r="W136" s="223">
        <f t="shared" si="14"/>
        <v>20.8</v>
      </c>
      <c r="X136" s="224"/>
      <c r="Y136" s="225"/>
      <c r="Z136" s="223">
        <f t="shared" si="13"/>
        <v>12.833600000000001</v>
      </c>
      <c r="AA136" s="224"/>
      <c r="AB136" s="225"/>
      <c r="AC136" s="51"/>
      <c r="AD136" s="52"/>
      <c r="AE136" s="53"/>
      <c r="AF136" s="51"/>
      <c r="AG136" s="52"/>
      <c r="AH136" s="54"/>
    </row>
    <row r="137" spans="1:34" ht="15.75" x14ac:dyDescent="0.25">
      <c r="A137" s="197"/>
      <c r="B137" s="198"/>
      <c r="C137" s="199"/>
      <c r="D137" s="220" t="s">
        <v>694</v>
      </c>
      <c r="E137" s="221"/>
      <c r="F137" s="221"/>
      <c r="G137" s="221"/>
      <c r="H137" s="221"/>
      <c r="I137" s="222"/>
      <c r="J137" s="63"/>
      <c r="K137" s="226">
        <f t="shared" si="15"/>
        <v>20.8</v>
      </c>
      <c r="L137" s="227"/>
      <c r="M137" s="226"/>
      <c r="N137" s="227"/>
      <c r="O137" s="226">
        <v>1</v>
      </c>
      <c r="P137" s="227"/>
      <c r="Q137" s="226"/>
      <c r="R137" s="227"/>
      <c r="S137" s="226"/>
      <c r="T137" s="227"/>
      <c r="U137" s="226"/>
      <c r="V137" s="227"/>
      <c r="W137" s="223">
        <f t="shared" si="14"/>
        <v>20.8</v>
      </c>
      <c r="X137" s="224"/>
      <c r="Y137" s="225"/>
      <c r="Z137" s="223">
        <f t="shared" si="13"/>
        <v>12.833600000000001</v>
      </c>
      <c r="AA137" s="224"/>
      <c r="AB137" s="225"/>
      <c r="AC137" s="51"/>
      <c r="AD137" s="52"/>
      <c r="AE137" s="53"/>
      <c r="AF137" s="51"/>
      <c r="AG137" s="52"/>
      <c r="AH137" s="54"/>
    </row>
    <row r="138" spans="1:34" ht="15.75" x14ac:dyDescent="0.25">
      <c r="A138" s="197"/>
      <c r="B138" s="198"/>
      <c r="C138" s="199"/>
      <c r="D138" s="220" t="s">
        <v>695</v>
      </c>
      <c r="E138" s="221"/>
      <c r="F138" s="221"/>
      <c r="G138" s="221"/>
      <c r="H138" s="221"/>
      <c r="I138" s="222"/>
      <c r="J138" s="63"/>
      <c r="K138" s="226">
        <f t="shared" si="15"/>
        <v>20.8</v>
      </c>
      <c r="L138" s="227"/>
      <c r="M138" s="226"/>
      <c r="N138" s="227"/>
      <c r="O138" s="226">
        <v>1</v>
      </c>
      <c r="P138" s="227"/>
      <c r="Q138" s="202"/>
      <c r="R138" s="199"/>
      <c r="S138" s="202"/>
      <c r="T138" s="199"/>
      <c r="U138" s="202"/>
      <c r="V138" s="199"/>
      <c r="W138" s="223">
        <f t="shared" si="14"/>
        <v>20.8</v>
      </c>
      <c r="X138" s="224"/>
      <c r="Y138" s="225"/>
      <c r="Z138" s="223">
        <f t="shared" si="13"/>
        <v>12.833600000000001</v>
      </c>
      <c r="AA138" s="224"/>
      <c r="AB138" s="225"/>
      <c r="AC138" s="51"/>
      <c r="AD138" s="52"/>
      <c r="AE138" s="53"/>
      <c r="AF138" s="51"/>
      <c r="AG138" s="52"/>
      <c r="AH138" s="54"/>
    </row>
    <row r="139" spans="1:34" ht="15.75" x14ac:dyDescent="0.25">
      <c r="A139" s="197"/>
      <c r="B139" s="198"/>
      <c r="C139" s="199"/>
      <c r="D139" s="220" t="s">
        <v>696</v>
      </c>
      <c r="E139" s="221"/>
      <c r="F139" s="221"/>
      <c r="G139" s="221"/>
      <c r="H139" s="221"/>
      <c r="I139" s="222"/>
      <c r="J139" s="63"/>
      <c r="K139" s="226">
        <f t="shared" si="15"/>
        <v>20.8</v>
      </c>
      <c r="L139" s="227"/>
      <c r="M139" s="226"/>
      <c r="N139" s="227"/>
      <c r="O139" s="226">
        <v>1</v>
      </c>
      <c r="P139" s="227"/>
      <c r="Q139" s="226"/>
      <c r="R139" s="227"/>
      <c r="S139" s="226"/>
      <c r="T139" s="227"/>
      <c r="U139" s="226"/>
      <c r="V139" s="227"/>
      <c r="W139" s="223">
        <f t="shared" si="14"/>
        <v>20.8</v>
      </c>
      <c r="X139" s="224"/>
      <c r="Y139" s="225"/>
      <c r="Z139" s="223">
        <f t="shared" si="13"/>
        <v>12.833600000000001</v>
      </c>
      <c r="AA139" s="224"/>
      <c r="AB139" s="225"/>
      <c r="AC139" s="51"/>
      <c r="AD139" s="52"/>
      <c r="AE139" s="53"/>
      <c r="AF139" s="51"/>
      <c r="AG139" s="52"/>
      <c r="AH139" s="54"/>
    </row>
    <row r="140" spans="1:34" ht="15.75" x14ac:dyDescent="0.25">
      <c r="A140" s="197"/>
      <c r="B140" s="198"/>
      <c r="C140" s="199"/>
      <c r="D140" s="220" t="s">
        <v>697</v>
      </c>
      <c r="E140" s="221"/>
      <c r="F140" s="221"/>
      <c r="G140" s="221"/>
      <c r="H140" s="221"/>
      <c r="I140" s="222"/>
      <c r="J140" s="63"/>
      <c r="K140" s="226">
        <f t="shared" si="15"/>
        <v>20.8</v>
      </c>
      <c r="L140" s="227"/>
      <c r="M140" s="226"/>
      <c r="N140" s="227"/>
      <c r="O140" s="226">
        <v>1</v>
      </c>
      <c r="P140" s="227"/>
      <c r="Q140" s="226"/>
      <c r="R140" s="227"/>
      <c r="S140" s="226"/>
      <c r="T140" s="227"/>
      <c r="U140" s="226"/>
      <c r="V140" s="227"/>
      <c r="W140" s="223">
        <f t="shared" si="14"/>
        <v>20.8</v>
      </c>
      <c r="X140" s="224"/>
      <c r="Y140" s="225"/>
      <c r="Z140" s="223">
        <f t="shared" si="13"/>
        <v>12.833600000000001</v>
      </c>
      <c r="AA140" s="224"/>
      <c r="AB140" s="225"/>
      <c r="AC140" s="51"/>
      <c r="AD140" s="52"/>
      <c r="AE140" s="53"/>
      <c r="AF140" s="51"/>
      <c r="AG140" s="52"/>
      <c r="AH140" s="54"/>
    </row>
    <row r="141" spans="1:34" ht="15.75" x14ac:dyDescent="0.25">
      <c r="A141" s="197"/>
      <c r="B141" s="198"/>
      <c r="C141" s="199"/>
      <c r="D141" s="220" t="s">
        <v>698</v>
      </c>
      <c r="E141" s="221"/>
      <c r="F141" s="221"/>
      <c r="G141" s="221"/>
      <c r="H141" s="221"/>
      <c r="I141" s="222"/>
      <c r="J141" s="63"/>
      <c r="K141" s="226">
        <f t="shared" si="15"/>
        <v>20.8</v>
      </c>
      <c r="L141" s="227"/>
      <c r="M141" s="226"/>
      <c r="N141" s="227"/>
      <c r="O141" s="226">
        <v>1</v>
      </c>
      <c r="P141" s="227"/>
      <c r="Q141" s="226"/>
      <c r="R141" s="227"/>
      <c r="S141" s="226"/>
      <c r="T141" s="227"/>
      <c r="U141" s="226"/>
      <c r="V141" s="227"/>
      <c r="W141" s="223">
        <f t="shared" si="14"/>
        <v>20.8</v>
      </c>
      <c r="X141" s="224"/>
      <c r="Y141" s="225"/>
      <c r="Z141" s="223">
        <f t="shared" si="13"/>
        <v>12.833600000000001</v>
      </c>
      <c r="AA141" s="224"/>
      <c r="AB141" s="225"/>
      <c r="AC141" s="51"/>
      <c r="AD141" s="52"/>
      <c r="AE141" s="53"/>
      <c r="AF141" s="51"/>
      <c r="AG141" s="52"/>
      <c r="AH141" s="54"/>
    </row>
    <row r="142" spans="1:34" ht="15.75" x14ac:dyDescent="0.25">
      <c r="A142" s="197"/>
      <c r="B142" s="198"/>
      <c r="C142" s="199"/>
      <c r="D142" s="220" t="s">
        <v>699</v>
      </c>
      <c r="E142" s="221"/>
      <c r="F142" s="221"/>
      <c r="G142" s="221"/>
      <c r="H142" s="221"/>
      <c r="I142" s="222"/>
      <c r="J142" s="63"/>
      <c r="K142" s="226">
        <f t="shared" si="15"/>
        <v>20.8</v>
      </c>
      <c r="L142" s="227"/>
      <c r="M142" s="226"/>
      <c r="N142" s="227"/>
      <c r="O142" s="226">
        <v>1</v>
      </c>
      <c r="P142" s="227"/>
      <c r="Q142" s="226"/>
      <c r="R142" s="227"/>
      <c r="S142" s="226"/>
      <c r="T142" s="227"/>
      <c r="U142" s="226"/>
      <c r="V142" s="227"/>
      <c r="W142" s="223">
        <f t="shared" si="14"/>
        <v>20.8</v>
      </c>
      <c r="X142" s="224"/>
      <c r="Y142" s="225"/>
      <c r="Z142" s="223">
        <f t="shared" si="13"/>
        <v>12.833600000000001</v>
      </c>
      <c r="AA142" s="224"/>
      <c r="AB142" s="225"/>
      <c r="AC142" s="51"/>
      <c r="AD142" s="52"/>
      <c r="AE142" s="53"/>
      <c r="AF142" s="51"/>
      <c r="AG142" s="52"/>
      <c r="AH142" s="54"/>
    </row>
    <row r="143" spans="1:34" ht="15.75" x14ac:dyDescent="0.25">
      <c r="A143" s="197"/>
      <c r="B143" s="198"/>
      <c r="C143" s="199"/>
      <c r="D143" s="220" t="s">
        <v>700</v>
      </c>
      <c r="E143" s="221"/>
      <c r="F143" s="221"/>
      <c r="G143" s="221"/>
      <c r="H143" s="221"/>
      <c r="I143" s="222"/>
      <c r="J143" s="63"/>
      <c r="K143" s="226">
        <f t="shared" si="15"/>
        <v>20.8</v>
      </c>
      <c r="L143" s="227"/>
      <c r="M143" s="226"/>
      <c r="N143" s="227"/>
      <c r="O143" s="226">
        <v>1</v>
      </c>
      <c r="P143" s="227"/>
      <c r="Q143" s="226"/>
      <c r="R143" s="227"/>
      <c r="S143" s="226"/>
      <c r="T143" s="227"/>
      <c r="U143" s="226"/>
      <c r="V143" s="227"/>
      <c r="W143" s="223">
        <f t="shared" si="14"/>
        <v>20.8</v>
      </c>
      <c r="X143" s="224"/>
      <c r="Y143" s="225"/>
      <c r="Z143" s="223">
        <f t="shared" si="13"/>
        <v>12.833600000000001</v>
      </c>
      <c r="AA143" s="224"/>
      <c r="AB143" s="225"/>
      <c r="AC143" s="51"/>
      <c r="AD143" s="52"/>
      <c r="AE143" s="53"/>
      <c r="AF143" s="51"/>
      <c r="AG143" s="52"/>
      <c r="AH143" s="54"/>
    </row>
    <row r="144" spans="1:34" ht="15.75" x14ac:dyDescent="0.25">
      <c r="A144" s="197"/>
      <c r="B144" s="198"/>
      <c r="C144" s="199"/>
      <c r="D144" s="220" t="s">
        <v>701</v>
      </c>
      <c r="E144" s="221"/>
      <c r="F144" s="221"/>
      <c r="G144" s="221"/>
      <c r="H144" s="221"/>
      <c r="I144" s="222"/>
      <c r="J144" s="63"/>
      <c r="K144" s="226">
        <f t="shared" si="15"/>
        <v>20.8</v>
      </c>
      <c r="L144" s="227"/>
      <c r="M144" s="226"/>
      <c r="N144" s="227"/>
      <c r="O144" s="226">
        <v>1</v>
      </c>
      <c r="P144" s="227"/>
      <c r="Q144" s="226"/>
      <c r="R144" s="227"/>
      <c r="S144" s="226"/>
      <c r="T144" s="227"/>
      <c r="U144" s="226"/>
      <c r="V144" s="227"/>
      <c r="W144" s="223">
        <f t="shared" si="14"/>
        <v>20.8</v>
      </c>
      <c r="X144" s="224"/>
      <c r="Y144" s="225"/>
      <c r="Z144" s="223">
        <f t="shared" si="13"/>
        <v>12.833600000000001</v>
      </c>
      <c r="AA144" s="224"/>
      <c r="AB144" s="225"/>
      <c r="AC144" s="51"/>
      <c r="AD144" s="52"/>
      <c r="AE144" s="53"/>
      <c r="AF144" s="51"/>
      <c r="AG144" s="52"/>
      <c r="AH144" s="54"/>
    </row>
    <row r="145" spans="1:34" ht="15.75" x14ac:dyDescent="0.25">
      <c r="A145" s="197"/>
      <c r="B145" s="198"/>
      <c r="C145" s="199"/>
      <c r="D145" s="220" t="s">
        <v>702</v>
      </c>
      <c r="E145" s="221"/>
      <c r="F145" s="221"/>
      <c r="G145" s="221"/>
      <c r="H145" s="221"/>
      <c r="I145" s="222"/>
      <c r="J145" s="63"/>
      <c r="K145" s="226">
        <f t="shared" si="15"/>
        <v>20.8</v>
      </c>
      <c r="L145" s="227"/>
      <c r="M145" s="226"/>
      <c r="N145" s="227"/>
      <c r="O145" s="226">
        <v>1</v>
      </c>
      <c r="P145" s="227"/>
      <c r="Q145" s="226"/>
      <c r="R145" s="227"/>
      <c r="S145" s="226"/>
      <c r="T145" s="227"/>
      <c r="U145" s="226"/>
      <c r="V145" s="227"/>
      <c r="W145" s="223">
        <f t="shared" si="14"/>
        <v>20.8</v>
      </c>
      <c r="X145" s="224"/>
      <c r="Y145" s="225"/>
      <c r="Z145" s="223">
        <f t="shared" si="13"/>
        <v>12.833600000000001</v>
      </c>
      <c r="AA145" s="224"/>
      <c r="AB145" s="225"/>
      <c r="AC145" s="51"/>
      <c r="AD145" s="52"/>
      <c r="AE145" s="53"/>
      <c r="AF145" s="51"/>
      <c r="AG145" s="52"/>
      <c r="AH145" s="54"/>
    </row>
    <row r="146" spans="1:34" ht="15.75" x14ac:dyDescent="0.25">
      <c r="A146" s="197"/>
      <c r="B146" s="198"/>
      <c r="C146" s="199"/>
      <c r="D146" s="220" t="s">
        <v>703</v>
      </c>
      <c r="E146" s="221"/>
      <c r="F146" s="221"/>
      <c r="G146" s="221"/>
      <c r="H146" s="221"/>
      <c r="I146" s="222"/>
      <c r="J146" s="63"/>
      <c r="K146" s="226">
        <f t="shared" si="15"/>
        <v>20.8</v>
      </c>
      <c r="L146" s="227"/>
      <c r="M146" s="226"/>
      <c r="N146" s="227"/>
      <c r="O146" s="226">
        <v>1</v>
      </c>
      <c r="P146" s="227"/>
      <c r="Q146" s="202"/>
      <c r="R146" s="199"/>
      <c r="S146" s="202"/>
      <c r="T146" s="199"/>
      <c r="U146" s="202"/>
      <c r="V146" s="199"/>
      <c r="W146" s="223">
        <f t="shared" si="14"/>
        <v>20.8</v>
      </c>
      <c r="X146" s="224"/>
      <c r="Y146" s="225"/>
      <c r="Z146" s="223">
        <f t="shared" si="13"/>
        <v>12.833600000000001</v>
      </c>
      <c r="AA146" s="224"/>
      <c r="AB146" s="225"/>
      <c r="AC146" s="51"/>
      <c r="AD146" s="52"/>
      <c r="AE146" s="53"/>
      <c r="AF146" s="51"/>
      <c r="AG146" s="52"/>
      <c r="AH146" s="54"/>
    </row>
    <row r="147" spans="1:34" ht="15.75" x14ac:dyDescent="0.25">
      <c r="A147" s="197"/>
      <c r="B147" s="198"/>
      <c r="C147" s="199"/>
      <c r="D147" s="220" t="s">
        <v>704</v>
      </c>
      <c r="E147" s="221"/>
      <c r="F147" s="221"/>
      <c r="G147" s="221"/>
      <c r="H147" s="221"/>
      <c r="I147" s="222"/>
      <c r="J147" s="63"/>
      <c r="K147" s="226">
        <f t="shared" si="15"/>
        <v>20.8</v>
      </c>
      <c r="L147" s="227"/>
      <c r="M147" s="226"/>
      <c r="N147" s="227"/>
      <c r="O147" s="226">
        <v>1</v>
      </c>
      <c r="P147" s="227"/>
      <c r="Q147" s="226"/>
      <c r="R147" s="227"/>
      <c r="S147" s="226"/>
      <c r="T147" s="227"/>
      <c r="U147" s="226"/>
      <c r="V147" s="227"/>
      <c r="W147" s="223">
        <f t="shared" si="14"/>
        <v>20.8</v>
      </c>
      <c r="X147" s="224"/>
      <c r="Y147" s="225"/>
      <c r="Z147" s="223">
        <f t="shared" si="13"/>
        <v>12.833600000000001</v>
      </c>
      <c r="AA147" s="224"/>
      <c r="AB147" s="225"/>
      <c r="AC147" s="51"/>
      <c r="AD147" s="52"/>
      <c r="AE147" s="53"/>
      <c r="AF147" s="51"/>
      <c r="AG147" s="52"/>
      <c r="AH147" s="54"/>
    </row>
    <row r="148" spans="1:34" ht="15.75" x14ac:dyDescent="0.25">
      <c r="A148" s="197"/>
      <c r="B148" s="198"/>
      <c r="C148" s="199"/>
      <c r="D148" s="220" t="s">
        <v>705</v>
      </c>
      <c r="E148" s="221"/>
      <c r="F148" s="221"/>
      <c r="G148" s="221"/>
      <c r="H148" s="221"/>
      <c r="I148" s="222"/>
      <c r="J148" s="63"/>
      <c r="K148" s="226">
        <f t="shared" si="15"/>
        <v>20.8</v>
      </c>
      <c r="L148" s="227"/>
      <c r="M148" s="226"/>
      <c r="N148" s="227"/>
      <c r="O148" s="226">
        <v>1</v>
      </c>
      <c r="P148" s="227"/>
      <c r="Q148" s="226"/>
      <c r="R148" s="227"/>
      <c r="S148" s="226"/>
      <c r="T148" s="227"/>
      <c r="U148" s="226"/>
      <c r="V148" s="227"/>
      <c r="W148" s="223">
        <f t="shared" si="14"/>
        <v>20.8</v>
      </c>
      <c r="X148" s="224"/>
      <c r="Y148" s="225"/>
      <c r="Z148" s="223">
        <f t="shared" si="13"/>
        <v>12.833600000000001</v>
      </c>
      <c r="AA148" s="224"/>
      <c r="AB148" s="225"/>
      <c r="AC148" s="51"/>
      <c r="AD148" s="52"/>
      <c r="AE148" s="53"/>
      <c r="AF148" s="51"/>
      <c r="AG148" s="52"/>
      <c r="AH148" s="54"/>
    </row>
    <row r="149" spans="1:34" ht="15.75" x14ac:dyDescent="0.25">
      <c r="A149" s="197"/>
      <c r="B149" s="198"/>
      <c r="C149" s="199"/>
      <c r="D149" s="220" t="s">
        <v>706</v>
      </c>
      <c r="E149" s="221"/>
      <c r="F149" s="221"/>
      <c r="G149" s="221"/>
      <c r="H149" s="221"/>
      <c r="I149" s="222"/>
      <c r="J149" s="63"/>
      <c r="K149" s="226">
        <f>4*3.37</f>
        <v>13.48</v>
      </c>
      <c r="L149" s="227"/>
      <c r="M149" s="226"/>
      <c r="N149" s="227"/>
      <c r="O149" s="226">
        <v>1</v>
      </c>
      <c r="P149" s="227"/>
      <c r="Q149" s="226"/>
      <c r="R149" s="227"/>
      <c r="S149" s="226"/>
      <c r="T149" s="227"/>
      <c r="U149" s="226"/>
      <c r="V149" s="227"/>
      <c r="W149" s="223">
        <f t="shared" si="14"/>
        <v>13.48</v>
      </c>
      <c r="X149" s="224"/>
      <c r="Y149" s="225"/>
      <c r="Z149" s="223">
        <f t="shared" si="13"/>
        <v>8.3171599999999994</v>
      </c>
      <c r="AA149" s="224"/>
      <c r="AB149" s="225"/>
      <c r="AC149" s="51"/>
      <c r="AD149" s="52"/>
      <c r="AE149" s="53"/>
      <c r="AF149" s="51"/>
      <c r="AG149" s="52"/>
      <c r="AH149" s="54"/>
    </row>
    <row r="150" spans="1:34" ht="15.75" x14ac:dyDescent="0.25">
      <c r="A150" s="197"/>
      <c r="B150" s="198"/>
      <c r="C150" s="199"/>
      <c r="D150" s="220" t="s">
        <v>707</v>
      </c>
      <c r="E150" s="221"/>
      <c r="F150" s="221"/>
      <c r="G150" s="221"/>
      <c r="H150" s="221"/>
      <c r="I150" s="222"/>
      <c r="J150" s="63"/>
      <c r="K150" s="226">
        <f>4*3.37</f>
        <v>13.48</v>
      </c>
      <c r="L150" s="227"/>
      <c r="M150" s="226"/>
      <c r="N150" s="227"/>
      <c r="O150" s="226">
        <v>1</v>
      </c>
      <c r="P150" s="227"/>
      <c r="Q150" s="226"/>
      <c r="R150" s="227"/>
      <c r="S150" s="226"/>
      <c r="T150" s="227"/>
      <c r="U150" s="226"/>
      <c r="V150" s="227"/>
      <c r="W150" s="223">
        <f t="shared" si="14"/>
        <v>13.48</v>
      </c>
      <c r="X150" s="224"/>
      <c r="Y150" s="225"/>
      <c r="Z150" s="223">
        <f t="shared" si="13"/>
        <v>8.3171599999999994</v>
      </c>
      <c r="AA150" s="224"/>
      <c r="AB150" s="225"/>
      <c r="AC150" s="51"/>
      <c r="AD150" s="52"/>
      <c r="AE150" s="53"/>
      <c r="AF150" s="51"/>
      <c r="AG150" s="52"/>
      <c r="AH150" s="54"/>
    </row>
    <row r="151" spans="1:34" ht="15.75" x14ac:dyDescent="0.25">
      <c r="A151" s="197"/>
      <c r="B151" s="198"/>
      <c r="C151" s="199"/>
      <c r="D151" s="220" t="s">
        <v>708</v>
      </c>
      <c r="E151" s="221"/>
      <c r="F151" s="221"/>
      <c r="G151" s="221"/>
      <c r="H151" s="221"/>
      <c r="I151" s="222"/>
      <c r="J151" s="63"/>
      <c r="K151" s="226">
        <f>4*3.37</f>
        <v>13.48</v>
      </c>
      <c r="L151" s="227"/>
      <c r="M151" s="226"/>
      <c r="N151" s="227"/>
      <c r="O151" s="226">
        <v>1</v>
      </c>
      <c r="P151" s="227"/>
      <c r="Q151" s="226"/>
      <c r="R151" s="227"/>
      <c r="S151" s="226"/>
      <c r="T151" s="227"/>
      <c r="U151" s="226"/>
      <c r="V151" s="227"/>
      <c r="W151" s="223">
        <f t="shared" si="14"/>
        <v>13.48</v>
      </c>
      <c r="X151" s="224"/>
      <c r="Y151" s="225"/>
      <c r="Z151" s="223">
        <f t="shared" si="13"/>
        <v>8.3171599999999994</v>
      </c>
      <c r="AA151" s="224"/>
      <c r="AB151" s="225"/>
      <c r="AC151" s="51"/>
      <c r="AD151" s="52"/>
      <c r="AE151" s="53"/>
      <c r="AF151" s="51"/>
      <c r="AG151" s="52"/>
      <c r="AH151" s="54"/>
    </row>
    <row r="152" spans="1:34" ht="15.75" x14ac:dyDescent="0.25">
      <c r="A152" s="197"/>
      <c r="B152" s="198"/>
      <c r="C152" s="199"/>
      <c r="D152" s="220" t="s">
        <v>709</v>
      </c>
      <c r="E152" s="221"/>
      <c r="F152" s="221"/>
      <c r="G152" s="221"/>
      <c r="H152" s="221"/>
      <c r="I152" s="222"/>
      <c r="J152" s="63"/>
      <c r="K152" s="226">
        <f>4*3.37</f>
        <v>13.48</v>
      </c>
      <c r="L152" s="227"/>
      <c r="M152" s="226"/>
      <c r="N152" s="227"/>
      <c r="O152" s="226">
        <v>1</v>
      </c>
      <c r="P152" s="227"/>
      <c r="Q152" s="226"/>
      <c r="R152" s="227"/>
      <c r="S152" s="226"/>
      <c r="T152" s="227"/>
      <c r="U152" s="226"/>
      <c r="V152" s="227"/>
      <c r="W152" s="223">
        <f t="shared" si="14"/>
        <v>13.48</v>
      </c>
      <c r="X152" s="224"/>
      <c r="Y152" s="225"/>
      <c r="Z152" s="223">
        <f t="shared" si="13"/>
        <v>8.3171599999999994</v>
      </c>
      <c r="AA152" s="224"/>
      <c r="AB152" s="225"/>
      <c r="AC152" s="51"/>
      <c r="AD152" s="52"/>
      <c r="AE152" s="53"/>
      <c r="AF152" s="51"/>
      <c r="AG152" s="52"/>
      <c r="AH152" s="54"/>
    </row>
    <row r="153" spans="1:34" ht="15.75" x14ac:dyDescent="0.25">
      <c r="A153" s="197"/>
      <c r="B153" s="198"/>
      <c r="C153" s="199"/>
      <c r="D153" s="220" t="s">
        <v>710</v>
      </c>
      <c r="E153" s="221"/>
      <c r="F153" s="221"/>
      <c r="G153" s="221"/>
      <c r="H153" s="221"/>
      <c r="I153" s="222"/>
      <c r="J153" s="63"/>
      <c r="K153" s="226">
        <f>6*3.37</f>
        <v>20.22</v>
      </c>
      <c r="L153" s="227"/>
      <c r="M153" s="226"/>
      <c r="N153" s="227"/>
      <c r="O153" s="226">
        <v>1</v>
      </c>
      <c r="P153" s="227"/>
      <c r="Q153" s="226"/>
      <c r="R153" s="227"/>
      <c r="S153" s="226"/>
      <c r="T153" s="227"/>
      <c r="U153" s="226"/>
      <c r="V153" s="227"/>
      <c r="W153" s="223">
        <f t="shared" si="14"/>
        <v>20.22</v>
      </c>
      <c r="X153" s="224"/>
      <c r="Y153" s="225"/>
      <c r="Z153" s="223">
        <f t="shared" si="13"/>
        <v>12.475739999999998</v>
      </c>
      <c r="AA153" s="224"/>
      <c r="AB153" s="225"/>
      <c r="AC153" s="51"/>
      <c r="AD153" s="52"/>
      <c r="AE153" s="53"/>
      <c r="AF153" s="51"/>
      <c r="AG153" s="52"/>
      <c r="AH153" s="54"/>
    </row>
    <row r="154" spans="1:34" ht="15.75" x14ac:dyDescent="0.25">
      <c r="A154" s="197"/>
      <c r="B154" s="198"/>
      <c r="C154" s="199"/>
      <c r="D154" s="220" t="s">
        <v>711</v>
      </c>
      <c r="E154" s="221"/>
      <c r="F154" s="221"/>
      <c r="G154" s="221"/>
      <c r="H154" s="221"/>
      <c r="I154" s="222"/>
      <c r="J154" s="63"/>
      <c r="K154" s="226">
        <f>6*3.37</f>
        <v>20.22</v>
      </c>
      <c r="L154" s="227"/>
      <c r="M154" s="226"/>
      <c r="N154" s="227"/>
      <c r="O154" s="226">
        <v>1</v>
      </c>
      <c r="P154" s="227"/>
      <c r="Q154" s="202"/>
      <c r="R154" s="199"/>
      <c r="S154" s="202"/>
      <c r="T154" s="199"/>
      <c r="U154" s="202"/>
      <c r="V154" s="199"/>
      <c r="W154" s="223">
        <f t="shared" si="14"/>
        <v>20.22</v>
      </c>
      <c r="X154" s="224"/>
      <c r="Y154" s="225"/>
      <c r="Z154" s="223">
        <f t="shared" si="13"/>
        <v>12.475739999999998</v>
      </c>
      <c r="AA154" s="224"/>
      <c r="AB154" s="225"/>
      <c r="AC154" s="51"/>
      <c r="AD154" s="52"/>
      <c r="AE154" s="53"/>
      <c r="AF154" s="51"/>
      <c r="AG154" s="52"/>
      <c r="AH154" s="54"/>
    </row>
    <row r="155" spans="1:34" ht="15.75" x14ac:dyDescent="0.25">
      <c r="A155" s="197"/>
      <c r="B155" s="198"/>
      <c r="C155" s="199"/>
      <c r="D155" s="220" t="s">
        <v>712</v>
      </c>
      <c r="E155" s="221"/>
      <c r="F155" s="221"/>
      <c r="G155" s="221"/>
      <c r="H155" s="221"/>
      <c r="I155" s="222"/>
      <c r="J155" s="63"/>
      <c r="K155" s="226">
        <f>((6*3.73)+(6*1.47))</f>
        <v>31.2</v>
      </c>
      <c r="L155" s="227"/>
      <c r="M155" s="226"/>
      <c r="N155" s="227"/>
      <c r="O155" s="226">
        <v>1</v>
      </c>
      <c r="P155" s="227"/>
      <c r="Q155" s="226"/>
      <c r="R155" s="227"/>
      <c r="S155" s="226"/>
      <c r="T155" s="227"/>
      <c r="U155" s="226"/>
      <c r="V155" s="227"/>
      <c r="W155" s="223">
        <f t="shared" si="14"/>
        <v>31.2</v>
      </c>
      <c r="X155" s="224"/>
      <c r="Y155" s="225"/>
      <c r="Z155" s="223">
        <f t="shared" si="13"/>
        <v>19.250399999999999</v>
      </c>
      <c r="AA155" s="224"/>
      <c r="AB155" s="225"/>
      <c r="AC155" s="51"/>
      <c r="AD155" s="52"/>
      <c r="AE155" s="53"/>
      <c r="AF155" s="51"/>
      <c r="AG155" s="52"/>
      <c r="AH155" s="54"/>
    </row>
    <row r="156" spans="1:34" ht="15.75" x14ac:dyDescent="0.25">
      <c r="A156" s="197"/>
      <c r="B156" s="198"/>
      <c r="C156" s="199"/>
      <c r="D156" s="220" t="s">
        <v>713</v>
      </c>
      <c r="E156" s="221"/>
      <c r="F156" s="221"/>
      <c r="G156" s="221"/>
      <c r="H156" s="221"/>
      <c r="I156" s="222"/>
      <c r="J156" s="63"/>
      <c r="K156" s="226">
        <f>((8*3.73)+(8*1.47))</f>
        <v>41.6</v>
      </c>
      <c r="L156" s="227"/>
      <c r="M156" s="226"/>
      <c r="N156" s="227"/>
      <c r="O156" s="226">
        <v>1</v>
      </c>
      <c r="P156" s="227"/>
      <c r="Q156" s="226"/>
      <c r="R156" s="227"/>
      <c r="S156" s="226"/>
      <c r="T156" s="227"/>
      <c r="U156" s="226"/>
      <c r="V156" s="227"/>
      <c r="W156" s="223">
        <f t="shared" si="14"/>
        <v>41.6</v>
      </c>
      <c r="X156" s="224"/>
      <c r="Y156" s="225"/>
      <c r="Z156" s="223">
        <f t="shared" si="13"/>
        <v>25.667200000000001</v>
      </c>
      <c r="AA156" s="224"/>
      <c r="AB156" s="225"/>
      <c r="AC156" s="51"/>
      <c r="AD156" s="52"/>
      <c r="AE156" s="53"/>
      <c r="AF156" s="51"/>
      <c r="AG156" s="52"/>
      <c r="AH156" s="54"/>
    </row>
    <row r="157" spans="1:34" ht="15.75" x14ac:dyDescent="0.25">
      <c r="A157" s="197"/>
      <c r="B157" s="198"/>
      <c r="C157" s="199"/>
      <c r="D157" s="231" t="s">
        <v>714</v>
      </c>
      <c r="E157" s="232"/>
      <c r="F157" s="232"/>
      <c r="G157" s="232"/>
      <c r="H157" s="232"/>
      <c r="I157" s="233"/>
      <c r="J157" s="63"/>
      <c r="K157" s="226"/>
      <c r="L157" s="227"/>
      <c r="M157" s="226"/>
      <c r="N157" s="227"/>
      <c r="O157" s="226"/>
      <c r="P157" s="227"/>
      <c r="Q157" s="226"/>
      <c r="R157" s="227"/>
      <c r="S157" s="226"/>
      <c r="T157" s="227"/>
      <c r="U157" s="226"/>
      <c r="V157" s="227"/>
      <c r="W157" s="223">
        <f t="shared" si="14"/>
        <v>0</v>
      </c>
      <c r="X157" s="224"/>
      <c r="Y157" s="225"/>
      <c r="Z157" s="223">
        <f t="shared" si="13"/>
        <v>0</v>
      </c>
      <c r="AA157" s="224"/>
      <c r="AB157" s="225"/>
      <c r="AC157" s="51"/>
      <c r="AD157" s="52"/>
      <c r="AE157" s="53"/>
      <c r="AF157" s="51"/>
      <c r="AG157" s="52"/>
      <c r="AH157" s="54"/>
    </row>
    <row r="158" spans="1:34" ht="15.75" x14ac:dyDescent="0.25">
      <c r="A158" s="197"/>
      <c r="B158" s="198"/>
      <c r="C158" s="199"/>
      <c r="D158" s="220" t="s">
        <v>715</v>
      </c>
      <c r="E158" s="221"/>
      <c r="F158" s="221"/>
      <c r="G158" s="221"/>
      <c r="H158" s="221"/>
      <c r="I158" s="222"/>
      <c r="J158" s="63"/>
      <c r="K158" s="226">
        <f>((4*3.73)+(4*1.47))</f>
        <v>20.8</v>
      </c>
      <c r="L158" s="227"/>
      <c r="M158" s="226"/>
      <c r="N158" s="227"/>
      <c r="O158" s="226">
        <v>1</v>
      </c>
      <c r="P158" s="227"/>
      <c r="Q158" s="226"/>
      <c r="R158" s="227"/>
      <c r="S158" s="226"/>
      <c r="T158" s="227"/>
      <c r="U158" s="226"/>
      <c r="V158" s="227"/>
      <c r="W158" s="223">
        <f t="shared" si="14"/>
        <v>20.8</v>
      </c>
      <c r="X158" s="224"/>
      <c r="Y158" s="225"/>
      <c r="Z158" s="223">
        <f t="shared" si="13"/>
        <v>12.833600000000001</v>
      </c>
      <c r="AA158" s="224"/>
      <c r="AB158" s="225"/>
      <c r="AC158" s="51"/>
      <c r="AD158" s="52"/>
      <c r="AE158" s="53"/>
      <c r="AF158" s="51"/>
      <c r="AG158" s="52"/>
      <c r="AH158" s="54"/>
    </row>
    <row r="159" spans="1:34" ht="15.75" x14ac:dyDescent="0.25">
      <c r="A159" s="197"/>
      <c r="B159" s="198"/>
      <c r="C159" s="199"/>
      <c r="D159" s="220" t="s">
        <v>716</v>
      </c>
      <c r="E159" s="221"/>
      <c r="F159" s="221"/>
      <c r="G159" s="221"/>
      <c r="H159" s="221"/>
      <c r="I159" s="222"/>
      <c r="J159" s="63"/>
      <c r="K159" s="226">
        <f>4*3.37</f>
        <v>13.48</v>
      </c>
      <c r="L159" s="227"/>
      <c r="M159" s="226"/>
      <c r="N159" s="227"/>
      <c r="O159" s="226">
        <v>1</v>
      </c>
      <c r="P159" s="227"/>
      <c r="Q159" s="226"/>
      <c r="R159" s="227"/>
      <c r="S159" s="226"/>
      <c r="T159" s="227"/>
      <c r="U159" s="226"/>
      <c r="V159" s="227"/>
      <c r="W159" s="223">
        <f t="shared" si="14"/>
        <v>13.48</v>
      </c>
      <c r="X159" s="224"/>
      <c r="Y159" s="225"/>
      <c r="Z159" s="223">
        <f t="shared" si="13"/>
        <v>8.3171599999999994</v>
      </c>
      <c r="AA159" s="224"/>
      <c r="AB159" s="225"/>
      <c r="AC159" s="51"/>
      <c r="AD159" s="52"/>
      <c r="AE159" s="53"/>
      <c r="AF159" s="51"/>
      <c r="AG159" s="52"/>
      <c r="AH159" s="54"/>
    </row>
    <row r="160" spans="1:34" ht="15.75" x14ac:dyDescent="0.25">
      <c r="A160" s="197"/>
      <c r="B160" s="198"/>
      <c r="C160" s="199"/>
      <c r="D160" s="220" t="s">
        <v>717</v>
      </c>
      <c r="E160" s="221"/>
      <c r="F160" s="221"/>
      <c r="G160" s="221"/>
      <c r="H160" s="221"/>
      <c r="I160" s="222"/>
      <c r="J160" s="63"/>
      <c r="K160" s="226">
        <f>4*3.37</f>
        <v>13.48</v>
      </c>
      <c r="L160" s="227"/>
      <c r="M160" s="226"/>
      <c r="N160" s="227"/>
      <c r="O160" s="226">
        <v>1</v>
      </c>
      <c r="P160" s="227"/>
      <c r="Q160" s="226"/>
      <c r="R160" s="227"/>
      <c r="S160" s="226"/>
      <c r="T160" s="227"/>
      <c r="U160" s="226"/>
      <c r="V160" s="227"/>
      <c r="W160" s="223">
        <f t="shared" si="14"/>
        <v>13.48</v>
      </c>
      <c r="X160" s="224"/>
      <c r="Y160" s="225"/>
      <c r="Z160" s="223">
        <f t="shared" si="13"/>
        <v>8.3171599999999994</v>
      </c>
      <c r="AA160" s="224"/>
      <c r="AB160" s="225"/>
      <c r="AC160" s="51"/>
      <c r="AD160" s="52"/>
      <c r="AE160" s="53"/>
      <c r="AF160" s="51"/>
      <c r="AG160" s="52"/>
      <c r="AH160" s="54"/>
    </row>
    <row r="161" spans="1:34" ht="15.75" x14ac:dyDescent="0.25">
      <c r="A161" s="197"/>
      <c r="B161" s="198"/>
      <c r="C161" s="199"/>
      <c r="D161" s="220" t="s">
        <v>718</v>
      </c>
      <c r="E161" s="221"/>
      <c r="F161" s="221"/>
      <c r="G161" s="221"/>
      <c r="H161" s="221"/>
      <c r="I161" s="222"/>
      <c r="J161" s="63"/>
      <c r="K161" s="226">
        <f>4*3.37</f>
        <v>13.48</v>
      </c>
      <c r="L161" s="227"/>
      <c r="M161" s="226"/>
      <c r="N161" s="227"/>
      <c r="O161" s="226">
        <v>1</v>
      </c>
      <c r="P161" s="227"/>
      <c r="Q161" s="226"/>
      <c r="R161" s="227"/>
      <c r="S161" s="226"/>
      <c r="T161" s="227"/>
      <c r="U161" s="226"/>
      <c r="V161" s="227"/>
      <c r="W161" s="223">
        <f t="shared" si="14"/>
        <v>13.48</v>
      </c>
      <c r="X161" s="224"/>
      <c r="Y161" s="225"/>
      <c r="Z161" s="223">
        <f t="shared" si="13"/>
        <v>8.3171599999999994</v>
      </c>
      <c r="AA161" s="224"/>
      <c r="AB161" s="225"/>
      <c r="AC161" s="51"/>
      <c r="AD161" s="52"/>
      <c r="AE161" s="53"/>
      <c r="AF161" s="51"/>
      <c r="AG161" s="52"/>
      <c r="AH161" s="54"/>
    </row>
    <row r="162" spans="1:34" ht="15.75" x14ac:dyDescent="0.25">
      <c r="A162" s="197"/>
      <c r="B162" s="198"/>
      <c r="C162" s="199"/>
      <c r="D162" s="220" t="s">
        <v>719</v>
      </c>
      <c r="E162" s="221"/>
      <c r="F162" s="221"/>
      <c r="G162" s="221"/>
      <c r="H162" s="221"/>
      <c r="I162" s="222"/>
      <c r="J162" s="63"/>
      <c r="K162" s="226">
        <f>4*3.37</f>
        <v>13.48</v>
      </c>
      <c r="L162" s="227"/>
      <c r="M162" s="226"/>
      <c r="N162" s="227"/>
      <c r="O162" s="226">
        <v>1</v>
      </c>
      <c r="P162" s="227"/>
      <c r="Q162" s="202"/>
      <c r="R162" s="199"/>
      <c r="S162" s="202"/>
      <c r="T162" s="199"/>
      <c r="U162" s="202"/>
      <c r="V162" s="199"/>
      <c r="W162" s="223">
        <f t="shared" si="14"/>
        <v>13.48</v>
      </c>
      <c r="X162" s="224"/>
      <c r="Y162" s="225"/>
      <c r="Z162" s="223">
        <f t="shared" si="13"/>
        <v>8.3171599999999994</v>
      </c>
      <c r="AA162" s="224"/>
      <c r="AB162" s="225"/>
      <c r="AC162" s="51"/>
      <c r="AD162" s="52"/>
      <c r="AE162" s="53"/>
      <c r="AF162" s="51"/>
      <c r="AG162" s="52"/>
      <c r="AH162" s="54"/>
    </row>
    <row r="163" spans="1:34" ht="15.75" x14ac:dyDescent="0.25">
      <c r="A163" s="197"/>
      <c r="B163" s="198"/>
      <c r="C163" s="199"/>
      <c r="D163" s="220" t="s">
        <v>720</v>
      </c>
      <c r="E163" s="221"/>
      <c r="F163" s="221"/>
      <c r="G163" s="221"/>
      <c r="H163" s="221"/>
      <c r="I163" s="222"/>
      <c r="J163" s="63"/>
      <c r="K163" s="226">
        <f>4*3.37</f>
        <v>13.48</v>
      </c>
      <c r="L163" s="227"/>
      <c r="M163" s="226"/>
      <c r="N163" s="227"/>
      <c r="O163" s="226">
        <v>1</v>
      </c>
      <c r="P163" s="227"/>
      <c r="Q163" s="226"/>
      <c r="R163" s="227"/>
      <c r="S163" s="226"/>
      <c r="T163" s="227"/>
      <c r="U163" s="226"/>
      <c r="V163" s="227"/>
      <c r="W163" s="223">
        <f t="shared" si="14"/>
        <v>13.48</v>
      </c>
      <c r="X163" s="224"/>
      <c r="Y163" s="225"/>
      <c r="Z163" s="223">
        <f t="shared" si="13"/>
        <v>8.3171599999999994</v>
      </c>
      <c r="AA163" s="224"/>
      <c r="AB163" s="225"/>
      <c r="AC163" s="51"/>
      <c r="AD163" s="52"/>
      <c r="AE163" s="53"/>
      <c r="AF163" s="51"/>
      <c r="AG163" s="52"/>
      <c r="AH163" s="54"/>
    </row>
    <row r="164" spans="1:34" ht="15.75" x14ac:dyDescent="0.25">
      <c r="A164" s="197"/>
      <c r="B164" s="198"/>
      <c r="C164" s="199"/>
      <c r="D164" s="220" t="s">
        <v>721</v>
      </c>
      <c r="E164" s="221"/>
      <c r="F164" s="221"/>
      <c r="G164" s="221"/>
      <c r="H164" s="221"/>
      <c r="I164" s="222"/>
      <c r="J164" s="63"/>
      <c r="K164" s="226">
        <f>8*3.37</f>
        <v>26.96</v>
      </c>
      <c r="L164" s="227"/>
      <c r="M164" s="226"/>
      <c r="N164" s="227"/>
      <c r="O164" s="226">
        <v>1</v>
      </c>
      <c r="P164" s="227"/>
      <c r="Q164" s="226"/>
      <c r="R164" s="227"/>
      <c r="S164" s="226"/>
      <c r="T164" s="227"/>
      <c r="U164" s="226"/>
      <c r="V164" s="227"/>
      <c r="W164" s="223">
        <f t="shared" si="14"/>
        <v>26.96</v>
      </c>
      <c r="X164" s="224"/>
      <c r="Y164" s="225"/>
      <c r="Z164" s="223">
        <f t="shared" si="13"/>
        <v>16.634319999999999</v>
      </c>
      <c r="AA164" s="224"/>
      <c r="AB164" s="225"/>
      <c r="AC164" s="51"/>
      <c r="AD164" s="52"/>
      <c r="AE164" s="53"/>
      <c r="AF164" s="51"/>
      <c r="AG164" s="52"/>
      <c r="AH164" s="54"/>
    </row>
    <row r="165" spans="1:34" ht="15.75" x14ac:dyDescent="0.25">
      <c r="A165" s="197"/>
      <c r="B165" s="198"/>
      <c r="C165" s="199"/>
      <c r="D165" s="220" t="s">
        <v>722</v>
      </c>
      <c r="E165" s="221"/>
      <c r="F165" s="221"/>
      <c r="G165" s="221"/>
      <c r="H165" s="221"/>
      <c r="I165" s="222"/>
      <c r="J165" s="63"/>
      <c r="K165" s="226">
        <f>((6*3.73)+(6*1.47))</f>
        <v>31.2</v>
      </c>
      <c r="L165" s="227"/>
      <c r="M165" s="226"/>
      <c r="N165" s="227"/>
      <c r="O165" s="226">
        <v>1</v>
      </c>
      <c r="P165" s="227"/>
      <c r="Q165" s="226"/>
      <c r="R165" s="227"/>
      <c r="S165" s="226"/>
      <c r="T165" s="227"/>
      <c r="U165" s="226"/>
      <c r="V165" s="227"/>
      <c r="W165" s="223">
        <f t="shared" si="14"/>
        <v>31.2</v>
      </c>
      <c r="X165" s="224"/>
      <c r="Y165" s="225"/>
      <c r="Z165" s="223">
        <f t="shared" si="13"/>
        <v>19.250399999999999</v>
      </c>
      <c r="AA165" s="224"/>
      <c r="AB165" s="225"/>
      <c r="AC165" s="51"/>
      <c r="AD165" s="52"/>
      <c r="AE165" s="53"/>
      <c r="AF165" s="51"/>
      <c r="AG165" s="52"/>
      <c r="AH165" s="54"/>
    </row>
    <row r="166" spans="1:34" ht="15.75" x14ac:dyDescent="0.25">
      <c r="A166" s="197"/>
      <c r="B166" s="198"/>
      <c r="C166" s="199"/>
      <c r="D166" s="220" t="s">
        <v>723</v>
      </c>
      <c r="E166" s="221"/>
      <c r="F166" s="221"/>
      <c r="G166" s="221"/>
      <c r="H166" s="221"/>
      <c r="I166" s="222"/>
      <c r="J166" s="63"/>
      <c r="K166" s="226">
        <f>6*3.37</f>
        <v>20.22</v>
      </c>
      <c r="L166" s="227"/>
      <c r="M166" s="226"/>
      <c r="N166" s="227"/>
      <c r="O166" s="226">
        <v>1</v>
      </c>
      <c r="P166" s="227"/>
      <c r="Q166" s="226"/>
      <c r="R166" s="227"/>
      <c r="S166" s="226"/>
      <c r="T166" s="227"/>
      <c r="U166" s="226"/>
      <c r="V166" s="227"/>
      <c r="W166" s="223">
        <f t="shared" si="14"/>
        <v>20.22</v>
      </c>
      <c r="X166" s="224"/>
      <c r="Y166" s="225"/>
      <c r="Z166" s="223">
        <f t="shared" si="13"/>
        <v>12.475739999999998</v>
      </c>
      <c r="AA166" s="224"/>
      <c r="AB166" s="225"/>
      <c r="AC166" s="51"/>
      <c r="AD166" s="52"/>
      <c r="AE166" s="53"/>
      <c r="AF166" s="51"/>
      <c r="AG166" s="52"/>
      <c r="AH166" s="54"/>
    </row>
    <row r="167" spans="1:34" ht="15.75" x14ac:dyDescent="0.25">
      <c r="A167" s="197"/>
      <c r="B167" s="198"/>
      <c r="C167" s="199"/>
      <c r="D167" s="220" t="s">
        <v>724</v>
      </c>
      <c r="E167" s="221"/>
      <c r="F167" s="221"/>
      <c r="G167" s="221"/>
      <c r="H167" s="221"/>
      <c r="I167" s="222"/>
      <c r="J167" s="63"/>
      <c r="K167" s="226">
        <f>((6*3.73)+(6*1.47))</f>
        <v>31.2</v>
      </c>
      <c r="L167" s="227"/>
      <c r="M167" s="226"/>
      <c r="N167" s="227"/>
      <c r="O167" s="226">
        <v>1</v>
      </c>
      <c r="P167" s="227"/>
      <c r="Q167" s="226"/>
      <c r="R167" s="227"/>
      <c r="S167" s="226"/>
      <c r="T167" s="227"/>
      <c r="U167" s="226"/>
      <c r="V167" s="227"/>
      <c r="W167" s="223">
        <f t="shared" si="14"/>
        <v>31.2</v>
      </c>
      <c r="X167" s="224"/>
      <c r="Y167" s="225"/>
      <c r="Z167" s="223">
        <f t="shared" si="13"/>
        <v>19.250399999999999</v>
      </c>
      <c r="AA167" s="224"/>
      <c r="AB167" s="225"/>
      <c r="AC167" s="51"/>
      <c r="AD167" s="52"/>
      <c r="AE167" s="53"/>
      <c r="AF167" s="51"/>
      <c r="AG167" s="52"/>
      <c r="AH167" s="54"/>
    </row>
    <row r="168" spans="1:34" ht="15.75" x14ac:dyDescent="0.25">
      <c r="A168" s="197"/>
      <c r="B168" s="198"/>
      <c r="C168" s="199"/>
      <c r="D168" s="220" t="s">
        <v>725</v>
      </c>
      <c r="E168" s="221"/>
      <c r="F168" s="221"/>
      <c r="G168" s="221"/>
      <c r="H168" s="221"/>
      <c r="I168" s="222"/>
      <c r="J168" s="63"/>
      <c r="K168" s="226">
        <f>((4*3.73)+(4*1.47))</f>
        <v>20.8</v>
      </c>
      <c r="L168" s="227"/>
      <c r="M168" s="226"/>
      <c r="N168" s="227"/>
      <c r="O168" s="226">
        <v>1</v>
      </c>
      <c r="P168" s="227"/>
      <c r="Q168" s="226"/>
      <c r="R168" s="227"/>
      <c r="S168" s="226"/>
      <c r="T168" s="227"/>
      <c r="U168" s="226"/>
      <c r="V168" s="227"/>
      <c r="W168" s="223">
        <f t="shared" si="14"/>
        <v>20.8</v>
      </c>
      <c r="X168" s="224"/>
      <c r="Y168" s="225"/>
      <c r="Z168" s="223">
        <f t="shared" si="13"/>
        <v>12.833600000000001</v>
      </c>
      <c r="AA168" s="224"/>
      <c r="AB168" s="225"/>
      <c r="AC168" s="51"/>
      <c r="AD168" s="52"/>
      <c r="AE168" s="53"/>
      <c r="AF168" s="51"/>
      <c r="AG168" s="52"/>
      <c r="AH168" s="54"/>
    </row>
    <row r="169" spans="1:34" ht="15.75" x14ac:dyDescent="0.25">
      <c r="A169" s="197"/>
      <c r="B169" s="198"/>
      <c r="C169" s="199"/>
      <c r="D169" s="220" t="s">
        <v>726</v>
      </c>
      <c r="E169" s="221"/>
      <c r="F169" s="221"/>
      <c r="G169" s="221"/>
      <c r="H169" s="221"/>
      <c r="I169" s="222"/>
      <c r="J169" s="63"/>
      <c r="K169" s="226">
        <f>4*3.37</f>
        <v>13.48</v>
      </c>
      <c r="L169" s="227"/>
      <c r="M169" s="226"/>
      <c r="N169" s="227"/>
      <c r="O169" s="226">
        <v>1</v>
      </c>
      <c r="P169" s="227"/>
      <c r="Q169" s="226"/>
      <c r="R169" s="227"/>
      <c r="S169" s="226"/>
      <c r="T169" s="227"/>
      <c r="U169" s="226"/>
      <c r="V169" s="227"/>
      <c r="W169" s="223">
        <f t="shared" si="14"/>
        <v>13.48</v>
      </c>
      <c r="X169" s="224"/>
      <c r="Y169" s="225"/>
      <c r="Z169" s="223">
        <f t="shared" si="13"/>
        <v>8.3171599999999994</v>
      </c>
      <c r="AA169" s="224"/>
      <c r="AB169" s="225"/>
      <c r="AC169" s="51"/>
      <c r="AD169" s="52"/>
      <c r="AE169" s="53"/>
      <c r="AF169" s="51"/>
      <c r="AG169" s="52"/>
      <c r="AH169" s="54"/>
    </row>
    <row r="170" spans="1:34" ht="15.75" x14ac:dyDescent="0.25">
      <c r="A170" s="197"/>
      <c r="B170" s="198"/>
      <c r="C170" s="199"/>
      <c r="D170" s="220" t="s">
        <v>727</v>
      </c>
      <c r="E170" s="221"/>
      <c r="F170" s="221"/>
      <c r="G170" s="221"/>
      <c r="H170" s="221"/>
      <c r="I170" s="222"/>
      <c r="J170" s="63"/>
      <c r="K170" s="226">
        <f>4*3.37</f>
        <v>13.48</v>
      </c>
      <c r="L170" s="227"/>
      <c r="M170" s="226"/>
      <c r="N170" s="227"/>
      <c r="O170" s="226">
        <v>1</v>
      </c>
      <c r="P170" s="227"/>
      <c r="Q170" s="202"/>
      <c r="R170" s="199"/>
      <c r="S170" s="202"/>
      <c r="T170" s="199"/>
      <c r="U170" s="202"/>
      <c r="V170" s="199"/>
      <c r="W170" s="223">
        <f t="shared" si="14"/>
        <v>13.48</v>
      </c>
      <c r="X170" s="224"/>
      <c r="Y170" s="225"/>
      <c r="Z170" s="223">
        <f t="shared" si="13"/>
        <v>8.3171599999999994</v>
      </c>
      <c r="AA170" s="224"/>
      <c r="AB170" s="225"/>
      <c r="AC170" s="51"/>
      <c r="AD170" s="52"/>
      <c r="AE170" s="53"/>
      <c r="AF170" s="51"/>
      <c r="AG170" s="52"/>
      <c r="AH170" s="54"/>
    </row>
    <row r="171" spans="1:34" ht="15.75" x14ac:dyDescent="0.25">
      <c r="A171" s="197"/>
      <c r="B171" s="198"/>
      <c r="C171" s="199"/>
      <c r="D171" s="220" t="s">
        <v>728</v>
      </c>
      <c r="E171" s="221"/>
      <c r="F171" s="221"/>
      <c r="G171" s="221"/>
      <c r="H171" s="221"/>
      <c r="I171" s="222"/>
      <c r="J171" s="63"/>
      <c r="K171" s="226">
        <f>4*3.37</f>
        <v>13.48</v>
      </c>
      <c r="L171" s="227"/>
      <c r="M171" s="226"/>
      <c r="N171" s="227"/>
      <c r="O171" s="226">
        <v>1</v>
      </c>
      <c r="P171" s="227"/>
      <c r="Q171" s="226"/>
      <c r="R171" s="227"/>
      <c r="S171" s="226"/>
      <c r="T171" s="227"/>
      <c r="U171" s="226"/>
      <c r="V171" s="227"/>
      <c r="W171" s="223">
        <f t="shared" si="14"/>
        <v>13.48</v>
      </c>
      <c r="X171" s="224"/>
      <c r="Y171" s="225"/>
      <c r="Z171" s="223">
        <f t="shared" si="13"/>
        <v>8.3171599999999994</v>
      </c>
      <c r="AA171" s="224"/>
      <c r="AB171" s="225"/>
      <c r="AC171" s="51"/>
      <c r="AD171" s="52"/>
      <c r="AE171" s="53"/>
      <c r="AF171" s="51"/>
      <c r="AG171" s="52"/>
      <c r="AH171" s="54"/>
    </row>
    <row r="172" spans="1:34" ht="15.75" x14ac:dyDescent="0.25">
      <c r="A172" s="197"/>
      <c r="B172" s="198"/>
      <c r="C172" s="199"/>
      <c r="D172" s="220" t="s">
        <v>729</v>
      </c>
      <c r="E172" s="221"/>
      <c r="F172" s="221"/>
      <c r="G172" s="221"/>
      <c r="H172" s="221"/>
      <c r="I172" s="222"/>
      <c r="J172" s="63"/>
      <c r="K172" s="226">
        <f>4*3.37</f>
        <v>13.48</v>
      </c>
      <c r="L172" s="227"/>
      <c r="M172" s="226"/>
      <c r="N172" s="227"/>
      <c r="O172" s="226">
        <v>1</v>
      </c>
      <c r="P172" s="227"/>
      <c r="Q172" s="226"/>
      <c r="R172" s="227"/>
      <c r="S172" s="226"/>
      <c r="T172" s="227"/>
      <c r="U172" s="226"/>
      <c r="V172" s="227"/>
      <c r="W172" s="223">
        <f t="shared" si="14"/>
        <v>13.48</v>
      </c>
      <c r="X172" s="224"/>
      <c r="Y172" s="225"/>
      <c r="Z172" s="223">
        <f t="shared" si="13"/>
        <v>8.3171599999999994</v>
      </c>
      <c r="AA172" s="224"/>
      <c r="AB172" s="225"/>
      <c r="AC172" s="51"/>
      <c r="AD172" s="52"/>
      <c r="AE172" s="53"/>
      <c r="AF172" s="51"/>
      <c r="AG172" s="52"/>
      <c r="AH172" s="54"/>
    </row>
    <row r="173" spans="1:34" ht="15.75" x14ac:dyDescent="0.25">
      <c r="A173" s="197"/>
      <c r="B173" s="198"/>
      <c r="C173" s="199"/>
      <c r="D173" s="220" t="s">
        <v>730</v>
      </c>
      <c r="E173" s="221"/>
      <c r="F173" s="221"/>
      <c r="G173" s="221"/>
      <c r="H173" s="221"/>
      <c r="I173" s="222"/>
      <c r="J173" s="63"/>
      <c r="K173" s="226">
        <f>4*3.37</f>
        <v>13.48</v>
      </c>
      <c r="L173" s="227"/>
      <c r="M173" s="226"/>
      <c r="N173" s="227"/>
      <c r="O173" s="226">
        <v>1</v>
      </c>
      <c r="P173" s="227"/>
      <c r="Q173" s="226"/>
      <c r="R173" s="227"/>
      <c r="S173" s="226"/>
      <c r="T173" s="227"/>
      <c r="U173" s="226"/>
      <c r="V173" s="227"/>
      <c r="W173" s="223">
        <f t="shared" si="14"/>
        <v>13.48</v>
      </c>
      <c r="X173" s="224"/>
      <c r="Y173" s="225"/>
      <c r="Z173" s="223">
        <f t="shared" si="13"/>
        <v>8.3171599999999994</v>
      </c>
      <c r="AA173" s="224"/>
      <c r="AB173" s="225"/>
      <c r="AC173" s="51"/>
      <c r="AD173" s="52"/>
      <c r="AE173" s="53"/>
      <c r="AF173" s="51"/>
      <c r="AG173" s="52"/>
      <c r="AH173" s="54"/>
    </row>
    <row r="174" spans="1:34" ht="15.75" x14ac:dyDescent="0.25">
      <c r="A174" s="197"/>
      <c r="B174" s="198"/>
      <c r="C174" s="199"/>
      <c r="D174" s="231" t="s">
        <v>731</v>
      </c>
      <c r="E174" s="232"/>
      <c r="F174" s="232"/>
      <c r="G174" s="232"/>
      <c r="H174" s="232"/>
      <c r="I174" s="233"/>
      <c r="J174" s="63"/>
      <c r="K174" s="226"/>
      <c r="L174" s="227"/>
      <c r="M174" s="226"/>
      <c r="N174" s="227"/>
      <c r="O174" s="226"/>
      <c r="P174" s="227"/>
      <c r="Q174" s="226"/>
      <c r="R174" s="227"/>
      <c r="S174" s="226"/>
      <c r="T174" s="227"/>
      <c r="U174" s="226"/>
      <c r="V174" s="227"/>
      <c r="W174" s="223">
        <f t="shared" si="14"/>
        <v>0</v>
      </c>
      <c r="X174" s="224"/>
      <c r="Y174" s="225"/>
      <c r="Z174" s="223">
        <f t="shared" si="13"/>
        <v>0</v>
      </c>
      <c r="AA174" s="224"/>
      <c r="AB174" s="225"/>
      <c r="AC174" s="51"/>
      <c r="AD174" s="52"/>
      <c r="AE174" s="53"/>
      <c r="AF174" s="51"/>
      <c r="AG174" s="52"/>
      <c r="AH174" s="54"/>
    </row>
    <row r="175" spans="1:34" ht="15.75" x14ac:dyDescent="0.25">
      <c r="A175" s="197"/>
      <c r="B175" s="198"/>
      <c r="C175" s="199"/>
      <c r="D175" s="231" t="s">
        <v>732</v>
      </c>
      <c r="E175" s="232"/>
      <c r="F175" s="232"/>
      <c r="G175" s="232"/>
      <c r="H175" s="232"/>
      <c r="I175" s="233"/>
      <c r="J175" s="63"/>
      <c r="K175" s="226"/>
      <c r="L175" s="227"/>
      <c r="M175" s="226"/>
      <c r="N175" s="227"/>
      <c r="O175" s="226"/>
      <c r="P175" s="227"/>
      <c r="Q175" s="226"/>
      <c r="R175" s="227"/>
      <c r="S175" s="226"/>
      <c r="T175" s="227"/>
      <c r="U175" s="226"/>
      <c r="V175" s="227"/>
      <c r="W175" s="223">
        <f t="shared" si="14"/>
        <v>0</v>
      </c>
      <c r="X175" s="224"/>
      <c r="Y175" s="225"/>
      <c r="Z175" s="223">
        <f t="shared" ref="Z175:Z202" si="16">W175*0.617</f>
        <v>0</v>
      </c>
      <c r="AA175" s="224"/>
      <c r="AB175" s="225"/>
      <c r="AC175" s="51"/>
      <c r="AD175" s="52"/>
      <c r="AE175" s="53"/>
      <c r="AF175" s="51"/>
      <c r="AG175" s="52"/>
      <c r="AH175" s="54"/>
    </row>
    <row r="176" spans="1:34" ht="15.75" x14ac:dyDescent="0.25">
      <c r="A176" s="197"/>
      <c r="B176" s="198"/>
      <c r="C176" s="199"/>
      <c r="D176" s="231" t="s">
        <v>733</v>
      </c>
      <c r="E176" s="232"/>
      <c r="F176" s="232"/>
      <c r="G176" s="232"/>
      <c r="H176" s="232"/>
      <c r="I176" s="233"/>
      <c r="J176" s="63"/>
      <c r="K176" s="226"/>
      <c r="L176" s="227"/>
      <c r="M176" s="226"/>
      <c r="N176" s="227"/>
      <c r="O176" s="226"/>
      <c r="P176" s="227"/>
      <c r="Q176" s="226"/>
      <c r="R176" s="227"/>
      <c r="S176" s="226"/>
      <c r="T176" s="227"/>
      <c r="U176" s="226"/>
      <c r="V176" s="227"/>
      <c r="W176" s="223">
        <f t="shared" si="14"/>
        <v>0</v>
      </c>
      <c r="X176" s="224"/>
      <c r="Y176" s="225"/>
      <c r="Z176" s="223">
        <f t="shared" si="16"/>
        <v>0</v>
      </c>
      <c r="AA176" s="224"/>
      <c r="AB176" s="225"/>
      <c r="AC176" s="51"/>
      <c r="AD176" s="52"/>
      <c r="AE176" s="53"/>
      <c r="AF176" s="51"/>
      <c r="AG176" s="52"/>
      <c r="AH176" s="54"/>
    </row>
    <row r="177" spans="1:34" ht="15.75" x14ac:dyDescent="0.25">
      <c r="A177" s="197"/>
      <c r="B177" s="198"/>
      <c r="C177" s="199"/>
      <c r="D177" s="220" t="s">
        <v>734</v>
      </c>
      <c r="E177" s="221"/>
      <c r="F177" s="221"/>
      <c r="G177" s="221"/>
      <c r="H177" s="221"/>
      <c r="I177" s="222"/>
      <c r="J177" s="63"/>
      <c r="K177" s="226">
        <f>((4*3.73)+(4*1.47))</f>
        <v>20.8</v>
      </c>
      <c r="L177" s="227"/>
      <c r="M177" s="226"/>
      <c r="N177" s="227"/>
      <c r="O177" s="226">
        <v>1</v>
      </c>
      <c r="P177" s="227"/>
      <c r="Q177" s="226"/>
      <c r="R177" s="227"/>
      <c r="S177" s="226"/>
      <c r="T177" s="227"/>
      <c r="U177" s="226"/>
      <c r="V177" s="227"/>
      <c r="W177" s="223">
        <f t="shared" si="14"/>
        <v>20.8</v>
      </c>
      <c r="X177" s="224"/>
      <c r="Y177" s="225"/>
      <c r="Z177" s="223">
        <f t="shared" si="16"/>
        <v>12.833600000000001</v>
      </c>
      <c r="AA177" s="224"/>
      <c r="AB177" s="225"/>
      <c r="AC177" s="51"/>
      <c r="AD177" s="52"/>
      <c r="AE177" s="53"/>
      <c r="AF177" s="51"/>
      <c r="AG177" s="52"/>
      <c r="AH177" s="54"/>
    </row>
    <row r="178" spans="1:34" ht="15.75" x14ac:dyDescent="0.25">
      <c r="A178" s="197"/>
      <c r="B178" s="198"/>
      <c r="C178" s="199"/>
      <c r="D178" s="220" t="s">
        <v>735</v>
      </c>
      <c r="E178" s="221"/>
      <c r="F178" s="221"/>
      <c r="G178" s="221"/>
      <c r="H178" s="221"/>
      <c r="I178" s="222"/>
      <c r="J178" s="63"/>
      <c r="K178" s="226">
        <f>4*3.37</f>
        <v>13.48</v>
      </c>
      <c r="L178" s="227"/>
      <c r="M178" s="226"/>
      <c r="N178" s="227"/>
      <c r="O178" s="226">
        <v>1</v>
      </c>
      <c r="P178" s="227"/>
      <c r="Q178" s="202"/>
      <c r="R178" s="199"/>
      <c r="S178" s="202"/>
      <c r="T178" s="199"/>
      <c r="U178" s="202"/>
      <c r="V178" s="199"/>
      <c r="W178" s="223">
        <f t="shared" si="14"/>
        <v>13.48</v>
      </c>
      <c r="X178" s="224"/>
      <c r="Y178" s="225"/>
      <c r="Z178" s="223">
        <f t="shared" si="16"/>
        <v>8.3171599999999994</v>
      </c>
      <c r="AA178" s="224"/>
      <c r="AB178" s="225"/>
      <c r="AC178" s="51"/>
      <c r="AD178" s="52"/>
      <c r="AE178" s="53"/>
      <c r="AF178" s="51"/>
      <c r="AG178" s="52"/>
      <c r="AH178" s="54"/>
    </row>
    <row r="179" spans="1:34" ht="15.75" x14ac:dyDescent="0.25">
      <c r="A179" s="197"/>
      <c r="B179" s="198"/>
      <c r="C179" s="199"/>
      <c r="D179" s="220" t="s">
        <v>736</v>
      </c>
      <c r="E179" s="221"/>
      <c r="F179" s="221"/>
      <c r="G179" s="221"/>
      <c r="H179" s="221"/>
      <c r="I179" s="222"/>
      <c r="J179" s="63"/>
      <c r="K179" s="226">
        <f>4*3.37</f>
        <v>13.48</v>
      </c>
      <c r="L179" s="227"/>
      <c r="M179" s="226"/>
      <c r="N179" s="227"/>
      <c r="O179" s="226">
        <v>1</v>
      </c>
      <c r="P179" s="227"/>
      <c r="Q179" s="226"/>
      <c r="R179" s="227"/>
      <c r="S179" s="226"/>
      <c r="T179" s="227"/>
      <c r="U179" s="226"/>
      <c r="V179" s="227"/>
      <c r="W179" s="223">
        <f t="shared" si="14"/>
        <v>13.48</v>
      </c>
      <c r="X179" s="224"/>
      <c r="Y179" s="225"/>
      <c r="Z179" s="223">
        <f t="shared" si="16"/>
        <v>8.3171599999999994</v>
      </c>
      <c r="AA179" s="224"/>
      <c r="AB179" s="225"/>
      <c r="AC179" s="51"/>
      <c r="AD179" s="52"/>
      <c r="AE179" s="53"/>
      <c r="AF179" s="51"/>
      <c r="AG179" s="52"/>
      <c r="AH179" s="54"/>
    </row>
    <row r="180" spans="1:34" ht="15.75" x14ac:dyDescent="0.25">
      <c r="A180" s="197"/>
      <c r="B180" s="198"/>
      <c r="C180" s="199"/>
      <c r="D180" s="220" t="s">
        <v>737</v>
      </c>
      <c r="E180" s="221"/>
      <c r="F180" s="221"/>
      <c r="G180" s="221"/>
      <c r="H180" s="221"/>
      <c r="I180" s="222"/>
      <c r="J180" s="63"/>
      <c r="K180" s="226">
        <f>((4*3.73)+(4*1.47))</f>
        <v>20.8</v>
      </c>
      <c r="L180" s="227"/>
      <c r="M180" s="226"/>
      <c r="N180" s="227"/>
      <c r="O180" s="226">
        <v>1</v>
      </c>
      <c r="P180" s="227"/>
      <c r="Q180" s="226"/>
      <c r="R180" s="227"/>
      <c r="S180" s="226"/>
      <c r="T180" s="227"/>
      <c r="U180" s="226"/>
      <c r="V180" s="227"/>
      <c r="W180" s="223">
        <f t="shared" si="14"/>
        <v>20.8</v>
      </c>
      <c r="X180" s="224"/>
      <c r="Y180" s="225"/>
      <c r="Z180" s="223">
        <f t="shared" si="16"/>
        <v>12.833600000000001</v>
      </c>
      <c r="AA180" s="224"/>
      <c r="AB180" s="225"/>
      <c r="AC180" s="51"/>
      <c r="AD180" s="52"/>
      <c r="AE180" s="53"/>
      <c r="AF180" s="51"/>
      <c r="AG180" s="52"/>
      <c r="AH180" s="54"/>
    </row>
    <row r="181" spans="1:34" ht="15.75" x14ac:dyDescent="0.25">
      <c r="A181" s="197"/>
      <c r="B181" s="198"/>
      <c r="C181" s="199"/>
      <c r="D181" s="220" t="s">
        <v>738</v>
      </c>
      <c r="E181" s="221"/>
      <c r="F181" s="221"/>
      <c r="G181" s="221"/>
      <c r="H181" s="221"/>
      <c r="I181" s="222"/>
      <c r="J181" s="63"/>
      <c r="K181" s="226">
        <f>((4*3.73)+(4*1.47))</f>
        <v>20.8</v>
      </c>
      <c r="L181" s="227"/>
      <c r="M181" s="226"/>
      <c r="N181" s="227"/>
      <c r="O181" s="226">
        <v>1</v>
      </c>
      <c r="P181" s="227"/>
      <c r="Q181" s="226"/>
      <c r="R181" s="227"/>
      <c r="S181" s="226"/>
      <c r="T181" s="227"/>
      <c r="U181" s="226"/>
      <c r="V181" s="227"/>
      <c r="W181" s="223">
        <f t="shared" si="14"/>
        <v>20.8</v>
      </c>
      <c r="X181" s="224"/>
      <c r="Y181" s="225"/>
      <c r="Z181" s="223">
        <f t="shared" si="16"/>
        <v>12.833600000000001</v>
      </c>
      <c r="AA181" s="224"/>
      <c r="AB181" s="225"/>
      <c r="AC181" s="51"/>
      <c r="AD181" s="52"/>
      <c r="AE181" s="53"/>
      <c r="AF181" s="51"/>
      <c r="AG181" s="52"/>
      <c r="AH181" s="54"/>
    </row>
    <row r="182" spans="1:34" ht="15.75" x14ac:dyDescent="0.25">
      <c r="A182" s="197"/>
      <c r="B182" s="198"/>
      <c r="C182" s="199"/>
      <c r="D182" s="220" t="s">
        <v>739</v>
      </c>
      <c r="E182" s="221"/>
      <c r="F182" s="221"/>
      <c r="G182" s="221"/>
      <c r="H182" s="221"/>
      <c r="I182" s="222"/>
      <c r="J182" s="63"/>
      <c r="K182" s="226">
        <f>4*3.37</f>
        <v>13.48</v>
      </c>
      <c r="L182" s="227"/>
      <c r="M182" s="226"/>
      <c r="N182" s="227"/>
      <c r="O182" s="226">
        <v>1</v>
      </c>
      <c r="P182" s="227"/>
      <c r="Q182" s="226"/>
      <c r="R182" s="227"/>
      <c r="S182" s="226"/>
      <c r="T182" s="227"/>
      <c r="U182" s="226"/>
      <c r="V182" s="227"/>
      <c r="W182" s="223">
        <f t="shared" ref="W182:W202" si="17">K182*O182</f>
        <v>13.48</v>
      </c>
      <c r="X182" s="224"/>
      <c r="Y182" s="225"/>
      <c r="Z182" s="223">
        <f t="shared" si="16"/>
        <v>8.3171599999999994</v>
      </c>
      <c r="AA182" s="224"/>
      <c r="AB182" s="225"/>
      <c r="AC182" s="51"/>
      <c r="AD182" s="52"/>
      <c r="AE182" s="53"/>
      <c r="AF182" s="51"/>
      <c r="AG182" s="52"/>
      <c r="AH182" s="54"/>
    </row>
    <row r="183" spans="1:34" ht="15.75" x14ac:dyDescent="0.25">
      <c r="A183" s="197"/>
      <c r="B183" s="198"/>
      <c r="C183" s="199"/>
      <c r="D183" s="220" t="s">
        <v>740</v>
      </c>
      <c r="E183" s="221"/>
      <c r="F183" s="221"/>
      <c r="G183" s="221"/>
      <c r="H183" s="221"/>
      <c r="I183" s="222"/>
      <c r="J183" s="63"/>
      <c r="K183" s="226">
        <f>4*3.37</f>
        <v>13.48</v>
      </c>
      <c r="L183" s="227"/>
      <c r="M183" s="226"/>
      <c r="N183" s="227"/>
      <c r="O183" s="226">
        <v>1</v>
      </c>
      <c r="P183" s="227"/>
      <c r="Q183" s="226"/>
      <c r="R183" s="227"/>
      <c r="S183" s="226"/>
      <c r="T183" s="227"/>
      <c r="U183" s="226"/>
      <c r="V183" s="227"/>
      <c r="W183" s="223">
        <f t="shared" si="17"/>
        <v>13.48</v>
      </c>
      <c r="X183" s="224"/>
      <c r="Y183" s="225"/>
      <c r="Z183" s="223">
        <f t="shared" si="16"/>
        <v>8.3171599999999994</v>
      </c>
      <c r="AA183" s="224"/>
      <c r="AB183" s="225"/>
      <c r="AC183" s="51"/>
      <c r="AD183" s="52"/>
      <c r="AE183" s="53"/>
      <c r="AF183" s="51"/>
      <c r="AG183" s="52"/>
      <c r="AH183" s="54"/>
    </row>
    <row r="184" spans="1:34" ht="15.75" x14ac:dyDescent="0.25">
      <c r="A184" s="197"/>
      <c r="B184" s="198"/>
      <c r="C184" s="199"/>
      <c r="D184" s="220" t="s">
        <v>741</v>
      </c>
      <c r="E184" s="221"/>
      <c r="F184" s="221"/>
      <c r="G184" s="221"/>
      <c r="H184" s="221"/>
      <c r="I184" s="222"/>
      <c r="J184" s="63"/>
      <c r="K184" s="226">
        <f>4*3.37</f>
        <v>13.48</v>
      </c>
      <c r="L184" s="227"/>
      <c r="M184" s="226"/>
      <c r="N184" s="227"/>
      <c r="O184" s="226">
        <v>1</v>
      </c>
      <c r="P184" s="227"/>
      <c r="Q184" s="226"/>
      <c r="R184" s="227"/>
      <c r="S184" s="226"/>
      <c r="T184" s="227"/>
      <c r="U184" s="226"/>
      <c r="V184" s="227"/>
      <c r="W184" s="223">
        <f t="shared" si="17"/>
        <v>13.48</v>
      </c>
      <c r="X184" s="224"/>
      <c r="Y184" s="225"/>
      <c r="Z184" s="223">
        <f t="shared" si="16"/>
        <v>8.3171599999999994</v>
      </c>
      <c r="AA184" s="224"/>
      <c r="AB184" s="225"/>
      <c r="AC184" s="51"/>
      <c r="AD184" s="52"/>
      <c r="AE184" s="53"/>
      <c r="AF184" s="51"/>
      <c r="AG184" s="52"/>
      <c r="AH184" s="54"/>
    </row>
    <row r="185" spans="1:34" ht="15.75" x14ac:dyDescent="0.25">
      <c r="A185" s="197"/>
      <c r="B185" s="198"/>
      <c r="C185" s="199"/>
      <c r="D185" s="220" t="s">
        <v>742</v>
      </c>
      <c r="E185" s="221"/>
      <c r="F185" s="221"/>
      <c r="G185" s="221"/>
      <c r="H185" s="221"/>
      <c r="I185" s="222"/>
      <c r="J185" s="63"/>
      <c r="K185" s="226">
        <f>4*3.37</f>
        <v>13.48</v>
      </c>
      <c r="L185" s="227"/>
      <c r="M185" s="226"/>
      <c r="N185" s="227"/>
      <c r="O185" s="226">
        <v>1</v>
      </c>
      <c r="P185" s="227"/>
      <c r="Q185" s="226"/>
      <c r="R185" s="227"/>
      <c r="S185" s="226"/>
      <c r="T185" s="227"/>
      <c r="U185" s="226"/>
      <c r="V185" s="227"/>
      <c r="W185" s="223">
        <f t="shared" si="17"/>
        <v>13.48</v>
      </c>
      <c r="X185" s="224"/>
      <c r="Y185" s="225"/>
      <c r="Z185" s="223">
        <f t="shared" si="16"/>
        <v>8.3171599999999994</v>
      </c>
      <c r="AA185" s="224"/>
      <c r="AB185" s="225"/>
      <c r="AC185" s="51"/>
      <c r="AD185" s="52"/>
      <c r="AE185" s="53"/>
      <c r="AF185" s="51"/>
      <c r="AG185" s="52"/>
      <c r="AH185" s="54"/>
    </row>
    <row r="186" spans="1:34" ht="15.75" x14ac:dyDescent="0.25">
      <c r="A186" s="197"/>
      <c r="B186" s="198"/>
      <c r="C186" s="199"/>
      <c r="D186" s="220" t="s">
        <v>743</v>
      </c>
      <c r="E186" s="221"/>
      <c r="F186" s="221"/>
      <c r="G186" s="221"/>
      <c r="H186" s="221"/>
      <c r="I186" s="222"/>
      <c r="J186" s="63"/>
      <c r="K186" s="226">
        <f>4*3.37</f>
        <v>13.48</v>
      </c>
      <c r="L186" s="227"/>
      <c r="M186" s="226"/>
      <c r="N186" s="227"/>
      <c r="O186" s="226">
        <v>1</v>
      </c>
      <c r="P186" s="227"/>
      <c r="Q186" s="202"/>
      <c r="R186" s="199"/>
      <c r="S186" s="202"/>
      <c r="T186" s="199"/>
      <c r="U186" s="202"/>
      <c r="V186" s="199"/>
      <c r="W186" s="223">
        <f t="shared" si="17"/>
        <v>13.48</v>
      </c>
      <c r="X186" s="224"/>
      <c r="Y186" s="225"/>
      <c r="Z186" s="223">
        <f t="shared" si="16"/>
        <v>8.3171599999999994</v>
      </c>
      <c r="AA186" s="224"/>
      <c r="AB186" s="225"/>
      <c r="AC186" s="51"/>
      <c r="AD186" s="52"/>
      <c r="AE186" s="53"/>
      <c r="AF186" s="51"/>
      <c r="AG186" s="52"/>
      <c r="AH186" s="54"/>
    </row>
    <row r="187" spans="1:34" ht="15.75" x14ac:dyDescent="0.25">
      <c r="A187" s="197"/>
      <c r="B187" s="198"/>
      <c r="C187" s="199"/>
      <c r="D187" s="220" t="s">
        <v>744</v>
      </c>
      <c r="E187" s="221"/>
      <c r="F187" s="221"/>
      <c r="G187" s="221"/>
      <c r="H187" s="221"/>
      <c r="I187" s="222"/>
      <c r="J187" s="63"/>
      <c r="K187" s="226">
        <f>((4*3.73)+(4*1.47))</f>
        <v>20.8</v>
      </c>
      <c r="L187" s="227"/>
      <c r="M187" s="226"/>
      <c r="N187" s="227"/>
      <c r="O187" s="226">
        <v>1</v>
      </c>
      <c r="P187" s="227"/>
      <c r="Q187" s="226"/>
      <c r="R187" s="227"/>
      <c r="S187" s="226"/>
      <c r="T187" s="227"/>
      <c r="U187" s="226"/>
      <c r="V187" s="227"/>
      <c r="W187" s="223">
        <f t="shared" si="17"/>
        <v>20.8</v>
      </c>
      <c r="X187" s="224"/>
      <c r="Y187" s="225"/>
      <c r="Z187" s="223">
        <f t="shared" si="16"/>
        <v>12.833600000000001</v>
      </c>
      <c r="AA187" s="224"/>
      <c r="AB187" s="225"/>
      <c r="AC187" s="51"/>
      <c r="AD187" s="52"/>
      <c r="AE187" s="53"/>
      <c r="AF187" s="51"/>
      <c r="AG187" s="52"/>
      <c r="AH187" s="54"/>
    </row>
    <row r="188" spans="1:34" ht="15.75" x14ac:dyDescent="0.25">
      <c r="A188" s="197"/>
      <c r="B188" s="198"/>
      <c r="C188" s="199"/>
      <c r="D188" s="220" t="s">
        <v>745</v>
      </c>
      <c r="E188" s="221"/>
      <c r="F188" s="221"/>
      <c r="G188" s="221"/>
      <c r="H188" s="221"/>
      <c r="I188" s="222"/>
      <c r="J188" s="63"/>
      <c r="K188" s="226">
        <f>8*3.37</f>
        <v>26.96</v>
      </c>
      <c r="L188" s="227"/>
      <c r="M188" s="226"/>
      <c r="N188" s="227"/>
      <c r="O188" s="226">
        <v>1</v>
      </c>
      <c r="P188" s="227"/>
      <c r="Q188" s="226"/>
      <c r="R188" s="227"/>
      <c r="S188" s="226"/>
      <c r="T188" s="227"/>
      <c r="U188" s="226"/>
      <c r="V188" s="227"/>
      <c r="W188" s="223">
        <f t="shared" si="17"/>
        <v>26.96</v>
      </c>
      <c r="X188" s="224"/>
      <c r="Y188" s="225"/>
      <c r="Z188" s="223">
        <f t="shared" si="16"/>
        <v>16.634319999999999</v>
      </c>
      <c r="AA188" s="224"/>
      <c r="AB188" s="225"/>
      <c r="AC188" s="51"/>
      <c r="AD188" s="52"/>
      <c r="AE188" s="53"/>
      <c r="AF188" s="51"/>
      <c r="AG188" s="52"/>
      <c r="AH188" s="54"/>
    </row>
    <row r="189" spans="1:34" ht="15.75" x14ac:dyDescent="0.25">
      <c r="A189" s="197"/>
      <c r="B189" s="198"/>
      <c r="C189" s="199"/>
      <c r="D189" s="220" t="s">
        <v>746</v>
      </c>
      <c r="E189" s="221"/>
      <c r="F189" s="221"/>
      <c r="G189" s="221"/>
      <c r="H189" s="221"/>
      <c r="I189" s="222"/>
      <c r="J189" s="63"/>
      <c r="K189" s="226">
        <f>4*3.37</f>
        <v>13.48</v>
      </c>
      <c r="L189" s="227"/>
      <c r="M189" s="226"/>
      <c r="N189" s="227"/>
      <c r="O189" s="226">
        <v>1</v>
      </c>
      <c r="P189" s="227"/>
      <c r="Q189" s="226"/>
      <c r="R189" s="227"/>
      <c r="S189" s="226"/>
      <c r="T189" s="227"/>
      <c r="U189" s="226"/>
      <c r="V189" s="227"/>
      <c r="W189" s="223">
        <f t="shared" si="17"/>
        <v>13.48</v>
      </c>
      <c r="X189" s="224"/>
      <c r="Y189" s="225"/>
      <c r="Z189" s="223">
        <f t="shared" si="16"/>
        <v>8.3171599999999994</v>
      </c>
      <c r="AA189" s="224"/>
      <c r="AB189" s="225"/>
      <c r="AC189" s="51"/>
      <c r="AD189" s="52"/>
      <c r="AE189" s="53"/>
      <c r="AF189" s="51"/>
      <c r="AG189" s="52"/>
      <c r="AH189" s="54"/>
    </row>
    <row r="190" spans="1:34" ht="15.75" x14ac:dyDescent="0.25">
      <c r="A190" s="197"/>
      <c r="B190" s="198"/>
      <c r="C190" s="199"/>
      <c r="D190" s="220" t="s">
        <v>747</v>
      </c>
      <c r="E190" s="221"/>
      <c r="F190" s="221"/>
      <c r="G190" s="221"/>
      <c r="H190" s="221"/>
      <c r="I190" s="222"/>
      <c r="J190" s="63"/>
      <c r="K190" s="226">
        <f>4*3.37</f>
        <v>13.48</v>
      </c>
      <c r="L190" s="227"/>
      <c r="M190" s="226"/>
      <c r="N190" s="227"/>
      <c r="O190" s="226">
        <v>1</v>
      </c>
      <c r="P190" s="227"/>
      <c r="Q190" s="226"/>
      <c r="R190" s="227"/>
      <c r="S190" s="226"/>
      <c r="T190" s="227"/>
      <c r="U190" s="226"/>
      <c r="V190" s="227"/>
      <c r="W190" s="223">
        <f t="shared" si="17"/>
        <v>13.48</v>
      </c>
      <c r="X190" s="224"/>
      <c r="Y190" s="225"/>
      <c r="Z190" s="223">
        <f t="shared" si="16"/>
        <v>8.3171599999999994</v>
      </c>
      <c r="AA190" s="224"/>
      <c r="AB190" s="225"/>
      <c r="AC190" s="51"/>
      <c r="AD190" s="52"/>
      <c r="AE190" s="53"/>
      <c r="AF190" s="51"/>
      <c r="AG190" s="52"/>
      <c r="AH190" s="54"/>
    </row>
    <row r="191" spans="1:34" ht="15.75" x14ac:dyDescent="0.25">
      <c r="A191" s="197"/>
      <c r="B191" s="198"/>
      <c r="C191" s="199"/>
      <c r="D191" s="220" t="s">
        <v>748</v>
      </c>
      <c r="E191" s="221"/>
      <c r="F191" s="221"/>
      <c r="G191" s="221"/>
      <c r="H191" s="221"/>
      <c r="I191" s="222"/>
      <c r="J191" s="63"/>
      <c r="K191" s="226">
        <f t="shared" ref="K191:K196" si="18">((4*3.73)+(4*1.47))</f>
        <v>20.8</v>
      </c>
      <c r="L191" s="227"/>
      <c r="M191" s="226"/>
      <c r="N191" s="227"/>
      <c r="O191" s="226">
        <v>1</v>
      </c>
      <c r="P191" s="227"/>
      <c r="Q191" s="226"/>
      <c r="R191" s="227"/>
      <c r="S191" s="226"/>
      <c r="T191" s="227"/>
      <c r="U191" s="226"/>
      <c r="V191" s="227"/>
      <c r="W191" s="223">
        <f t="shared" si="17"/>
        <v>20.8</v>
      </c>
      <c r="X191" s="224"/>
      <c r="Y191" s="225"/>
      <c r="Z191" s="223">
        <f t="shared" si="16"/>
        <v>12.833600000000001</v>
      </c>
      <c r="AA191" s="224"/>
      <c r="AB191" s="225"/>
      <c r="AC191" s="51"/>
      <c r="AD191" s="52"/>
      <c r="AE191" s="53"/>
      <c r="AF191" s="51"/>
      <c r="AG191" s="52"/>
      <c r="AH191" s="54"/>
    </row>
    <row r="192" spans="1:34" ht="15.75" x14ac:dyDescent="0.25">
      <c r="A192" s="197"/>
      <c r="B192" s="198"/>
      <c r="C192" s="199"/>
      <c r="D192" s="220" t="s">
        <v>749</v>
      </c>
      <c r="E192" s="221"/>
      <c r="F192" s="221"/>
      <c r="G192" s="221"/>
      <c r="H192" s="221"/>
      <c r="I192" s="222"/>
      <c r="J192" s="63"/>
      <c r="K192" s="226">
        <f t="shared" si="18"/>
        <v>20.8</v>
      </c>
      <c r="L192" s="227"/>
      <c r="M192" s="226"/>
      <c r="N192" s="227"/>
      <c r="O192" s="226">
        <v>1</v>
      </c>
      <c r="P192" s="227"/>
      <c r="Q192" s="226"/>
      <c r="R192" s="227"/>
      <c r="S192" s="226"/>
      <c r="T192" s="227"/>
      <c r="U192" s="226"/>
      <c r="V192" s="227"/>
      <c r="W192" s="223">
        <f t="shared" si="17"/>
        <v>20.8</v>
      </c>
      <c r="X192" s="224"/>
      <c r="Y192" s="225"/>
      <c r="Z192" s="223">
        <f t="shared" si="16"/>
        <v>12.833600000000001</v>
      </c>
      <c r="AA192" s="224"/>
      <c r="AB192" s="225"/>
      <c r="AC192" s="51"/>
      <c r="AD192" s="52"/>
      <c r="AE192" s="53"/>
      <c r="AF192" s="51"/>
      <c r="AG192" s="52"/>
      <c r="AH192" s="54"/>
    </row>
    <row r="193" spans="1:35" ht="15.75" x14ac:dyDescent="0.25">
      <c r="A193" s="197"/>
      <c r="B193" s="198"/>
      <c r="C193" s="199"/>
      <c r="D193" s="220" t="s">
        <v>750</v>
      </c>
      <c r="E193" s="221"/>
      <c r="F193" s="221"/>
      <c r="G193" s="221"/>
      <c r="H193" s="221"/>
      <c r="I193" s="222"/>
      <c r="J193" s="63"/>
      <c r="K193" s="226">
        <f t="shared" si="18"/>
        <v>20.8</v>
      </c>
      <c r="L193" s="227"/>
      <c r="M193" s="226"/>
      <c r="N193" s="227"/>
      <c r="O193" s="226">
        <v>1</v>
      </c>
      <c r="P193" s="227"/>
      <c r="Q193" s="226"/>
      <c r="R193" s="227"/>
      <c r="S193" s="226"/>
      <c r="T193" s="227"/>
      <c r="U193" s="226"/>
      <c r="V193" s="227"/>
      <c r="W193" s="223">
        <f t="shared" si="17"/>
        <v>20.8</v>
      </c>
      <c r="X193" s="224"/>
      <c r="Y193" s="225"/>
      <c r="Z193" s="223">
        <f t="shared" si="16"/>
        <v>12.833600000000001</v>
      </c>
      <c r="AA193" s="224"/>
      <c r="AB193" s="225"/>
      <c r="AC193" s="51"/>
      <c r="AD193" s="52"/>
      <c r="AE193" s="53"/>
      <c r="AF193" s="51"/>
      <c r="AG193" s="52"/>
      <c r="AH193" s="54"/>
    </row>
    <row r="194" spans="1:35" ht="15.75" x14ac:dyDescent="0.25">
      <c r="A194" s="197"/>
      <c r="B194" s="198"/>
      <c r="C194" s="199"/>
      <c r="D194" s="220" t="s">
        <v>751</v>
      </c>
      <c r="E194" s="221"/>
      <c r="F194" s="221"/>
      <c r="G194" s="221"/>
      <c r="H194" s="221"/>
      <c r="I194" s="222"/>
      <c r="J194" s="63"/>
      <c r="K194" s="226">
        <f t="shared" si="18"/>
        <v>20.8</v>
      </c>
      <c r="L194" s="227"/>
      <c r="M194" s="226"/>
      <c r="N194" s="227"/>
      <c r="O194" s="226">
        <v>1</v>
      </c>
      <c r="P194" s="227"/>
      <c r="Q194" s="202"/>
      <c r="R194" s="199"/>
      <c r="S194" s="202"/>
      <c r="T194" s="199"/>
      <c r="U194" s="202"/>
      <c r="V194" s="199"/>
      <c r="W194" s="223">
        <f t="shared" si="17"/>
        <v>20.8</v>
      </c>
      <c r="X194" s="224"/>
      <c r="Y194" s="225"/>
      <c r="Z194" s="223">
        <f t="shared" si="16"/>
        <v>12.833600000000001</v>
      </c>
      <c r="AA194" s="224"/>
      <c r="AB194" s="225"/>
      <c r="AC194" s="51"/>
      <c r="AD194" s="52"/>
      <c r="AE194" s="53"/>
      <c r="AF194" s="51"/>
      <c r="AG194" s="52"/>
      <c r="AH194" s="54"/>
    </row>
    <row r="195" spans="1:35" ht="15.75" x14ac:dyDescent="0.25">
      <c r="A195" s="197"/>
      <c r="B195" s="198"/>
      <c r="C195" s="199"/>
      <c r="D195" s="220" t="s">
        <v>752</v>
      </c>
      <c r="E195" s="221"/>
      <c r="F195" s="221"/>
      <c r="G195" s="221"/>
      <c r="H195" s="221"/>
      <c r="I195" s="222"/>
      <c r="J195" s="63"/>
      <c r="K195" s="226">
        <f t="shared" si="18"/>
        <v>20.8</v>
      </c>
      <c r="L195" s="227"/>
      <c r="M195" s="226"/>
      <c r="N195" s="227"/>
      <c r="O195" s="226">
        <v>1</v>
      </c>
      <c r="P195" s="227"/>
      <c r="Q195" s="226"/>
      <c r="R195" s="227"/>
      <c r="S195" s="226"/>
      <c r="T195" s="227"/>
      <c r="U195" s="226"/>
      <c r="V195" s="227"/>
      <c r="W195" s="223">
        <f t="shared" si="17"/>
        <v>20.8</v>
      </c>
      <c r="X195" s="224"/>
      <c r="Y195" s="225"/>
      <c r="Z195" s="223">
        <f t="shared" si="16"/>
        <v>12.833600000000001</v>
      </c>
      <c r="AA195" s="224"/>
      <c r="AB195" s="225"/>
      <c r="AC195" s="51"/>
      <c r="AD195" s="52"/>
      <c r="AE195" s="53"/>
      <c r="AF195" s="51"/>
      <c r="AG195" s="52"/>
      <c r="AH195" s="54"/>
    </row>
    <row r="196" spans="1:35" ht="15.75" x14ac:dyDescent="0.25">
      <c r="A196" s="197"/>
      <c r="B196" s="198"/>
      <c r="C196" s="199"/>
      <c r="D196" s="220" t="s">
        <v>753</v>
      </c>
      <c r="E196" s="221"/>
      <c r="F196" s="221"/>
      <c r="G196" s="221"/>
      <c r="H196" s="221"/>
      <c r="I196" s="222"/>
      <c r="J196" s="63"/>
      <c r="K196" s="226">
        <f t="shared" si="18"/>
        <v>20.8</v>
      </c>
      <c r="L196" s="227"/>
      <c r="M196" s="226"/>
      <c r="N196" s="227"/>
      <c r="O196" s="226">
        <v>1</v>
      </c>
      <c r="P196" s="227"/>
      <c r="Q196" s="226"/>
      <c r="R196" s="227"/>
      <c r="S196" s="226"/>
      <c r="T196" s="227"/>
      <c r="U196" s="226"/>
      <c r="V196" s="227"/>
      <c r="W196" s="223">
        <f t="shared" si="17"/>
        <v>20.8</v>
      </c>
      <c r="X196" s="224"/>
      <c r="Y196" s="225"/>
      <c r="Z196" s="223">
        <f t="shared" si="16"/>
        <v>12.833600000000001</v>
      </c>
      <c r="AA196" s="224"/>
      <c r="AB196" s="225"/>
      <c r="AC196" s="51"/>
      <c r="AD196" s="52"/>
      <c r="AE196" s="53"/>
      <c r="AF196" s="51"/>
      <c r="AG196" s="52"/>
      <c r="AH196" s="54"/>
    </row>
    <row r="197" spans="1:35" ht="15.75" x14ac:dyDescent="0.25">
      <c r="A197" s="197"/>
      <c r="B197" s="198"/>
      <c r="C197" s="199"/>
      <c r="D197" s="220" t="s">
        <v>754</v>
      </c>
      <c r="E197" s="221"/>
      <c r="F197" s="221"/>
      <c r="G197" s="221"/>
      <c r="H197" s="221"/>
      <c r="I197" s="222"/>
      <c r="J197" s="63"/>
      <c r="K197" s="226">
        <f>((6*3.73)+(6*1.47))</f>
        <v>31.2</v>
      </c>
      <c r="L197" s="227"/>
      <c r="M197" s="226"/>
      <c r="N197" s="227"/>
      <c r="O197" s="226">
        <v>1</v>
      </c>
      <c r="P197" s="227"/>
      <c r="Q197" s="226"/>
      <c r="R197" s="227"/>
      <c r="S197" s="226"/>
      <c r="T197" s="227"/>
      <c r="U197" s="226"/>
      <c r="V197" s="227"/>
      <c r="W197" s="223">
        <f t="shared" si="17"/>
        <v>31.2</v>
      </c>
      <c r="X197" s="224"/>
      <c r="Y197" s="225"/>
      <c r="Z197" s="223">
        <f t="shared" si="16"/>
        <v>19.250399999999999</v>
      </c>
      <c r="AA197" s="224"/>
      <c r="AB197" s="225"/>
      <c r="AC197" s="51"/>
      <c r="AD197" s="52"/>
      <c r="AE197" s="53"/>
      <c r="AF197" s="51"/>
      <c r="AG197" s="52"/>
      <c r="AH197" s="54"/>
    </row>
    <row r="198" spans="1:35" ht="15.75" x14ac:dyDescent="0.25">
      <c r="A198" s="197"/>
      <c r="B198" s="198"/>
      <c r="C198" s="199"/>
      <c r="D198" s="220" t="s">
        <v>755</v>
      </c>
      <c r="E198" s="221"/>
      <c r="F198" s="221"/>
      <c r="G198" s="221"/>
      <c r="H198" s="221"/>
      <c r="I198" s="222"/>
      <c r="J198" s="63"/>
      <c r="K198" s="226">
        <f>((6*3.73)+(6*1.47))</f>
        <v>31.2</v>
      </c>
      <c r="L198" s="227"/>
      <c r="M198" s="226"/>
      <c r="N198" s="227"/>
      <c r="O198" s="226">
        <v>1</v>
      </c>
      <c r="P198" s="227"/>
      <c r="Q198" s="226"/>
      <c r="R198" s="227"/>
      <c r="S198" s="226"/>
      <c r="T198" s="227"/>
      <c r="U198" s="226"/>
      <c r="V198" s="227"/>
      <c r="W198" s="223">
        <f t="shared" si="17"/>
        <v>31.2</v>
      </c>
      <c r="X198" s="224"/>
      <c r="Y198" s="225"/>
      <c r="Z198" s="223">
        <f t="shared" si="16"/>
        <v>19.250399999999999</v>
      </c>
      <c r="AA198" s="224"/>
      <c r="AB198" s="225"/>
      <c r="AC198" s="51"/>
      <c r="AD198" s="52"/>
      <c r="AE198" s="53"/>
      <c r="AF198" s="51"/>
      <c r="AG198" s="52"/>
      <c r="AH198" s="54"/>
    </row>
    <row r="199" spans="1:35" ht="15.75" x14ac:dyDescent="0.25">
      <c r="A199" s="197"/>
      <c r="B199" s="198"/>
      <c r="C199" s="199"/>
      <c r="D199" s="220" t="s">
        <v>756</v>
      </c>
      <c r="E199" s="221"/>
      <c r="F199" s="221"/>
      <c r="G199" s="221"/>
      <c r="H199" s="221"/>
      <c r="I199" s="222"/>
      <c r="J199" s="63"/>
      <c r="K199" s="226">
        <f>((4*3.73)+(4*1.47))</f>
        <v>20.8</v>
      </c>
      <c r="L199" s="227"/>
      <c r="M199" s="226"/>
      <c r="N199" s="227"/>
      <c r="O199" s="226">
        <v>1</v>
      </c>
      <c r="P199" s="227"/>
      <c r="Q199" s="226"/>
      <c r="R199" s="227"/>
      <c r="S199" s="226"/>
      <c r="T199" s="227"/>
      <c r="U199" s="226"/>
      <c r="V199" s="227"/>
      <c r="W199" s="223">
        <f t="shared" si="17"/>
        <v>20.8</v>
      </c>
      <c r="X199" s="224"/>
      <c r="Y199" s="225"/>
      <c r="Z199" s="223">
        <f t="shared" si="16"/>
        <v>12.833600000000001</v>
      </c>
      <c r="AA199" s="224"/>
      <c r="AB199" s="225"/>
      <c r="AC199" s="51"/>
      <c r="AD199" s="52"/>
      <c r="AE199" s="53"/>
      <c r="AF199" s="51"/>
      <c r="AG199" s="52"/>
      <c r="AH199" s="54"/>
    </row>
    <row r="200" spans="1:35" ht="15.75" x14ac:dyDescent="0.25">
      <c r="A200" s="197"/>
      <c r="B200" s="198"/>
      <c r="C200" s="199"/>
      <c r="D200" s="220" t="s">
        <v>757</v>
      </c>
      <c r="E200" s="221"/>
      <c r="F200" s="221"/>
      <c r="G200" s="221"/>
      <c r="H200" s="221"/>
      <c r="I200" s="222"/>
      <c r="J200" s="63"/>
      <c r="K200" s="226">
        <f>((4*3.73)+(4*1.47))</f>
        <v>20.8</v>
      </c>
      <c r="L200" s="227"/>
      <c r="M200" s="226"/>
      <c r="N200" s="227"/>
      <c r="O200" s="226">
        <v>1</v>
      </c>
      <c r="P200" s="227"/>
      <c r="Q200" s="226"/>
      <c r="R200" s="227"/>
      <c r="S200" s="226"/>
      <c r="T200" s="227"/>
      <c r="U200" s="226"/>
      <c r="V200" s="227"/>
      <c r="W200" s="223">
        <f t="shared" si="17"/>
        <v>20.8</v>
      </c>
      <c r="X200" s="224"/>
      <c r="Y200" s="225"/>
      <c r="Z200" s="223">
        <f t="shared" si="16"/>
        <v>12.833600000000001</v>
      </c>
      <c r="AA200" s="224"/>
      <c r="AB200" s="225"/>
      <c r="AC200" s="51"/>
      <c r="AD200" s="52"/>
      <c r="AE200" s="53"/>
      <c r="AF200" s="51"/>
      <c r="AG200" s="52"/>
      <c r="AH200" s="54"/>
    </row>
    <row r="201" spans="1:35" ht="15.75" x14ac:dyDescent="0.25">
      <c r="A201" s="197"/>
      <c r="B201" s="198"/>
      <c r="C201" s="199"/>
      <c r="D201" s="220" t="s">
        <v>758</v>
      </c>
      <c r="E201" s="221"/>
      <c r="F201" s="221"/>
      <c r="G201" s="221"/>
      <c r="H201" s="221"/>
      <c r="I201" s="222"/>
      <c r="J201" s="63"/>
      <c r="K201" s="226">
        <f>((4*3.73)+(4*1.47))</f>
        <v>20.8</v>
      </c>
      <c r="L201" s="227"/>
      <c r="M201" s="226"/>
      <c r="N201" s="227"/>
      <c r="O201" s="226">
        <v>1</v>
      </c>
      <c r="P201" s="227"/>
      <c r="Q201" s="226"/>
      <c r="R201" s="227"/>
      <c r="S201" s="226"/>
      <c r="T201" s="227"/>
      <c r="U201" s="226"/>
      <c r="V201" s="227"/>
      <c r="W201" s="223">
        <f t="shared" si="17"/>
        <v>20.8</v>
      </c>
      <c r="X201" s="224"/>
      <c r="Y201" s="225"/>
      <c r="Z201" s="223">
        <f t="shared" si="16"/>
        <v>12.833600000000001</v>
      </c>
      <c r="AA201" s="224"/>
      <c r="AB201" s="225"/>
      <c r="AC201" s="51"/>
      <c r="AD201" s="52"/>
      <c r="AE201" s="53"/>
      <c r="AF201" s="51"/>
      <c r="AG201" s="52"/>
      <c r="AH201" s="54"/>
    </row>
    <row r="202" spans="1:35" ht="15.75" x14ac:dyDescent="0.25">
      <c r="A202" s="197"/>
      <c r="B202" s="198"/>
      <c r="C202" s="199"/>
      <c r="D202" s="220" t="s">
        <v>759</v>
      </c>
      <c r="E202" s="221"/>
      <c r="F202" s="221"/>
      <c r="G202" s="221"/>
      <c r="H202" s="221"/>
      <c r="I202" s="222"/>
      <c r="J202" s="63"/>
      <c r="K202" s="226">
        <f>((4*3.73)+(4*1.47))</f>
        <v>20.8</v>
      </c>
      <c r="L202" s="227"/>
      <c r="M202" s="226"/>
      <c r="N202" s="227"/>
      <c r="O202" s="226">
        <v>1</v>
      </c>
      <c r="P202" s="227"/>
      <c r="Q202" s="202"/>
      <c r="R202" s="199"/>
      <c r="S202" s="202"/>
      <c r="T202" s="199"/>
      <c r="U202" s="202"/>
      <c r="V202" s="199"/>
      <c r="W202" s="223">
        <f t="shared" si="17"/>
        <v>20.8</v>
      </c>
      <c r="X202" s="224"/>
      <c r="Y202" s="225"/>
      <c r="Z202" s="223">
        <f t="shared" si="16"/>
        <v>12.833600000000001</v>
      </c>
      <c r="AA202" s="224"/>
      <c r="AB202" s="225"/>
      <c r="AC202" s="51"/>
      <c r="AD202" s="52"/>
      <c r="AE202" s="53"/>
      <c r="AF202" s="51"/>
      <c r="AG202" s="52"/>
      <c r="AH202" s="54"/>
    </row>
    <row r="203" spans="1:35" ht="15.75" x14ac:dyDescent="0.25">
      <c r="A203" s="189" t="str">
        <f>'MEMORIA BM 04'!A36</f>
        <v>5.4</v>
      </c>
      <c r="B203" s="190"/>
      <c r="C203" s="191"/>
      <c r="D203" s="228" t="str">
        <f>'MEMORIA BM 04'!B36</f>
        <v>ARMAÇÃO DE PILAR OU VIGA DE UMA ESTRUTURA CONVENCIONAL DE CONCRETO ARMADO EM UMA EDIFICAÇÃO TÉRREA OU SOBRADO UTILIZANDO AÇO CA-50 DE 12,5 MM - MONTAGEM. AF_12/2015</v>
      </c>
      <c r="E203" s="229"/>
      <c r="F203" s="229"/>
      <c r="G203" s="229"/>
      <c r="H203" s="229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30"/>
      <c r="AC203" s="195">
        <f>SUM(Z204:AB209)</f>
        <v>270.46818000000002</v>
      </c>
      <c r="AD203" s="190"/>
      <c r="AE203" s="191"/>
      <c r="AF203" s="195" t="s">
        <v>361</v>
      </c>
      <c r="AG203" s="190"/>
      <c r="AH203" s="196"/>
      <c r="AI203">
        <v>270.47000000000003</v>
      </c>
    </row>
    <row r="204" spans="1:35" ht="15.75" x14ac:dyDescent="0.25">
      <c r="A204" s="197"/>
      <c r="B204" s="198"/>
      <c r="C204" s="199"/>
      <c r="D204" s="220" t="s">
        <v>687</v>
      </c>
      <c r="E204" s="221"/>
      <c r="F204" s="221"/>
      <c r="G204" s="221"/>
      <c r="H204" s="221"/>
      <c r="I204" s="222"/>
      <c r="J204" s="63"/>
      <c r="K204" s="202">
        <f>((16*0.83)+(10*3.37)+(6*3.82)+(6*1.47))</f>
        <v>78.72</v>
      </c>
      <c r="L204" s="199"/>
      <c r="M204" s="202"/>
      <c r="N204" s="199"/>
      <c r="O204" s="226">
        <v>1</v>
      </c>
      <c r="P204" s="227"/>
      <c r="Q204" s="202"/>
      <c r="R204" s="199"/>
      <c r="S204" s="202"/>
      <c r="T204" s="199"/>
      <c r="U204" s="202"/>
      <c r="V204" s="199"/>
      <c r="W204" s="223">
        <f t="shared" ref="W204:W206" si="19">K204*O204</f>
        <v>78.72</v>
      </c>
      <c r="X204" s="224"/>
      <c r="Y204" s="225"/>
      <c r="Z204" s="223">
        <f>W204*0.963</f>
        <v>75.807360000000003</v>
      </c>
      <c r="AA204" s="224"/>
      <c r="AB204" s="225"/>
      <c r="AC204" s="51"/>
      <c r="AD204" s="52"/>
      <c r="AE204" s="53"/>
      <c r="AF204" s="51"/>
      <c r="AG204" s="52"/>
      <c r="AH204" s="54"/>
    </row>
    <row r="205" spans="1:35" ht="15.75" x14ac:dyDescent="0.25">
      <c r="A205" s="197"/>
      <c r="B205" s="198"/>
      <c r="C205" s="199"/>
      <c r="D205" s="220" t="s">
        <v>688</v>
      </c>
      <c r="E205" s="221"/>
      <c r="F205" s="221"/>
      <c r="G205" s="221"/>
      <c r="H205" s="221"/>
      <c r="I205" s="222"/>
      <c r="J205" s="63"/>
      <c r="K205" s="226">
        <f>((14*0.83)+(14*3.37))</f>
        <v>58.8</v>
      </c>
      <c r="L205" s="227"/>
      <c r="M205" s="226"/>
      <c r="N205" s="227"/>
      <c r="O205" s="226">
        <v>1</v>
      </c>
      <c r="P205" s="227"/>
      <c r="Q205" s="226"/>
      <c r="R205" s="227"/>
      <c r="S205" s="226"/>
      <c r="T205" s="227"/>
      <c r="U205" s="226"/>
      <c r="V205" s="227"/>
      <c r="W205" s="223">
        <f t="shared" si="19"/>
        <v>58.8</v>
      </c>
      <c r="X205" s="224"/>
      <c r="Y205" s="225"/>
      <c r="Z205" s="223">
        <f t="shared" ref="Z205:Z209" si="20">W205*0.963</f>
        <v>56.624399999999994</v>
      </c>
      <c r="AA205" s="224"/>
      <c r="AB205" s="225"/>
      <c r="AC205" s="51"/>
      <c r="AD205" s="52"/>
      <c r="AE205" s="53"/>
      <c r="AF205" s="51"/>
      <c r="AG205" s="52"/>
      <c r="AH205" s="54"/>
    </row>
    <row r="206" spans="1:35" ht="15.75" x14ac:dyDescent="0.25">
      <c r="A206" s="197"/>
      <c r="B206" s="198"/>
      <c r="C206" s="199"/>
      <c r="D206" s="220" t="s">
        <v>714</v>
      </c>
      <c r="E206" s="221"/>
      <c r="F206" s="221"/>
      <c r="G206" s="221"/>
      <c r="H206" s="221"/>
      <c r="I206" s="222"/>
      <c r="J206" s="63"/>
      <c r="K206" s="226">
        <f>((6*3.82)+(6*1.47))</f>
        <v>31.74</v>
      </c>
      <c r="L206" s="227"/>
      <c r="M206" s="226"/>
      <c r="N206" s="227"/>
      <c r="O206" s="226">
        <v>1</v>
      </c>
      <c r="P206" s="227"/>
      <c r="Q206" s="226"/>
      <c r="R206" s="227"/>
      <c r="S206" s="226"/>
      <c r="T206" s="227"/>
      <c r="U206" s="226"/>
      <c r="V206" s="227"/>
      <c r="W206" s="223">
        <f t="shared" si="19"/>
        <v>31.74</v>
      </c>
      <c r="X206" s="224"/>
      <c r="Y206" s="225"/>
      <c r="Z206" s="223">
        <f t="shared" si="20"/>
        <v>30.565619999999999</v>
      </c>
      <c r="AA206" s="224"/>
      <c r="AB206" s="225"/>
      <c r="AC206" s="51"/>
      <c r="AD206" s="52"/>
      <c r="AE206" s="53"/>
      <c r="AF206" s="51"/>
      <c r="AG206" s="52"/>
      <c r="AH206" s="54"/>
    </row>
    <row r="207" spans="1:35" ht="15.75" x14ac:dyDescent="0.25">
      <c r="A207" s="197"/>
      <c r="B207" s="198"/>
      <c r="C207" s="199"/>
      <c r="D207" s="220" t="s">
        <v>731</v>
      </c>
      <c r="E207" s="221"/>
      <c r="F207" s="221"/>
      <c r="G207" s="221"/>
      <c r="H207" s="221"/>
      <c r="I207" s="222"/>
      <c r="J207" s="63"/>
      <c r="K207" s="226">
        <f>8*3.37</f>
        <v>26.96</v>
      </c>
      <c r="L207" s="227"/>
      <c r="M207" s="226"/>
      <c r="N207" s="227"/>
      <c r="O207" s="226">
        <v>1</v>
      </c>
      <c r="P207" s="227"/>
      <c r="Q207" s="226"/>
      <c r="R207" s="227"/>
      <c r="S207" s="226"/>
      <c r="T207" s="227"/>
      <c r="U207" s="226"/>
      <c r="V207" s="227"/>
      <c r="W207" s="223">
        <f t="shared" ref="W207:W209" si="21">K207*O207</f>
        <v>26.96</v>
      </c>
      <c r="X207" s="224"/>
      <c r="Y207" s="225"/>
      <c r="Z207" s="223">
        <f t="shared" si="20"/>
        <v>25.962479999999999</v>
      </c>
      <c r="AA207" s="224"/>
      <c r="AB207" s="225"/>
      <c r="AC207" s="51"/>
      <c r="AD207" s="52"/>
      <c r="AE207" s="53"/>
      <c r="AF207" s="51"/>
      <c r="AG207" s="52"/>
      <c r="AH207" s="54"/>
    </row>
    <row r="208" spans="1:35" ht="15.75" x14ac:dyDescent="0.25">
      <c r="A208" s="197"/>
      <c r="B208" s="198"/>
      <c r="C208" s="199"/>
      <c r="D208" s="220" t="s">
        <v>732</v>
      </c>
      <c r="E208" s="221"/>
      <c r="F208" s="221"/>
      <c r="G208" s="221"/>
      <c r="H208" s="221"/>
      <c r="I208" s="222"/>
      <c r="J208" s="63"/>
      <c r="K208" s="226">
        <f>((8*3.82)+(8*1.47))</f>
        <v>42.32</v>
      </c>
      <c r="L208" s="227"/>
      <c r="M208" s="226"/>
      <c r="N208" s="227"/>
      <c r="O208" s="226">
        <v>1</v>
      </c>
      <c r="P208" s="227"/>
      <c r="Q208" s="226"/>
      <c r="R208" s="227"/>
      <c r="S208" s="226"/>
      <c r="T208" s="227"/>
      <c r="U208" s="226"/>
      <c r="V208" s="227"/>
      <c r="W208" s="223">
        <f t="shared" si="21"/>
        <v>42.32</v>
      </c>
      <c r="X208" s="224"/>
      <c r="Y208" s="225"/>
      <c r="Z208" s="223">
        <f t="shared" si="20"/>
        <v>40.754159999999999</v>
      </c>
      <c r="AA208" s="224"/>
      <c r="AB208" s="225"/>
      <c r="AC208" s="51"/>
      <c r="AD208" s="52"/>
      <c r="AE208" s="53"/>
      <c r="AF208" s="51"/>
      <c r="AG208" s="52"/>
      <c r="AH208" s="54"/>
    </row>
    <row r="209" spans="1:35" ht="15.75" x14ac:dyDescent="0.25">
      <c r="A209" s="197"/>
      <c r="B209" s="198"/>
      <c r="C209" s="199"/>
      <c r="D209" s="220" t="s">
        <v>733</v>
      </c>
      <c r="E209" s="221"/>
      <c r="F209" s="221"/>
      <c r="G209" s="221"/>
      <c r="H209" s="221"/>
      <c r="I209" s="222"/>
      <c r="J209" s="63"/>
      <c r="K209" s="226">
        <f>((8*3.82)+(8*1.47))</f>
        <v>42.32</v>
      </c>
      <c r="L209" s="227"/>
      <c r="M209" s="226"/>
      <c r="N209" s="227"/>
      <c r="O209" s="226">
        <v>1</v>
      </c>
      <c r="P209" s="227"/>
      <c r="Q209" s="226"/>
      <c r="R209" s="227"/>
      <c r="S209" s="226"/>
      <c r="T209" s="227"/>
      <c r="U209" s="226"/>
      <c r="V209" s="227"/>
      <c r="W209" s="223">
        <f t="shared" si="21"/>
        <v>42.32</v>
      </c>
      <c r="X209" s="224"/>
      <c r="Y209" s="225"/>
      <c r="Z209" s="223">
        <f t="shared" si="20"/>
        <v>40.754159999999999</v>
      </c>
      <c r="AA209" s="224"/>
      <c r="AB209" s="225"/>
      <c r="AC209" s="51"/>
      <c r="AD209" s="52"/>
      <c r="AE209" s="53"/>
      <c r="AF209" s="51"/>
      <c r="AG209" s="52"/>
      <c r="AH209" s="54"/>
    </row>
    <row r="210" spans="1:35" ht="15.75" x14ac:dyDescent="0.25">
      <c r="A210" s="189" t="str">
        <f>'MEMORIA BM 04'!A37</f>
        <v>5.5</v>
      </c>
      <c r="B210" s="190"/>
      <c r="C210" s="191"/>
      <c r="D210" s="228" t="str">
        <f>'MEMORIA BM 04'!B37</f>
        <v>ARMAÇÃO DE PILAR OU VIGA DE UMA ESTRUTURA CONVENCIONAL DE CONCRETO ARMADO EM UMA EDIFICAÇÃO TÉRREA OU SOBRADO UTILIZANDO AÇO CA-60 DE 5,0 MM - MONTAGEM. AF_12/2015</v>
      </c>
      <c r="E210" s="229"/>
      <c r="F210" s="229"/>
      <c r="G210" s="229"/>
      <c r="H210" s="229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30"/>
      <c r="AC210" s="195">
        <f>SUM(Z211:AB303)</f>
        <v>428.65900000000056</v>
      </c>
      <c r="AD210" s="190"/>
      <c r="AE210" s="191"/>
      <c r="AF210" s="195" t="str">
        <f>'MEMORIA BM 04'!C37</f>
        <v>KG</v>
      </c>
      <c r="AG210" s="190"/>
      <c r="AH210" s="196"/>
      <c r="AI210">
        <v>428.66</v>
      </c>
    </row>
    <row r="211" spans="1:35" ht="15.75" x14ac:dyDescent="0.25">
      <c r="A211" s="197"/>
      <c r="B211" s="198"/>
      <c r="C211" s="199"/>
      <c r="D211" s="218" t="s">
        <v>667</v>
      </c>
      <c r="E211" s="219"/>
      <c r="F211" s="219"/>
      <c r="G211" s="219"/>
      <c r="H211" s="219"/>
      <c r="I211" s="219"/>
      <c r="J211" s="63"/>
      <c r="K211" s="226">
        <f>((29*0.77)+(13*0.77))</f>
        <v>32.340000000000003</v>
      </c>
      <c r="L211" s="227"/>
      <c r="M211" s="226"/>
      <c r="N211" s="227"/>
      <c r="O211" s="226">
        <v>1</v>
      </c>
      <c r="P211" s="227"/>
      <c r="Q211" s="226"/>
      <c r="R211" s="227"/>
      <c r="S211" s="226"/>
      <c r="T211" s="227"/>
      <c r="U211" s="226"/>
      <c r="V211" s="227"/>
      <c r="W211" s="223">
        <f t="shared" ref="W211:W274" si="22">K211*O211</f>
        <v>32.340000000000003</v>
      </c>
      <c r="X211" s="224"/>
      <c r="Y211" s="225"/>
      <c r="Z211" s="223">
        <f>W211*0.154</f>
        <v>4.9803600000000001</v>
      </c>
      <c r="AA211" s="224"/>
      <c r="AB211" s="225"/>
      <c r="AC211" s="51"/>
      <c r="AD211" s="52"/>
      <c r="AE211" s="53"/>
      <c r="AF211" s="51"/>
      <c r="AG211" s="52"/>
      <c r="AH211" s="54"/>
    </row>
    <row r="212" spans="1:35" ht="15.75" x14ac:dyDescent="0.25">
      <c r="A212" s="197"/>
      <c r="B212" s="198"/>
      <c r="C212" s="199"/>
      <c r="D212" s="218" t="s">
        <v>668</v>
      </c>
      <c r="E212" s="219"/>
      <c r="F212" s="219"/>
      <c r="G212" s="219"/>
      <c r="H212" s="219"/>
      <c r="I212" s="219"/>
      <c r="J212" s="63"/>
      <c r="K212" s="226">
        <f>((29*0.87)+(13*0.87))</f>
        <v>36.54</v>
      </c>
      <c r="L212" s="227"/>
      <c r="M212" s="226"/>
      <c r="N212" s="227"/>
      <c r="O212" s="226">
        <v>1</v>
      </c>
      <c r="P212" s="227"/>
      <c r="Q212" s="226"/>
      <c r="R212" s="227"/>
      <c r="S212" s="226"/>
      <c r="T212" s="227"/>
      <c r="U212" s="226"/>
      <c r="V212" s="227"/>
      <c r="W212" s="223">
        <f t="shared" si="22"/>
        <v>36.54</v>
      </c>
      <c r="X212" s="224"/>
      <c r="Y212" s="225"/>
      <c r="Z212" s="223">
        <f t="shared" ref="Z212:Z275" si="23">W212*0.154</f>
        <v>5.6271599999999999</v>
      </c>
      <c r="AA212" s="224"/>
      <c r="AB212" s="225"/>
      <c r="AC212" s="51"/>
      <c r="AD212" s="52"/>
      <c r="AE212" s="53"/>
      <c r="AF212" s="51"/>
      <c r="AG212" s="52"/>
      <c r="AH212" s="54"/>
    </row>
    <row r="213" spans="1:35" ht="15.75" x14ac:dyDescent="0.25">
      <c r="A213" s="197"/>
      <c r="B213" s="198"/>
      <c r="C213" s="199"/>
      <c r="D213" s="218" t="s">
        <v>669</v>
      </c>
      <c r="E213" s="219"/>
      <c r="F213" s="219"/>
      <c r="G213" s="219"/>
      <c r="H213" s="219"/>
      <c r="I213" s="219"/>
      <c r="J213" s="63"/>
      <c r="K213" s="226">
        <f>((29*0.87)+(13*0.87))</f>
        <v>36.54</v>
      </c>
      <c r="L213" s="227"/>
      <c r="M213" s="226"/>
      <c r="N213" s="227"/>
      <c r="O213" s="226">
        <v>1</v>
      </c>
      <c r="P213" s="227"/>
      <c r="Q213" s="226"/>
      <c r="R213" s="227"/>
      <c r="S213" s="226"/>
      <c r="T213" s="227"/>
      <c r="U213" s="226"/>
      <c r="V213" s="227"/>
      <c r="W213" s="223">
        <f t="shared" si="22"/>
        <v>36.54</v>
      </c>
      <c r="X213" s="224"/>
      <c r="Y213" s="225"/>
      <c r="Z213" s="223">
        <f t="shared" si="23"/>
        <v>5.6271599999999999</v>
      </c>
      <c r="AA213" s="224"/>
      <c r="AB213" s="225"/>
      <c r="AC213" s="51"/>
      <c r="AD213" s="52"/>
      <c r="AE213" s="53"/>
      <c r="AF213" s="51"/>
      <c r="AG213" s="52"/>
      <c r="AH213" s="54"/>
    </row>
    <row r="214" spans="1:35" ht="15.75" x14ac:dyDescent="0.25">
      <c r="A214" s="197"/>
      <c r="B214" s="198"/>
      <c r="C214" s="199"/>
      <c r="D214" s="218" t="s">
        <v>670</v>
      </c>
      <c r="E214" s="219"/>
      <c r="F214" s="219"/>
      <c r="G214" s="219"/>
      <c r="H214" s="219"/>
      <c r="I214" s="219"/>
      <c r="J214" s="63"/>
      <c r="K214" s="226">
        <f>((29*0.87)+(13*0.87))</f>
        <v>36.54</v>
      </c>
      <c r="L214" s="227"/>
      <c r="M214" s="226"/>
      <c r="N214" s="227"/>
      <c r="O214" s="226">
        <v>1</v>
      </c>
      <c r="P214" s="227"/>
      <c r="Q214" s="226"/>
      <c r="R214" s="227"/>
      <c r="S214" s="226"/>
      <c r="T214" s="227"/>
      <c r="U214" s="226"/>
      <c r="V214" s="227"/>
      <c r="W214" s="223">
        <f t="shared" si="22"/>
        <v>36.54</v>
      </c>
      <c r="X214" s="224"/>
      <c r="Y214" s="225"/>
      <c r="Z214" s="223">
        <f t="shared" si="23"/>
        <v>5.6271599999999999</v>
      </c>
      <c r="AA214" s="224"/>
      <c r="AB214" s="225"/>
      <c r="AC214" s="51"/>
      <c r="AD214" s="52"/>
      <c r="AE214" s="53"/>
      <c r="AF214" s="51"/>
      <c r="AG214" s="52"/>
      <c r="AH214" s="54"/>
    </row>
    <row r="215" spans="1:35" ht="15.75" x14ac:dyDescent="0.25">
      <c r="A215" s="197"/>
      <c r="B215" s="198"/>
      <c r="C215" s="199"/>
      <c r="D215" s="218" t="s">
        <v>671</v>
      </c>
      <c r="E215" s="219"/>
      <c r="F215" s="219"/>
      <c r="G215" s="219"/>
      <c r="H215" s="219"/>
      <c r="I215" s="219"/>
      <c r="J215" s="63"/>
      <c r="K215" s="226">
        <f>((29*0.77)+(13*0.77))</f>
        <v>32.340000000000003</v>
      </c>
      <c r="L215" s="227"/>
      <c r="M215" s="226"/>
      <c r="N215" s="227"/>
      <c r="O215" s="226">
        <v>1</v>
      </c>
      <c r="P215" s="227"/>
      <c r="Q215" s="202"/>
      <c r="R215" s="199"/>
      <c r="S215" s="202"/>
      <c r="T215" s="199"/>
      <c r="U215" s="202"/>
      <c r="V215" s="199"/>
      <c r="W215" s="223">
        <f t="shared" si="22"/>
        <v>32.340000000000003</v>
      </c>
      <c r="X215" s="224"/>
      <c r="Y215" s="225"/>
      <c r="Z215" s="223">
        <f t="shared" si="23"/>
        <v>4.9803600000000001</v>
      </c>
      <c r="AA215" s="224"/>
      <c r="AB215" s="225"/>
      <c r="AC215" s="51"/>
      <c r="AD215" s="52"/>
      <c r="AE215" s="53"/>
      <c r="AF215" s="51"/>
      <c r="AG215" s="52"/>
      <c r="AH215" s="54"/>
    </row>
    <row r="216" spans="1:35" ht="15.75" x14ac:dyDescent="0.25">
      <c r="A216" s="197"/>
      <c r="B216" s="198"/>
      <c r="C216" s="199"/>
      <c r="D216" s="218" t="s">
        <v>672</v>
      </c>
      <c r="E216" s="219"/>
      <c r="F216" s="219"/>
      <c r="G216" s="219"/>
      <c r="H216" s="219"/>
      <c r="I216" s="219"/>
      <c r="J216" s="63"/>
      <c r="K216" s="226">
        <f>((29*0.77)+(13*0.77))</f>
        <v>32.340000000000003</v>
      </c>
      <c r="L216" s="227"/>
      <c r="M216" s="226"/>
      <c r="N216" s="227"/>
      <c r="O216" s="226">
        <v>1</v>
      </c>
      <c r="P216" s="227"/>
      <c r="Q216" s="226"/>
      <c r="R216" s="227"/>
      <c r="S216" s="226"/>
      <c r="T216" s="227"/>
      <c r="U216" s="226"/>
      <c r="V216" s="227"/>
      <c r="W216" s="223">
        <f t="shared" si="22"/>
        <v>32.340000000000003</v>
      </c>
      <c r="X216" s="224"/>
      <c r="Y216" s="225"/>
      <c r="Z216" s="223">
        <f t="shared" si="23"/>
        <v>4.9803600000000001</v>
      </c>
      <c r="AA216" s="224"/>
      <c r="AB216" s="225"/>
      <c r="AC216" s="51"/>
      <c r="AD216" s="52"/>
      <c r="AE216" s="53"/>
      <c r="AF216" s="51"/>
      <c r="AG216" s="52"/>
      <c r="AH216" s="54"/>
    </row>
    <row r="217" spans="1:35" ht="15.75" x14ac:dyDescent="0.25">
      <c r="A217" s="197"/>
      <c r="B217" s="198"/>
      <c r="C217" s="199"/>
      <c r="D217" s="218" t="s">
        <v>673</v>
      </c>
      <c r="E217" s="219"/>
      <c r="F217" s="219"/>
      <c r="G217" s="219"/>
      <c r="H217" s="219"/>
      <c r="I217" s="219"/>
      <c r="J217" s="63"/>
      <c r="K217" s="226">
        <f>((29*0.77)+(13*0.77))</f>
        <v>32.340000000000003</v>
      </c>
      <c r="L217" s="227"/>
      <c r="M217" s="226"/>
      <c r="N217" s="227"/>
      <c r="O217" s="226">
        <v>1</v>
      </c>
      <c r="P217" s="227"/>
      <c r="Q217" s="226"/>
      <c r="R217" s="227"/>
      <c r="S217" s="226"/>
      <c r="T217" s="227"/>
      <c r="U217" s="226"/>
      <c r="V217" s="227"/>
      <c r="W217" s="223">
        <f t="shared" si="22"/>
        <v>32.340000000000003</v>
      </c>
      <c r="X217" s="224"/>
      <c r="Y217" s="225"/>
      <c r="Z217" s="223">
        <f t="shared" si="23"/>
        <v>4.9803600000000001</v>
      </c>
      <c r="AA217" s="224"/>
      <c r="AB217" s="225"/>
      <c r="AC217" s="51"/>
      <c r="AD217" s="52"/>
      <c r="AE217" s="53"/>
      <c r="AF217" s="51"/>
      <c r="AG217" s="52"/>
      <c r="AH217" s="54"/>
    </row>
    <row r="218" spans="1:35" ht="15.75" x14ac:dyDescent="0.25">
      <c r="A218" s="197"/>
      <c r="B218" s="198"/>
      <c r="C218" s="199"/>
      <c r="D218" s="218" t="s">
        <v>674</v>
      </c>
      <c r="E218" s="219"/>
      <c r="F218" s="219"/>
      <c r="G218" s="219"/>
      <c r="H218" s="219"/>
      <c r="I218" s="219"/>
      <c r="J218" s="63"/>
      <c r="K218" s="226">
        <f>((29*0.77)+(13*0.77))</f>
        <v>32.340000000000003</v>
      </c>
      <c r="L218" s="227"/>
      <c r="M218" s="226"/>
      <c r="N218" s="227"/>
      <c r="O218" s="226">
        <v>1</v>
      </c>
      <c r="P218" s="227"/>
      <c r="Q218" s="226"/>
      <c r="R218" s="227"/>
      <c r="S218" s="226"/>
      <c r="T218" s="227"/>
      <c r="U218" s="226"/>
      <c r="V218" s="227"/>
      <c r="W218" s="223">
        <f t="shared" si="22"/>
        <v>32.340000000000003</v>
      </c>
      <c r="X218" s="224"/>
      <c r="Y218" s="225"/>
      <c r="Z218" s="223">
        <f t="shared" si="23"/>
        <v>4.9803600000000001</v>
      </c>
      <c r="AA218" s="224"/>
      <c r="AB218" s="225"/>
      <c r="AC218" s="51"/>
      <c r="AD218" s="52"/>
      <c r="AE218" s="53"/>
      <c r="AF218" s="51"/>
      <c r="AG218" s="52"/>
      <c r="AH218" s="54"/>
    </row>
    <row r="219" spans="1:35" ht="15.75" x14ac:dyDescent="0.25">
      <c r="A219" s="197"/>
      <c r="B219" s="198"/>
      <c r="C219" s="199"/>
      <c r="D219" s="218" t="s">
        <v>675</v>
      </c>
      <c r="E219" s="219"/>
      <c r="F219" s="219"/>
      <c r="G219" s="219"/>
      <c r="H219" s="219"/>
      <c r="I219" s="219"/>
      <c r="J219" s="63"/>
      <c r="K219" s="226">
        <f>29*0.77</f>
        <v>22.330000000000002</v>
      </c>
      <c r="L219" s="227"/>
      <c r="M219" s="226"/>
      <c r="N219" s="227"/>
      <c r="O219" s="226">
        <v>1</v>
      </c>
      <c r="P219" s="227"/>
      <c r="Q219" s="226"/>
      <c r="R219" s="227"/>
      <c r="S219" s="226"/>
      <c r="T219" s="227"/>
      <c r="U219" s="226"/>
      <c r="V219" s="227"/>
      <c r="W219" s="223">
        <f t="shared" si="22"/>
        <v>22.330000000000002</v>
      </c>
      <c r="X219" s="224"/>
      <c r="Y219" s="225"/>
      <c r="Z219" s="223">
        <f t="shared" si="23"/>
        <v>3.4388200000000002</v>
      </c>
      <c r="AA219" s="224"/>
      <c r="AB219" s="225"/>
      <c r="AC219" s="51"/>
      <c r="AD219" s="52"/>
      <c r="AE219" s="53"/>
      <c r="AF219" s="51"/>
      <c r="AG219" s="52"/>
      <c r="AH219" s="54"/>
    </row>
    <row r="220" spans="1:35" ht="15.75" x14ac:dyDescent="0.25">
      <c r="A220" s="197"/>
      <c r="B220" s="198"/>
      <c r="C220" s="199"/>
      <c r="D220" s="218" t="s">
        <v>676</v>
      </c>
      <c r="E220" s="219"/>
      <c r="F220" s="219"/>
      <c r="G220" s="219"/>
      <c r="H220" s="219"/>
      <c r="I220" s="219"/>
      <c r="J220" s="63"/>
      <c r="K220" s="226">
        <f>((29*0.77)+(13*0.77))</f>
        <v>32.340000000000003</v>
      </c>
      <c r="L220" s="227"/>
      <c r="M220" s="226"/>
      <c r="N220" s="227"/>
      <c r="O220" s="226">
        <v>1</v>
      </c>
      <c r="P220" s="227"/>
      <c r="Q220" s="226"/>
      <c r="R220" s="227"/>
      <c r="S220" s="226"/>
      <c r="T220" s="227"/>
      <c r="U220" s="226"/>
      <c r="V220" s="227"/>
      <c r="W220" s="223">
        <f t="shared" si="22"/>
        <v>32.340000000000003</v>
      </c>
      <c r="X220" s="224"/>
      <c r="Y220" s="225"/>
      <c r="Z220" s="223">
        <f t="shared" si="23"/>
        <v>4.9803600000000001</v>
      </c>
      <c r="AA220" s="224"/>
      <c r="AB220" s="225"/>
      <c r="AC220" s="51"/>
      <c r="AD220" s="52"/>
      <c r="AE220" s="53"/>
      <c r="AF220" s="51"/>
      <c r="AG220" s="52"/>
      <c r="AH220" s="54"/>
    </row>
    <row r="221" spans="1:35" ht="15.75" x14ac:dyDescent="0.25">
      <c r="A221" s="197"/>
      <c r="B221" s="198"/>
      <c r="C221" s="199"/>
      <c r="D221" s="218" t="s">
        <v>677</v>
      </c>
      <c r="E221" s="219"/>
      <c r="F221" s="219"/>
      <c r="G221" s="219"/>
      <c r="H221" s="219"/>
      <c r="I221" s="219"/>
      <c r="J221" s="63"/>
      <c r="K221" s="226">
        <f>((29*0.77)+(13*0.77))</f>
        <v>32.340000000000003</v>
      </c>
      <c r="L221" s="227"/>
      <c r="M221" s="226"/>
      <c r="N221" s="227"/>
      <c r="O221" s="226">
        <v>1</v>
      </c>
      <c r="P221" s="227"/>
      <c r="Q221" s="226"/>
      <c r="R221" s="227"/>
      <c r="S221" s="226"/>
      <c r="T221" s="227"/>
      <c r="U221" s="226"/>
      <c r="V221" s="227"/>
      <c r="W221" s="223">
        <f t="shared" si="22"/>
        <v>32.340000000000003</v>
      </c>
      <c r="X221" s="224"/>
      <c r="Y221" s="225"/>
      <c r="Z221" s="223">
        <f t="shared" si="23"/>
        <v>4.9803600000000001</v>
      </c>
      <c r="AA221" s="224"/>
      <c r="AB221" s="225"/>
      <c r="AC221" s="51"/>
      <c r="AD221" s="52"/>
      <c r="AE221" s="53"/>
      <c r="AF221" s="51"/>
      <c r="AG221" s="52"/>
      <c r="AH221" s="54"/>
    </row>
    <row r="222" spans="1:35" ht="15.75" x14ac:dyDescent="0.25">
      <c r="A222" s="197"/>
      <c r="B222" s="198"/>
      <c r="C222" s="199"/>
      <c r="D222" s="218" t="s">
        <v>678</v>
      </c>
      <c r="E222" s="219"/>
      <c r="F222" s="219"/>
      <c r="G222" s="219"/>
      <c r="H222" s="219"/>
      <c r="I222" s="219"/>
      <c r="J222" s="63"/>
      <c r="K222" s="226">
        <f>29*0.77</f>
        <v>22.330000000000002</v>
      </c>
      <c r="L222" s="227"/>
      <c r="M222" s="226"/>
      <c r="N222" s="227"/>
      <c r="O222" s="226">
        <v>1</v>
      </c>
      <c r="P222" s="227"/>
      <c r="Q222" s="226"/>
      <c r="R222" s="227"/>
      <c r="S222" s="226"/>
      <c r="T222" s="227"/>
      <c r="U222" s="226"/>
      <c r="V222" s="227"/>
      <c r="W222" s="223">
        <f t="shared" si="22"/>
        <v>22.330000000000002</v>
      </c>
      <c r="X222" s="224"/>
      <c r="Y222" s="225"/>
      <c r="Z222" s="223">
        <f t="shared" si="23"/>
        <v>3.4388200000000002</v>
      </c>
      <c r="AA222" s="224"/>
      <c r="AB222" s="225"/>
      <c r="AC222" s="51"/>
      <c r="AD222" s="52"/>
      <c r="AE222" s="53"/>
      <c r="AF222" s="51"/>
      <c r="AG222" s="52"/>
      <c r="AH222" s="54"/>
    </row>
    <row r="223" spans="1:35" ht="15.75" x14ac:dyDescent="0.25">
      <c r="A223" s="197"/>
      <c r="B223" s="198"/>
      <c r="C223" s="199"/>
      <c r="D223" s="218" t="s">
        <v>679</v>
      </c>
      <c r="E223" s="219"/>
      <c r="F223" s="219"/>
      <c r="G223" s="219"/>
      <c r="H223" s="219"/>
      <c r="I223" s="219"/>
      <c r="J223" s="63"/>
      <c r="K223" s="202">
        <f>29*0.87</f>
        <v>25.23</v>
      </c>
      <c r="L223" s="199"/>
      <c r="M223" s="202"/>
      <c r="N223" s="199"/>
      <c r="O223" s="226">
        <v>1</v>
      </c>
      <c r="P223" s="227"/>
      <c r="Q223" s="202"/>
      <c r="R223" s="199"/>
      <c r="S223" s="202"/>
      <c r="T223" s="199"/>
      <c r="U223" s="202"/>
      <c r="V223" s="199"/>
      <c r="W223" s="223">
        <f t="shared" si="22"/>
        <v>25.23</v>
      </c>
      <c r="X223" s="224"/>
      <c r="Y223" s="225"/>
      <c r="Z223" s="223">
        <f t="shared" si="23"/>
        <v>3.8854199999999999</v>
      </c>
      <c r="AA223" s="224"/>
      <c r="AB223" s="225"/>
      <c r="AC223" s="51"/>
      <c r="AD223" s="52"/>
      <c r="AE223" s="53"/>
      <c r="AF223" s="51"/>
      <c r="AG223" s="52"/>
      <c r="AH223" s="54"/>
    </row>
    <row r="224" spans="1:35" ht="15.75" x14ac:dyDescent="0.25">
      <c r="A224" s="197"/>
      <c r="B224" s="198"/>
      <c r="C224" s="199"/>
      <c r="D224" s="220" t="s">
        <v>680</v>
      </c>
      <c r="E224" s="221"/>
      <c r="F224" s="221"/>
      <c r="G224" s="221"/>
      <c r="H224" s="221"/>
      <c r="I224" s="222"/>
      <c r="J224" s="63"/>
      <c r="K224" s="226">
        <f>29*0.77</f>
        <v>22.330000000000002</v>
      </c>
      <c r="L224" s="227"/>
      <c r="M224" s="226"/>
      <c r="N224" s="227"/>
      <c r="O224" s="226">
        <v>1</v>
      </c>
      <c r="P224" s="227"/>
      <c r="Q224" s="226"/>
      <c r="R224" s="227"/>
      <c r="S224" s="226"/>
      <c r="T224" s="227"/>
      <c r="U224" s="226"/>
      <c r="V224" s="227"/>
      <c r="W224" s="223">
        <f t="shared" si="22"/>
        <v>22.330000000000002</v>
      </c>
      <c r="X224" s="224"/>
      <c r="Y224" s="225"/>
      <c r="Z224" s="223">
        <f t="shared" si="23"/>
        <v>3.4388200000000002</v>
      </c>
      <c r="AA224" s="224"/>
      <c r="AB224" s="225"/>
      <c r="AC224" s="51"/>
      <c r="AD224" s="52"/>
      <c r="AE224" s="53"/>
      <c r="AF224" s="51"/>
      <c r="AG224" s="52"/>
      <c r="AH224" s="54"/>
    </row>
    <row r="225" spans="1:34" ht="15.75" x14ac:dyDescent="0.25">
      <c r="A225" s="197"/>
      <c r="B225" s="198"/>
      <c r="C225" s="199"/>
      <c r="D225" s="220" t="s">
        <v>682</v>
      </c>
      <c r="E225" s="221"/>
      <c r="F225" s="221"/>
      <c r="G225" s="221"/>
      <c r="H225" s="221"/>
      <c r="I225" s="222"/>
      <c r="J225" s="63"/>
      <c r="K225" s="226">
        <f>29*0.77</f>
        <v>22.330000000000002</v>
      </c>
      <c r="L225" s="227"/>
      <c r="M225" s="226"/>
      <c r="N225" s="227"/>
      <c r="O225" s="226">
        <v>1</v>
      </c>
      <c r="P225" s="227"/>
      <c r="Q225" s="226"/>
      <c r="R225" s="227"/>
      <c r="S225" s="226"/>
      <c r="T225" s="227"/>
      <c r="U225" s="226"/>
      <c r="V225" s="227"/>
      <c r="W225" s="223">
        <f t="shared" si="22"/>
        <v>22.330000000000002</v>
      </c>
      <c r="X225" s="224"/>
      <c r="Y225" s="225"/>
      <c r="Z225" s="223">
        <f t="shared" si="23"/>
        <v>3.4388200000000002</v>
      </c>
      <c r="AA225" s="224"/>
      <c r="AB225" s="225"/>
      <c r="AC225" s="51"/>
      <c r="AD225" s="52"/>
      <c r="AE225" s="53"/>
      <c r="AF225" s="51"/>
      <c r="AG225" s="52"/>
      <c r="AH225" s="54"/>
    </row>
    <row r="226" spans="1:34" ht="15.75" x14ac:dyDescent="0.25">
      <c r="A226" s="197"/>
      <c r="B226" s="198"/>
      <c r="C226" s="199"/>
      <c r="D226" s="220" t="s">
        <v>683</v>
      </c>
      <c r="E226" s="221"/>
      <c r="F226" s="221"/>
      <c r="G226" s="221"/>
      <c r="H226" s="221"/>
      <c r="I226" s="222"/>
      <c r="J226" s="63"/>
      <c r="K226" s="226">
        <f>((29*0.77)+(13*0.77))</f>
        <v>32.340000000000003</v>
      </c>
      <c r="L226" s="227"/>
      <c r="M226" s="226"/>
      <c r="N226" s="227"/>
      <c r="O226" s="226">
        <v>1</v>
      </c>
      <c r="P226" s="227"/>
      <c r="Q226" s="226"/>
      <c r="R226" s="227"/>
      <c r="S226" s="226"/>
      <c r="T226" s="227"/>
      <c r="U226" s="226"/>
      <c r="V226" s="227"/>
      <c r="W226" s="223">
        <f t="shared" si="22"/>
        <v>32.340000000000003</v>
      </c>
      <c r="X226" s="224"/>
      <c r="Y226" s="225"/>
      <c r="Z226" s="223">
        <f t="shared" si="23"/>
        <v>4.9803600000000001</v>
      </c>
      <c r="AA226" s="224"/>
      <c r="AB226" s="225"/>
      <c r="AC226" s="51"/>
      <c r="AD226" s="52"/>
      <c r="AE226" s="53"/>
      <c r="AF226" s="51"/>
      <c r="AG226" s="52"/>
      <c r="AH226" s="54"/>
    </row>
    <row r="227" spans="1:34" ht="15.75" x14ac:dyDescent="0.25">
      <c r="A227" s="197"/>
      <c r="B227" s="198"/>
      <c r="C227" s="199"/>
      <c r="D227" s="220" t="s">
        <v>684</v>
      </c>
      <c r="E227" s="221"/>
      <c r="F227" s="221"/>
      <c r="G227" s="221"/>
      <c r="H227" s="221"/>
      <c r="I227" s="222"/>
      <c r="J227" s="63"/>
      <c r="K227" s="226">
        <f>29*0.77</f>
        <v>22.330000000000002</v>
      </c>
      <c r="L227" s="227"/>
      <c r="M227" s="226"/>
      <c r="N227" s="227"/>
      <c r="O227" s="226">
        <v>1</v>
      </c>
      <c r="P227" s="227"/>
      <c r="Q227" s="226"/>
      <c r="R227" s="227"/>
      <c r="S227" s="226"/>
      <c r="T227" s="227"/>
      <c r="U227" s="226"/>
      <c r="V227" s="227"/>
      <c r="W227" s="223">
        <f t="shared" si="22"/>
        <v>22.330000000000002</v>
      </c>
      <c r="X227" s="224"/>
      <c r="Y227" s="225"/>
      <c r="Z227" s="223">
        <f t="shared" si="23"/>
        <v>3.4388200000000002</v>
      </c>
      <c r="AA227" s="224"/>
      <c r="AB227" s="225"/>
      <c r="AC227" s="51"/>
      <c r="AD227" s="52"/>
      <c r="AE227" s="53"/>
      <c r="AF227" s="51"/>
      <c r="AG227" s="52"/>
      <c r="AH227" s="54"/>
    </row>
    <row r="228" spans="1:34" ht="15.75" x14ac:dyDescent="0.25">
      <c r="A228" s="197"/>
      <c r="B228" s="198"/>
      <c r="C228" s="199"/>
      <c r="D228" s="220" t="s">
        <v>685</v>
      </c>
      <c r="E228" s="221"/>
      <c r="F228" s="221"/>
      <c r="G228" s="221"/>
      <c r="H228" s="221"/>
      <c r="I228" s="222"/>
      <c r="J228" s="63"/>
      <c r="K228" s="226">
        <f>((29*0.77)+(13*0.77))</f>
        <v>32.340000000000003</v>
      </c>
      <c r="L228" s="227"/>
      <c r="M228" s="226"/>
      <c r="N228" s="227"/>
      <c r="O228" s="226">
        <v>1</v>
      </c>
      <c r="P228" s="227"/>
      <c r="Q228" s="226"/>
      <c r="R228" s="227"/>
      <c r="S228" s="226"/>
      <c r="T228" s="227"/>
      <c r="U228" s="226"/>
      <c r="V228" s="227"/>
      <c r="W228" s="223">
        <f t="shared" si="22"/>
        <v>32.340000000000003</v>
      </c>
      <c r="X228" s="224"/>
      <c r="Y228" s="225"/>
      <c r="Z228" s="223">
        <f t="shared" si="23"/>
        <v>4.9803600000000001</v>
      </c>
      <c r="AA228" s="224"/>
      <c r="AB228" s="225"/>
      <c r="AC228" s="51"/>
      <c r="AD228" s="52"/>
      <c r="AE228" s="53"/>
      <c r="AF228" s="51"/>
      <c r="AG228" s="52"/>
      <c r="AH228" s="54"/>
    </row>
    <row r="229" spans="1:34" ht="15.75" x14ac:dyDescent="0.25">
      <c r="A229" s="197"/>
      <c r="B229" s="198"/>
      <c r="C229" s="199"/>
      <c r="D229" s="220" t="s">
        <v>681</v>
      </c>
      <c r="E229" s="221"/>
      <c r="F229" s="221"/>
      <c r="G229" s="221"/>
      <c r="H229" s="221"/>
      <c r="I229" s="222"/>
      <c r="J229" s="63"/>
      <c r="K229" s="226">
        <f>29*0.77</f>
        <v>22.330000000000002</v>
      </c>
      <c r="L229" s="227"/>
      <c r="M229" s="226"/>
      <c r="N229" s="227"/>
      <c r="O229" s="226">
        <v>1</v>
      </c>
      <c r="P229" s="227"/>
      <c r="Q229" s="226"/>
      <c r="R229" s="227"/>
      <c r="S229" s="226"/>
      <c r="T229" s="227"/>
      <c r="U229" s="226"/>
      <c r="V229" s="227"/>
      <c r="W229" s="223">
        <f t="shared" si="22"/>
        <v>22.330000000000002</v>
      </c>
      <c r="X229" s="224"/>
      <c r="Y229" s="225"/>
      <c r="Z229" s="223">
        <f t="shared" si="23"/>
        <v>3.4388200000000002</v>
      </c>
      <c r="AA229" s="224"/>
      <c r="AB229" s="225"/>
      <c r="AC229" s="51"/>
      <c r="AD229" s="52"/>
      <c r="AE229" s="53"/>
      <c r="AF229" s="51"/>
      <c r="AG229" s="52"/>
      <c r="AH229" s="54"/>
    </row>
    <row r="230" spans="1:34" ht="15.75" x14ac:dyDescent="0.25">
      <c r="A230" s="197"/>
      <c r="B230" s="198"/>
      <c r="C230" s="199"/>
      <c r="D230" s="220" t="s">
        <v>686</v>
      </c>
      <c r="E230" s="221"/>
      <c r="F230" s="221"/>
      <c r="G230" s="221"/>
      <c r="H230" s="221"/>
      <c r="I230" s="222"/>
      <c r="J230" s="63"/>
      <c r="K230" s="226">
        <f>((29*0.77)+(13*0.77))</f>
        <v>32.340000000000003</v>
      </c>
      <c r="L230" s="227"/>
      <c r="M230" s="226"/>
      <c r="N230" s="227"/>
      <c r="O230" s="226">
        <v>1</v>
      </c>
      <c r="P230" s="227"/>
      <c r="Q230" s="226"/>
      <c r="R230" s="227"/>
      <c r="S230" s="226"/>
      <c r="T230" s="227"/>
      <c r="U230" s="226"/>
      <c r="V230" s="227"/>
      <c r="W230" s="223">
        <f t="shared" si="22"/>
        <v>32.340000000000003</v>
      </c>
      <c r="X230" s="224"/>
      <c r="Y230" s="225"/>
      <c r="Z230" s="223">
        <f t="shared" si="23"/>
        <v>4.9803600000000001</v>
      </c>
      <c r="AA230" s="224"/>
      <c r="AB230" s="225"/>
      <c r="AC230" s="51"/>
      <c r="AD230" s="52"/>
      <c r="AE230" s="53"/>
      <c r="AF230" s="51"/>
      <c r="AG230" s="52"/>
      <c r="AH230" s="54"/>
    </row>
    <row r="231" spans="1:34" ht="15.75" x14ac:dyDescent="0.25">
      <c r="A231" s="197"/>
      <c r="B231" s="198"/>
      <c r="C231" s="199"/>
      <c r="D231" s="220" t="s">
        <v>687</v>
      </c>
      <c r="E231" s="221"/>
      <c r="F231" s="221"/>
      <c r="G231" s="221"/>
      <c r="H231" s="221"/>
      <c r="I231" s="222"/>
      <c r="J231" s="63"/>
      <c r="K231" s="202">
        <f>((2*23*0.24)+(23*0.97)+(13*0.24)+(13*0.97))</f>
        <v>49.079999999999991</v>
      </c>
      <c r="L231" s="199"/>
      <c r="M231" s="202"/>
      <c r="N231" s="199"/>
      <c r="O231" s="226">
        <v>1</v>
      </c>
      <c r="P231" s="227"/>
      <c r="Q231" s="202"/>
      <c r="R231" s="199"/>
      <c r="S231" s="202"/>
      <c r="T231" s="199"/>
      <c r="U231" s="202"/>
      <c r="V231" s="199"/>
      <c r="W231" s="223">
        <f t="shared" si="22"/>
        <v>49.079999999999991</v>
      </c>
      <c r="X231" s="224"/>
      <c r="Y231" s="225"/>
      <c r="Z231" s="223">
        <f t="shared" si="23"/>
        <v>7.5583199999999984</v>
      </c>
      <c r="AA231" s="224"/>
      <c r="AB231" s="225"/>
      <c r="AC231" s="51"/>
      <c r="AD231" s="52"/>
      <c r="AE231" s="53"/>
      <c r="AF231" s="51"/>
      <c r="AG231" s="52"/>
      <c r="AH231" s="54"/>
    </row>
    <row r="232" spans="1:34" ht="15.75" x14ac:dyDescent="0.25">
      <c r="A232" s="197"/>
      <c r="B232" s="198"/>
      <c r="C232" s="199"/>
      <c r="D232" s="220" t="s">
        <v>688</v>
      </c>
      <c r="E232" s="221"/>
      <c r="F232" s="221"/>
      <c r="G232" s="221"/>
      <c r="H232" s="221"/>
      <c r="I232" s="222"/>
      <c r="J232" s="63"/>
      <c r="K232" s="226">
        <f>((3*23*0.29)+(23*1.07))</f>
        <v>44.620000000000005</v>
      </c>
      <c r="L232" s="227"/>
      <c r="M232" s="226"/>
      <c r="N232" s="227"/>
      <c r="O232" s="226">
        <v>1</v>
      </c>
      <c r="P232" s="227"/>
      <c r="Q232" s="226"/>
      <c r="R232" s="227"/>
      <c r="S232" s="226"/>
      <c r="T232" s="227"/>
      <c r="U232" s="226"/>
      <c r="V232" s="227"/>
      <c r="W232" s="223">
        <f t="shared" si="22"/>
        <v>44.620000000000005</v>
      </c>
      <c r="X232" s="224"/>
      <c r="Y232" s="225"/>
      <c r="Z232" s="223">
        <f t="shared" si="23"/>
        <v>6.8714800000000009</v>
      </c>
      <c r="AA232" s="224"/>
      <c r="AB232" s="225"/>
      <c r="AC232" s="51"/>
      <c r="AD232" s="52"/>
      <c r="AE232" s="53"/>
      <c r="AF232" s="51"/>
      <c r="AG232" s="52"/>
      <c r="AH232" s="54"/>
    </row>
    <row r="233" spans="1:34" ht="15.75" x14ac:dyDescent="0.25">
      <c r="A233" s="197"/>
      <c r="B233" s="198"/>
      <c r="C233" s="199"/>
      <c r="D233" s="220" t="s">
        <v>689</v>
      </c>
      <c r="E233" s="221"/>
      <c r="F233" s="221"/>
      <c r="G233" s="221"/>
      <c r="H233" s="221"/>
      <c r="I233" s="222"/>
      <c r="J233" s="63"/>
      <c r="K233" s="226">
        <f>((29*0.77)+(13*0.77))</f>
        <v>32.340000000000003</v>
      </c>
      <c r="L233" s="227"/>
      <c r="M233" s="226"/>
      <c r="N233" s="227"/>
      <c r="O233" s="226">
        <v>1</v>
      </c>
      <c r="P233" s="227"/>
      <c r="Q233" s="226"/>
      <c r="R233" s="227"/>
      <c r="S233" s="226"/>
      <c r="T233" s="227"/>
      <c r="U233" s="226"/>
      <c r="V233" s="227"/>
      <c r="W233" s="223">
        <f t="shared" si="22"/>
        <v>32.340000000000003</v>
      </c>
      <c r="X233" s="224"/>
      <c r="Y233" s="225"/>
      <c r="Z233" s="223">
        <f t="shared" si="23"/>
        <v>4.9803600000000001</v>
      </c>
      <c r="AA233" s="224"/>
      <c r="AB233" s="225"/>
      <c r="AC233" s="51"/>
      <c r="AD233" s="52"/>
      <c r="AE233" s="53"/>
      <c r="AF233" s="51"/>
      <c r="AG233" s="52"/>
      <c r="AH233" s="54"/>
    </row>
    <row r="234" spans="1:34" ht="15.75" x14ac:dyDescent="0.25">
      <c r="A234" s="197"/>
      <c r="B234" s="198"/>
      <c r="C234" s="199"/>
      <c r="D234" s="220" t="s">
        <v>690</v>
      </c>
      <c r="E234" s="221"/>
      <c r="F234" s="221"/>
      <c r="G234" s="221"/>
      <c r="H234" s="221"/>
      <c r="I234" s="222"/>
      <c r="J234" s="63"/>
      <c r="K234" s="226">
        <f t="shared" ref="K234:K250" si="24">((29*0.77)+(13*0.77))</f>
        <v>32.340000000000003</v>
      </c>
      <c r="L234" s="227"/>
      <c r="M234" s="226"/>
      <c r="N234" s="227"/>
      <c r="O234" s="226">
        <v>1</v>
      </c>
      <c r="P234" s="227"/>
      <c r="Q234" s="226"/>
      <c r="R234" s="227"/>
      <c r="S234" s="226"/>
      <c r="T234" s="227"/>
      <c r="U234" s="226"/>
      <c r="V234" s="227"/>
      <c r="W234" s="223">
        <f t="shared" si="22"/>
        <v>32.340000000000003</v>
      </c>
      <c r="X234" s="224"/>
      <c r="Y234" s="225"/>
      <c r="Z234" s="223">
        <f t="shared" si="23"/>
        <v>4.9803600000000001</v>
      </c>
      <c r="AA234" s="224"/>
      <c r="AB234" s="225"/>
      <c r="AC234" s="51"/>
      <c r="AD234" s="52"/>
      <c r="AE234" s="53"/>
      <c r="AF234" s="51"/>
      <c r="AG234" s="52"/>
      <c r="AH234" s="54"/>
    </row>
    <row r="235" spans="1:34" ht="15.75" x14ac:dyDescent="0.25">
      <c r="A235" s="197"/>
      <c r="B235" s="198"/>
      <c r="C235" s="199"/>
      <c r="D235" s="220" t="s">
        <v>691</v>
      </c>
      <c r="E235" s="221"/>
      <c r="F235" s="221"/>
      <c r="G235" s="221"/>
      <c r="H235" s="221"/>
      <c r="I235" s="222"/>
      <c r="J235" s="63"/>
      <c r="K235" s="226">
        <f t="shared" si="24"/>
        <v>32.340000000000003</v>
      </c>
      <c r="L235" s="227"/>
      <c r="M235" s="226"/>
      <c r="N235" s="227"/>
      <c r="O235" s="226">
        <v>1</v>
      </c>
      <c r="P235" s="227"/>
      <c r="Q235" s="226"/>
      <c r="R235" s="227"/>
      <c r="S235" s="226"/>
      <c r="T235" s="227"/>
      <c r="U235" s="226"/>
      <c r="V235" s="227"/>
      <c r="W235" s="223">
        <f t="shared" si="22"/>
        <v>32.340000000000003</v>
      </c>
      <c r="X235" s="224"/>
      <c r="Y235" s="225"/>
      <c r="Z235" s="223">
        <f t="shared" si="23"/>
        <v>4.9803600000000001</v>
      </c>
      <c r="AA235" s="224"/>
      <c r="AB235" s="225"/>
      <c r="AC235" s="51"/>
      <c r="AD235" s="52"/>
      <c r="AE235" s="53"/>
      <c r="AF235" s="51"/>
      <c r="AG235" s="52"/>
      <c r="AH235" s="54"/>
    </row>
    <row r="236" spans="1:34" ht="15.75" x14ac:dyDescent="0.25">
      <c r="A236" s="197"/>
      <c r="B236" s="198"/>
      <c r="C236" s="199"/>
      <c r="D236" s="220" t="s">
        <v>692</v>
      </c>
      <c r="E236" s="221"/>
      <c r="F236" s="221"/>
      <c r="G236" s="221"/>
      <c r="H236" s="221"/>
      <c r="I236" s="222"/>
      <c r="J236" s="63"/>
      <c r="K236" s="226">
        <f t="shared" si="24"/>
        <v>32.340000000000003</v>
      </c>
      <c r="L236" s="227"/>
      <c r="M236" s="226"/>
      <c r="N236" s="227"/>
      <c r="O236" s="226">
        <v>1</v>
      </c>
      <c r="P236" s="227"/>
      <c r="Q236" s="226"/>
      <c r="R236" s="227"/>
      <c r="S236" s="226"/>
      <c r="T236" s="227"/>
      <c r="U236" s="226"/>
      <c r="V236" s="227"/>
      <c r="W236" s="223">
        <f t="shared" si="22"/>
        <v>32.340000000000003</v>
      </c>
      <c r="X236" s="224"/>
      <c r="Y236" s="225"/>
      <c r="Z236" s="223">
        <f t="shared" si="23"/>
        <v>4.9803600000000001</v>
      </c>
      <c r="AA236" s="224"/>
      <c r="AB236" s="225"/>
      <c r="AC236" s="51"/>
      <c r="AD236" s="52"/>
      <c r="AE236" s="53"/>
      <c r="AF236" s="51"/>
      <c r="AG236" s="52"/>
      <c r="AH236" s="54"/>
    </row>
    <row r="237" spans="1:34" ht="15.75" x14ac:dyDescent="0.25">
      <c r="A237" s="197"/>
      <c r="B237" s="198"/>
      <c r="C237" s="199"/>
      <c r="D237" s="220" t="s">
        <v>693</v>
      </c>
      <c r="E237" s="221"/>
      <c r="F237" s="221"/>
      <c r="G237" s="221"/>
      <c r="H237" s="221"/>
      <c r="I237" s="222"/>
      <c r="J237" s="63"/>
      <c r="K237" s="226">
        <f t="shared" si="24"/>
        <v>32.340000000000003</v>
      </c>
      <c r="L237" s="227"/>
      <c r="M237" s="226"/>
      <c r="N237" s="227"/>
      <c r="O237" s="226">
        <v>1</v>
      </c>
      <c r="P237" s="227"/>
      <c r="Q237" s="226"/>
      <c r="R237" s="227"/>
      <c r="S237" s="226"/>
      <c r="T237" s="227"/>
      <c r="U237" s="226"/>
      <c r="V237" s="227"/>
      <c r="W237" s="223">
        <f t="shared" si="22"/>
        <v>32.340000000000003</v>
      </c>
      <c r="X237" s="224"/>
      <c r="Y237" s="225"/>
      <c r="Z237" s="223">
        <f t="shared" si="23"/>
        <v>4.9803600000000001</v>
      </c>
      <c r="AA237" s="224"/>
      <c r="AB237" s="225"/>
      <c r="AC237" s="51"/>
      <c r="AD237" s="52"/>
      <c r="AE237" s="53"/>
      <c r="AF237" s="51"/>
      <c r="AG237" s="52"/>
      <c r="AH237" s="54"/>
    </row>
    <row r="238" spans="1:34" ht="15.75" x14ac:dyDescent="0.25">
      <c r="A238" s="197"/>
      <c r="B238" s="198"/>
      <c r="C238" s="199"/>
      <c r="D238" s="220" t="s">
        <v>694</v>
      </c>
      <c r="E238" s="221"/>
      <c r="F238" s="221"/>
      <c r="G238" s="221"/>
      <c r="H238" s="221"/>
      <c r="I238" s="222"/>
      <c r="J238" s="63"/>
      <c r="K238" s="226">
        <f t="shared" si="24"/>
        <v>32.340000000000003</v>
      </c>
      <c r="L238" s="227"/>
      <c r="M238" s="226"/>
      <c r="N238" s="227"/>
      <c r="O238" s="226">
        <v>1</v>
      </c>
      <c r="P238" s="227"/>
      <c r="Q238" s="226"/>
      <c r="R238" s="227"/>
      <c r="S238" s="226"/>
      <c r="T238" s="227"/>
      <c r="U238" s="226"/>
      <c r="V238" s="227"/>
      <c r="W238" s="223">
        <f t="shared" si="22"/>
        <v>32.340000000000003</v>
      </c>
      <c r="X238" s="224"/>
      <c r="Y238" s="225"/>
      <c r="Z238" s="223">
        <f t="shared" si="23"/>
        <v>4.9803600000000001</v>
      </c>
      <c r="AA238" s="224"/>
      <c r="AB238" s="225"/>
      <c r="AC238" s="51"/>
      <c r="AD238" s="52"/>
      <c r="AE238" s="53"/>
      <c r="AF238" s="51"/>
      <c r="AG238" s="52"/>
      <c r="AH238" s="54"/>
    </row>
    <row r="239" spans="1:34" ht="15.75" x14ac:dyDescent="0.25">
      <c r="A239" s="197"/>
      <c r="B239" s="198"/>
      <c r="C239" s="199"/>
      <c r="D239" s="220" t="s">
        <v>695</v>
      </c>
      <c r="E239" s="221"/>
      <c r="F239" s="221"/>
      <c r="G239" s="221"/>
      <c r="H239" s="221"/>
      <c r="I239" s="222"/>
      <c r="J239" s="63"/>
      <c r="K239" s="226">
        <f t="shared" si="24"/>
        <v>32.340000000000003</v>
      </c>
      <c r="L239" s="227"/>
      <c r="M239" s="226"/>
      <c r="N239" s="227"/>
      <c r="O239" s="226">
        <v>1</v>
      </c>
      <c r="P239" s="227"/>
      <c r="Q239" s="202"/>
      <c r="R239" s="199"/>
      <c r="S239" s="202"/>
      <c r="T239" s="199"/>
      <c r="U239" s="202"/>
      <c r="V239" s="199"/>
      <c r="W239" s="223">
        <f t="shared" si="22"/>
        <v>32.340000000000003</v>
      </c>
      <c r="X239" s="224"/>
      <c r="Y239" s="225"/>
      <c r="Z239" s="223">
        <f t="shared" si="23"/>
        <v>4.9803600000000001</v>
      </c>
      <c r="AA239" s="224"/>
      <c r="AB239" s="225"/>
      <c r="AC239" s="51"/>
      <c r="AD239" s="52"/>
      <c r="AE239" s="53"/>
      <c r="AF239" s="51"/>
      <c r="AG239" s="52"/>
      <c r="AH239" s="54"/>
    </row>
    <row r="240" spans="1:34" ht="15.75" x14ac:dyDescent="0.25">
      <c r="A240" s="197"/>
      <c r="B240" s="198"/>
      <c r="C240" s="199"/>
      <c r="D240" s="220" t="s">
        <v>696</v>
      </c>
      <c r="E240" s="221"/>
      <c r="F240" s="221"/>
      <c r="G240" s="221"/>
      <c r="H240" s="221"/>
      <c r="I240" s="222"/>
      <c r="J240" s="63"/>
      <c r="K240" s="226">
        <f t="shared" si="24"/>
        <v>32.340000000000003</v>
      </c>
      <c r="L240" s="227"/>
      <c r="M240" s="226"/>
      <c r="N240" s="227"/>
      <c r="O240" s="226">
        <v>1</v>
      </c>
      <c r="P240" s="227"/>
      <c r="Q240" s="226"/>
      <c r="R240" s="227"/>
      <c r="S240" s="226"/>
      <c r="T240" s="227"/>
      <c r="U240" s="226"/>
      <c r="V240" s="227"/>
      <c r="W240" s="223">
        <f t="shared" si="22"/>
        <v>32.340000000000003</v>
      </c>
      <c r="X240" s="224"/>
      <c r="Y240" s="225"/>
      <c r="Z240" s="223">
        <f t="shared" si="23"/>
        <v>4.9803600000000001</v>
      </c>
      <c r="AA240" s="224"/>
      <c r="AB240" s="225"/>
      <c r="AC240" s="51"/>
      <c r="AD240" s="52"/>
      <c r="AE240" s="53"/>
      <c r="AF240" s="51"/>
      <c r="AG240" s="52"/>
      <c r="AH240" s="54"/>
    </row>
    <row r="241" spans="1:34" ht="15.75" x14ac:dyDescent="0.25">
      <c r="A241" s="197"/>
      <c r="B241" s="198"/>
      <c r="C241" s="199"/>
      <c r="D241" s="220" t="s">
        <v>697</v>
      </c>
      <c r="E241" s="221"/>
      <c r="F241" s="221"/>
      <c r="G241" s="221"/>
      <c r="H241" s="221"/>
      <c r="I241" s="222"/>
      <c r="J241" s="63"/>
      <c r="K241" s="226">
        <f t="shared" si="24"/>
        <v>32.340000000000003</v>
      </c>
      <c r="L241" s="227"/>
      <c r="M241" s="226"/>
      <c r="N241" s="227"/>
      <c r="O241" s="226">
        <v>1</v>
      </c>
      <c r="P241" s="227"/>
      <c r="Q241" s="226"/>
      <c r="R241" s="227"/>
      <c r="S241" s="226"/>
      <c r="T241" s="227"/>
      <c r="U241" s="226"/>
      <c r="V241" s="227"/>
      <c r="W241" s="223">
        <f t="shared" si="22"/>
        <v>32.340000000000003</v>
      </c>
      <c r="X241" s="224"/>
      <c r="Y241" s="225"/>
      <c r="Z241" s="223">
        <f t="shared" si="23"/>
        <v>4.9803600000000001</v>
      </c>
      <c r="AA241" s="224"/>
      <c r="AB241" s="225"/>
      <c r="AC241" s="51"/>
      <c r="AD241" s="52"/>
      <c r="AE241" s="53"/>
      <c r="AF241" s="51"/>
      <c r="AG241" s="52"/>
      <c r="AH241" s="54"/>
    </row>
    <row r="242" spans="1:34" ht="15.75" x14ac:dyDescent="0.25">
      <c r="A242" s="197"/>
      <c r="B242" s="198"/>
      <c r="C242" s="199"/>
      <c r="D242" s="220" t="s">
        <v>698</v>
      </c>
      <c r="E242" s="221"/>
      <c r="F242" s="221"/>
      <c r="G242" s="221"/>
      <c r="H242" s="221"/>
      <c r="I242" s="222"/>
      <c r="J242" s="63"/>
      <c r="K242" s="226">
        <f t="shared" si="24"/>
        <v>32.340000000000003</v>
      </c>
      <c r="L242" s="227"/>
      <c r="M242" s="226"/>
      <c r="N242" s="227"/>
      <c r="O242" s="226">
        <v>1</v>
      </c>
      <c r="P242" s="227"/>
      <c r="Q242" s="226"/>
      <c r="R242" s="227"/>
      <c r="S242" s="226"/>
      <c r="T242" s="227"/>
      <c r="U242" s="226"/>
      <c r="V242" s="227"/>
      <c r="W242" s="223">
        <f t="shared" si="22"/>
        <v>32.340000000000003</v>
      </c>
      <c r="X242" s="224"/>
      <c r="Y242" s="225"/>
      <c r="Z242" s="223">
        <f t="shared" si="23"/>
        <v>4.9803600000000001</v>
      </c>
      <c r="AA242" s="224"/>
      <c r="AB242" s="225"/>
      <c r="AC242" s="51"/>
      <c r="AD242" s="52"/>
      <c r="AE242" s="53"/>
      <c r="AF242" s="51"/>
      <c r="AG242" s="52"/>
      <c r="AH242" s="54"/>
    </row>
    <row r="243" spans="1:34" ht="15.75" x14ac:dyDescent="0.25">
      <c r="A243" s="197"/>
      <c r="B243" s="198"/>
      <c r="C243" s="199"/>
      <c r="D243" s="220" t="s">
        <v>699</v>
      </c>
      <c r="E243" s="221"/>
      <c r="F243" s="221"/>
      <c r="G243" s="221"/>
      <c r="H243" s="221"/>
      <c r="I243" s="222"/>
      <c r="J243" s="63"/>
      <c r="K243" s="226">
        <f t="shared" si="24"/>
        <v>32.340000000000003</v>
      </c>
      <c r="L243" s="227"/>
      <c r="M243" s="226"/>
      <c r="N243" s="227"/>
      <c r="O243" s="226">
        <v>1</v>
      </c>
      <c r="P243" s="227"/>
      <c r="Q243" s="226"/>
      <c r="R243" s="227"/>
      <c r="S243" s="226"/>
      <c r="T243" s="227"/>
      <c r="U243" s="226"/>
      <c r="V243" s="227"/>
      <c r="W243" s="223">
        <f t="shared" si="22"/>
        <v>32.340000000000003</v>
      </c>
      <c r="X243" s="224"/>
      <c r="Y243" s="225"/>
      <c r="Z243" s="223">
        <f t="shared" si="23"/>
        <v>4.9803600000000001</v>
      </c>
      <c r="AA243" s="224"/>
      <c r="AB243" s="225"/>
      <c r="AC243" s="51"/>
      <c r="AD243" s="52"/>
      <c r="AE243" s="53"/>
      <c r="AF243" s="51"/>
      <c r="AG243" s="52"/>
      <c r="AH243" s="54"/>
    </row>
    <row r="244" spans="1:34" ht="15.75" x14ac:dyDescent="0.25">
      <c r="A244" s="197"/>
      <c r="B244" s="198"/>
      <c r="C244" s="199"/>
      <c r="D244" s="220" t="s">
        <v>700</v>
      </c>
      <c r="E244" s="221"/>
      <c r="F244" s="221"/>
      <c r="G244" s="221"/>
      <c r="H244" s="221"/>
      <c r="I244" s="222"/>
      <c r="J244" s="63"/>
      <c r="K244" s="226">
        <f t="shared" si="24"/>
        <v>32.340000000000003</v>
      </c>
      <c r="L244" s="227"/>
      <c r="M244" s="226"/>
      <c r="N244" s="227"/>
      <c r="O244" s="226">
        <v>1</v>
      </c>
      <c r="P244" s="227"/>
      <c r="Q244" s="226"/>
      <c r="R244" s="227"/>
      <c r="S244" s="226"/>
      <c r="T244" s="227"/>
      <c r="U244" s="226"/>
      <c r="V244" s="227"/>
      <c r="W244" s="223">
        <f t="shared" si="22"/>
        <v>32.340000000000003</v>
      </c>
      <c r="X244" s="224"/>
      <c r="Y244" s="225"/>
      <c r="Z244" s="223">
        <f t="shared" si="23"/>
        <v>4.9803600000000001</v>
      </c>
      <c r="AA244" s="224"/>
      <c r="AB244" s="225"/>
      <c r="AC244" s="51"/>
      <c r="AD244" s="52"/>
      <c r="AE244" s="53"/>
      <c r="AF244" s="51"/>
      <c r="AG244" s="52"/>
      <c r="AH244" s="54"/>
    </row>
    <row r="245" spans="1:34" ht="15.75" x14ac:dyDescent="0.25">
      <c r="A245" s="197"/>
      <c r="B245" s="198"/>
      <c r="C245" s="199"/>
      <c r="D245" s="220" t="s">
        <v>701</v>
      </c>
      <c r="E245" s="221"/>
      <c r="F245" s="221"/>
      <c r="G245" s="221"/>
      <c r="H245" s="221"/>
      <c r="I245" s="222"/>
      <c r="J245" s="63"/>
      <c r="K245" s="226">
        <f t="shared" si="24"/>
        <v>32.340000000000003</v>
      </c>
      <c r="L245" s="227"/>
      <c r="M245" s="226"/>
      <c r="N245" s="227"/>
      <c r="O245" s="226">
        <v>1</v>
      </c>
      <c r="P245" s="227"/>
      <c r="Q245" s="226"/>
      <c r="R245" s="227"/>
      <c r="S245" s="226"/>
      <c r="T245" s="227"/>
      <c r="U245" s="226"/>
      <c r="V245" s="227"/>
      <c r="W245" s="223">
        <f t="shared" si="22"/>
        <v>32.340000000000003</v>
      </c>
      <c r="X245" s="224"/>
      <c r="Y245" s="225"/>
      <c r="Z245" s="223">
        <f t="shared" si="23"/>
        <v>4.9803600000000001</v>
      </c>
      <c r="AA245" s="224"/>
      <c r="AB245" s="225"/>
      <c r="AC245" s="51"/>
      <c r="AD245" s="52"/>
      <c r="AE245" s="53"/>
      <c r="AF245" s="51"/>
      <c r="AG245" s="52"/>
      <c r="AH245" s="54"/>
    </row>
    <row r="246" spans="1:34" ht="15.75" x14ac:dyDescent="0.25">
      <c r="A246" s="197"/>
      <c r="B246" s="198"/>
      <c r="C246" s="199"/>
      <c r="D246" s="220" t="s">
        <v>702</v>
      </c>
      <c r="E246" s="221"/>
      <c r="F246" s="221"/>
      <c r="G246" s="221"/>
      <c r="H246" s="221"/>
      <c r="I246" s="222"/>
      <c r="J246" s="63"/>
      <c r="K246" s="226">
        <f t="shared" si="24"/>
        <v>32.340000000000003</v>
      </c>
      <c r="L246" s="227"/>
      <c r="M246" s="226"/>
      <c r="N246" s="227"/>
      <c r="O246" s="226">
        <v>1</v>
      </c>
      <c r="P246" s="227"/>
      <c r="Q246" s="226"/>
      <c r="R246" s="227"/>
      <c r="S246" s="226"/>
      <c r="T246" s="227"/>
      <c r="U246" s="226"/>
      <c r="V246" s="227"/>
      <c r="W246" s="223">
        <f t="shared" si="22"/>
        <v>32.340000000000003</v>
      </c>
      <c r="X246" s="224"/>
      <c r="Y246" s="225"/>
      <c r="Z246" s="223">
        <f t="shared" si="23"/>
        <v>4.9803600000000001</v>
      </c>
      <c r="AA246" s="224"/>
      <c r="AB246" s="225"/>
      <c r="AC246" s="51"/>
      <c r="AD246" s="52"/>
      <c r="AE246" s="53"/>
      <c r="AF246" s="51"/>
      <c r="AG246" s="52"/>
      <c r="AH246" s="54"/>
    </row>
    <row r="247" spans="1:34" ht="15.75" x14ac:dyDescent="0.25">
      <c r="A247" s="197"/>
      <c r="B247" s="198"/>
      <c r="C247" s="199"/>
      <c r="D247" s="220" t="s">
        <v>703</v>
      </c>
      <c r="E247" s="221"/>
      <c r="F247" s="221"/>
      <c r="G247" s="221"/>
      <c r="H247" s="221"/>
      <c r="I247" s="222"/>
      <c r="J247" s="63"/>
      <c r="K247" s="226">
        <f t="shared" si="24"/>
        <v>32.340000000000003</v>
      </c>
      <c r="L247" s="227"/>
      <c r="M247" s="226"/>
      <c r="N247" s="227"/>
      <c r="O247" s="226">
        <v>1</v>
      </c>
      <c r="P247" s="227"/>
      <c r="Q247" s="202"/>
      <c r="R247" s="199"/>
      <c r="S247" s="202"/>
      <c r="T247" s="199"/>
      <c r="U247" s="202"/>
      <c r="V247" s="199"/>
      <c r="W247" s="223">
        <f t="shared" si="22"/>
        <v>32.340000000000003</v>
      </c>
      <c r="X247" s="224"/>
      <c r="Y247" s="225"/>
      <c r="Z247" s="223">
        <f t="shared" si="23"/>
        <v>4.9803600000000001</v>
      </c>
      <c r="AA247" s="224"/>
      <c r="AB247" s="225"/>
      <c r="AC247" s="51"/>
      <c r="AD247" s="52"/>
      <c r="AE247" s="53"/>
      <c r="AF247" s="51"/>
      <c r="AG247" s="52"/>
      <c r="AH247" s="54"/>
    </row>
    <row r="248" spans="1:34" ht="15.75" x14ac:dyDescent="0.25">
      <c r="A248" s="197"/>
      <c r="B248" s="198"/>
      <c r="C248" s="199"/>
      <c r="D248" s="220" t="s">
        <v>704</v>
      </c>
      <c r="E248" s="221"/>
      <c r="F248" s="221"/>
      <c r="G248" s="221"/>
      <c r="H248" s="221"/>
      <c r="I248" s="222"/>
      <c r="J248" s="63"/>
      <c r="K248" s="226">
        <f t="shared" si="24"/>
        <v>32.340000000000003</v>
      </c>
      <c r="L248" s="227"/>
      <c r="M248" s="226"/>
      <c r="N248" s="227"/>
      <c r="O248" s="226">
        <v>1</v>
      </c>
      <c r="P248" s="227"/>
      <c r="Q248" s="226"/>
      <c r="R248" s="227"/>
      <c r="S248" s="226"/>
      <c r="T248" s="227"/>
      <c r="U248" s="226"/>
      <c r="V248" s="227"/>
      <c r="W248" s="223">
        <f t="shared" si="22"/>
        <v>32.340000000000003</v>
      </c>
      <c r="X248" s="224"/>
      <c r="Y248" s="225"/>
      <c r="Z248" s="223">
        <f t="shared" si="23"/>
        <v>4.9803600000000001</v>
      </c>
      <c r="AA248" s="224"/>
      <c r="AB248" s="225"/>
      <c r="AC248" s="51"/>
      <c r="AD248" s="52"/>
      <c r="AE248" s="53"/>
      <c r="AF248" s="51"/>
      <c r="AG248" s="52"/>
      <c r="AH248" s="54"/>
    </row>
    <row r="249" spans="1:34" ht="15.75" x14ac:dyDescent="0.25">
      <c r="A249" s="197"/>
      <c r="B249" s="198"/>
      <c r="C249" s="199"/>
      <c r="D249" s="220" t="s">
        <v>705</v>
      </c>
      <c r="E249" s="221"/>
      <c r="F249" s="221"/>
      <c r="G249" s="221"/>
      <c r="H249" s="221"/>
      <c r="I249" s="222"/>
      <c r="J249" s="63"/>
      <c r="K249" s="226">
        <f t="shared" si="24"/>
        <v>32.340000000000003</v>
      </c>
      <c r="L249" s="227"/>
      <c r="M249" s="226"/>
      <c r="N249" s="227"/>
      <c r="O249" s="226">
        <v>1</v>
      </c>
      <c r="P249" s="227"/>
      <c r="Q249" s="226"/>
      <c r="R249" s="227"/>
      <c r="S249" s="226"/>
      <c r="T249" s="227"/>
      <c r="U249" s="226"/>
      <c r="V249" s="227"/>
      <c r="W249" s="223">
        <f t="shared" si="22"/>
        <v>32.340000000000003</v>
      </c>
      <c r="X249" s="224"/>
      <c r="Y249" s="225"/>
      <c r="Z249" s="223">
        <f t="shared" si="23"/>
        <v>4.9803600000000001</v>
      </c>
      <c r="AA249" s="224"/>
      <c r="AB249" s="225"/>
      <c r="AC249" s="51"/>
      <c r="AD249" s="52"/>
      <c r="AE249" s="53"/>
      <c r="AF249" s="51"/>
      <c r="AG249" s="52"/>
      <c r="AH249" s="54"/>
    </row>
    <row r="250" spans="1:34" ht="15.75" x14ac:dyDescent="0.25">
      <c r="A250" s="197"/>
      <c r="B250" s="198"/>
      <c r="C250" s="199"/>
      <c r="D250" s="220" t="s">
        <v>706</v>
      </c>
      <c r="E250" s="221"/>
      <c r="F250" s="221"/>
      <c r="G250" s="221"/>
      <c r="H250" s="221"/>
      <c r="I250" s="222"/>
      <c r="J250" s="63"/>
      <c r="K250" s="226">
        <f t="shared" si="24"/>
        <v>32.340000000000003</v>
      </c>
      <c r="L250" s="227"/>
      <c r="M250" s="226"/>
      <c r="N250" s="227"/>
      <c r="O250" s="226">
        <v>1</v>
      </c>
      <c r="P250" s="227"/>
      <c r="Q250" s="226"/>
      <c r="R250" s="227"/>
      <c r="S250" s="226"/>
      <c r="T250" s="227"/>
      <c r="U250" s="226"/>
      <c r="V250" s="227"/>
      <c r="W250" s="223">
        <f t="shared" si="22"/>
        <v>32.340000000000003</v>
      </c>
      <c r="X250" s="224"/>
      <c r="Y250" s="225"/>
      <c r="Z250" s="223">
        <f t="shared" si="23"/>
        <v>4.9803600000000001</v>
      </c>
      <c r="AA250" s="224"/>
      <c r="AB250" s="225"/>
      <c r="AC250" s="51"/>
      <c r="AD250" s="52"/>
      <c r="AE250" s="53"/>
      <c r="AF250" s="51"/>
      <c r="AG250" s="52"/>
      <c r="AH250" s="54"/>
    </row>
    <row r="251" spans="1:34" ht="15.75" x14ac:dyDescent="0.25">
      <c r="A251" s="197"/>
      <c r="B251" s="198"/>
      <c r="C251" s="199"/>
      <c r="D251" s="220" t="s">
        <v>707</v>
      </c>
      <c r="E251" s="221"/>
      <c r="F251" s="221"/>
      <c r="G251" s="221"/>
      <c r="H251" s="221"/>
      <c r="I251" s="222"/>
      <c r="J251" s="63"/>
      <c r="K251" s="226">
        <f>29*0.77</f>
        <v>22.330000000000002</v>
      </c>
      <c r="L251" s="227"/>
      <c r="M251" s="226"/>
      <c r="N251" s="227"/>
      <c r="O251" s="226">
        <v>1</v>
      </c>
      <c r="P251" s="227"/>
      <c r="Q251" s="226"/>
      <c r="R251" s="227"/>
      <c r="S251" s="226"/>
      <c r="T251" s="227"/>
      <c r="U251" s="226"/>
      <c r="V251" s="227"/>
      <c r="W251" s="223">
        <f t="shared" si="22"/>
        <v>22.330000000000002</v>
      </c>
      <c r="X251" s="224"/>
      <c r="Y251" s="225"/>
      <c r="Z251" s="223">
        <f t="shared" si="23"/>
        <v>3.4388200000000002</v>
      </c>
      <c r="AA251" s="224"/>
      <c r="AB251" s="225"/>
      <c r="AC251" s="51"/>
      <c r="AD251" s="52"/>
      <c r="AE251" s="53"/>
      <c r="AF251" s="51"/>
      <c r="AG251" s="52"/>
      <c r="AH251" s="54"/>
    </row>
    <row r="252" spans="1:34" ht="15.75" x14ac:dyDescent="0.25">
      <c r="A252" s="197"/>
      <c r="B252" s="198"/>
      <c r="C252" s="199"/>
      <c r="D252" s="220" t="s">
        <v>708</v>
      </c>
      <c r="E252" s="221"/>
      <c r="F252" s="221"/>
      <c r="G252" s="221"/>
      <c r="H252" s="221"/>
      <c r="I252" s="222"/>
      <c r="J252" s="63"/>
      <c r="K252" s="226">
        <f>29*0.77</f>
        <v>22.330000000000002</v>
      </c>
      <c r="L252" s="227"/>
      <c r="M252" s="226"/>
      <c r="N252" s="227"/>
      <c r="O252" s="226">
        <v>1</v>
      </c>
      <c r="P252" s="227"/>
      <c r="Q252" s="226"/>
      <c r="R252" s="227"/>
      <c r="S252" s="226"/>
      <c r="T252" s="227"/>
      <c r="U252" s="226"/>
      <c r="V252" s="227"/>
      <c r="W252" s="223">
        <f t="shared" si="22"/>
        <v>22.330000000000002</v>
      </c>
      <c r="X252" s="224"/>
      <c r="Y252" s="225"/>
      <c r="Z252" s="223">
        <f t="shared" si="23"/>
        <v>3.4388200000000002</v>
      </c>
      <c r="AA252" s="224"/>
      <c r="AB252" s="225"/>
      <c r="AC252" s="51"/>
      <c r="AD252" s="52"/>
      <c r="AE252" s="53"/>
      <c r="AF252" s="51"/>
      <c r="AG252" s="52"/>
      <c r="AH252" s="54"/>
    </row>
    <row r="253" spans="1:34" ht="15.75" x14ac:dyDescent="0.25">
      <c r="A253" s="197"/>
      <c r="B253" s="198"/>
      <c r="C253" s="199"/>
      <c r="D253" s="220" t="s">
        <v>709</v>
      </c>
      <c r="E253" s="221"/>
      <c r="F253" s="221"/>
      <c r="G253" s="221"/>
      <c r="H253" s="221"/>
      <c r="I253" s="222"/>
      <c r="J253" s="63"/>
      <c r="K253" s="226">
        <f>29*0.77</f>
        <v>22.330000000000002</v>
      </c>
      <c r="L253" s="227"/>
      <c r="M253" s="226"/>
      <c r="N253" s="227"/>
      <c r="O253" s="226">
        <v>1</v>
      </c>
      <c r="P253" s="227"/>
      <c r="Q253" s="226"/>
      <c r="R253" s="227"/>
      <c r="S253" s="226"/>
      <c r="T253" s="227"/>
      <c r="U253" s="226"/>
      <c r="V253" s="227"/>
      <c r="W253" s="223">
        <f t="shared" si="22"/>
        <v>22.330000000000002</v>
      </c>
      <c r="X253" s="224"/>
      <c r="Y253" s="225"/>
      <c r="Z253" s="223">
        <f t="shared" si="23"/>
        <v>3.4388200000000002</v>
      </c>
      <c r="AA253" s="224"/>
      <c r="AB253" s="225"/>
      <c r="AC253" s="51"/>
      <c r="AD253" s="52"/>
      <c r="AE253" s="53"/>
      <c r="AF253" s="51"/>
      <c r="AG253" s="52"/>
      <c r="AH253" s="54"/>
    </row>
    <row r="254" spans="1:34" ht="15.75" x14ac:dyDescent="0.25">
      <c r="A254" s="197"/>
      <c r="B254" s="198"/>
      <c r="C254" s="199"/>
      <c r="D254" s="220" t="s">
        <v>710</v>
      </c>
      <c r="E254" s="221"/>
      <c r="F254" s="221"/>
      <c r="G254" s="221"/>
      <c r="H254" s="221"/>
      <c r="I254" s="222"/>
      <c r="J254" s="63"/>
      <c r="K254" s="226">
        <f>29*0.77</f>
        <v>22.330000000000002</v>
      </c>
      <c r="L254" s="227"/>
      <c r="M254" s="226"/>
      <c r="N254" s="227"/>
      <c r="O254" s="226">
        <v>1</v>
      </c>
      <c r="P254" s="227"/>
      <c r="Q254" s="226"/>
      <c r="R254" s="227"/>
      <c r="S254" s="226"/>
      <c r="T254" s="227"/>
      <c r="U254" s="226"/>
      <c r="V254" s="227"/>
      <c r="W254" s="223">
        <f t="shared" si="22"/>
        <v>22.330000000000002</v>
      </c>
      <c r="X254" s="224"/>
      <c r="Y254" s="225"/>
      <c r="Z254" s="223">
        <f t="shared" si="23"/>
        <v>3.4388200000000002</v>
      </c>
      <c r="AA254" s="224"/>
      <c r="AB254" s="225"/>
      <c r="AC254" s="51"/>
      <c r="AD254" s="52"/>
      <c r="AE254" s="53"/>
      <c r="AF254" s="51"/>
      <c r="AG254" s="52"/>
      <c r="AH254" s="54"/>
    </row>
    <row r="255" spans="1:34" ht="15.75" x14ac:dyDescent="0.25">
      <c r="A255" s="197"/>
      <c r="B255" s="198"/>
      <c r="C255" s="199"/>
      <c r="D255" s="220" t="s">
        <v>711</v>
      </c>
      <c r="E255" s="221"/>
      <c r="F255" s="221"/>
      <c r="G255" s="221"/>
      <c r="H255" s="221"/>
      <c r="I255" s="222"/>
      <c r="J255" s="63"/>
      <c r="K255" s="226">
        <f>((29*0.34)+(29*0.97))</f>
        <v>37.99</v>
      </c>
      <c r="L255" s="227"/>
      <c r="M255" s="226"/>
      <c r="N255" s="227"/>
      <c r="O255" s="226">
        <v>1</v>
      </c>
      <c r="P255" s="227"/>
      <c r="Q255" s="202"/>
      <c r="R255" s="199"/>
      <c r="S255" s="202"/>
      <c r="T255" s="199"/>
      <c r="U255" s="202"/>
      <c r="V255" s="199"/>
      <c r="W255" s="223">
        <f t="shared" si="22"/>
        <v>37.99</v>
      </c>
      <c r="X255" s="224"/>
      <c r="Y255" s="225"/>
      <c r="Z255" s="223">
        <f t="shared" si="23"/>
        <v>5.85046</v>
      </c>
      <c r="AA255" s="224"/>
      <c r="AB255" s="225"/>
      <c r="AC255" s="51"/>
      <c r="AD255" s="52"/>
      <c r="AE255" s="53"/>
      <c r="AF255" s="51"/>
      <c r="AG255" s="52"/>
      <c r="AH255" s="54"/>
    </row>
    <row r="256" spans="1:34" ht="15.75" x14ac:dyDescent="0.25">
      <c r="A256" s="197"/>
      <c r="B256" s="198"/>
      <c r="C256" s="199"/>
      <c r="D256" s="220" t="s">
        <v>712</v>
      </c>
      <c r="E256" s="221"/>
      <c r="F256" s="221"/>
      <c r="G256" s="221"/>
      <c r="H256" s="221"/>
      <c r="I256" s="222"/>
      <c r="J256" s="63"/>
      <c r="K256" s="226">
        <f>((29*0.34)+(29*0.97)+(13*0.34)+(13*0.97))</f>
        <v>55.02</v>
      </c>
      <c r="L256" s="227"/>
      <c r="M256" s="226"/>
      <c r="N256" s="227"/>
      <c r="O256" s="226">
        <v>1</v>
      </c>
      <c r="P256" s="227"/>
      <c r="Q256" s="226"/>
      <c r="R256" s="227"/>
      <c r="S256" s="226"/>
      <c r="T256" s="227"/>
      <c r="U256" s="226"/>
      <c r="V256" s="227"/>
      <c r="W256" s="223">
        <f t="shared" si="22"/>
        <v>55.02</v>
      </c>
      <c r="X256" s="224"/>
      <c r="Y256" s="225"/>
      <c r="Z256" s="223">
        <f t="shared" si="23"/>
        <v>8.4730799999999995</v>
      </c>
      <c r="AA256" s="224"/>
      <c r="AB256" s="225"/>
      <c r="AC256" s="51"/>
      <c r="AD256" s="52"/>
      <c r="AE256" s="53"/>
      <c r="AF256" s="51"/>
      <c r="AG256" s="52"/>
      <c r="AH256" s="54"/>
    </row>
    <row r="257" spans="1:34" ht="15.75" x14ac:dyDescent="0.25">
      <c r="A257" s="197"/>
      <c r="B257" s="198"/>
      <c r="C257" s="199"/>
      <c r="D257" s="220" t="s">
        <v>713</v>
      </c>
      <c r="E257" s="221"/>
      <c r="F257" s="221"/>
      <c r="G257" s="221"/>
      <c r="H257" s="221"/>
      <c r="I257" s="222"/>
      <c r="J257" s="63"/>
      <c r="K257" s="226">
        <f>((29*0.24)+(29*0.77)+(13*0.24)+(13*0.77))</f>
        <v>42.42</v>
      </c>
      <c r="L257" s="227"/>
      <c r="M257" s="226"/>
      <c r="N257" s="227"/>
      <c r="O257" s="226">
        <v>1</v>
      </c>
      <c r="P257" s="227"/>
      <c r="Q257" s="226"/>
      <c r="R257" s="227"/>
      <c r="S257" s="226"/>
      <c r="T257" s="227"/>
      <c r="U257" s="226"/>
      <c r="V257" s="227"/>
      <c r="W257" s="223">
        <f t="shared" si="22"/>
        <v>42.42</v>
      </c>
      <c r="X257" s="224"/>
      <c r="Y257" s="225"/>
      <c r="Z257" s="223">
        <f t="shared" si="23"/>
        <v>6.53268</v>
      </c>
      <c r="AA257" s="224"/>
      <c r="AB257" s="225"/>
      <c r="AC257" s="51"/>
      <c r="AD257" s="52"/>
      <c r="AE257" s="53"/>
      <c r="AF257" s="51"/>
      <c r="AG257" s="52"/>
      <c r="AH257" s="54"/>
    </row>
    <row r="258" spans="1:34" ht="15.75" x14ac:dyDescent="0.25">
      <c r="A258" s="197"/>
      <c r="B258" s="198"/>
      <c r="C258" s="199"/>
      <c r="D258" s="220" t="s">
        <v>714</v>
      </c>
      <c r="E258" s="221"/>
      <c r="F258" s="221"/>
      <c r="G258" s="221"/>
      <c r="H258" s="221"/>
      <c r="I258" s="222"/>
      <c r="J258" s="63"/>
      <c r="K258" s="226">
        <f>((23*0.24)+(23*0.77)+(10*0.24)+(10*0.77))</f>
        <v>33.33</v>
      </c>
      <c r="L258" s="227"/>
      <c r="M258" s="226"/>
      <c r="N258" s="227"/>
      <c r="O258" s="226">
        <v>1</v>
      </c>
      <c r="P258" s="227"/>
      <c r="Q258" s="226"/>
      <c r="R258" s="227"/>
      <c r="S258" s="226"/>
      <c r="T258" s="227"/>
      <c r="U258" s="226"/>
      <c r="V258" s="227"/>
      <c r="W258" s="223">
        <f t="shared" si="22"/>
        <v>33.33</v>
      </c>
      <c r="X258" s="224"/>
      <c r="Y258" s="225"/>
      <c r="Z258" s="223">
        <f t="shared" si="23"/>
        <v>5.1328199999999997</v>
      </c>
      <c r="AA258" s="224"/>
      <c r="AB258" s="225"/>
      <c r="AC258" s="51"/>
      <c r="AD258" s="52"/>
      <c r="AE258" s="53"/>
      <c r="AF258" s="51"/>
      <c r="AG258" s="52"/>
      <c r="AH258" s="54"/>
    </row>
    <row r="259" spans="1:34" ht="15.75" x14ac:dyDescent="0.25">
      <c r="A259" s="197"/>
      <c r="B259" s="198"/>
      <c r="C259" s="199"/>
      <c r="D259" s="220" t="s">
        <v>715</v>
      </c>
      <c r="E259" s="221"/>
      <c r="F259" s="221"/>
      <c r="G259" s="221"/>
      <c r="H259" s="221"/>
      <c r="I259" s="222"/>
      <c r="J259" s="63"/>
      <c r="K259" s="226">
        <f>((29*0.77)+(13*0.77))</f>
        <v>32.340000000000003</v>
      </c>
      <c r="L259" s="227"/>
      <c r="M259" s="226"/>
      <c r="N259" s="227"/>
      <c r="O259" s="226">
        <v>1</v>
      </c>
      <c r="P259" s="227"/>
      <c r="Q259" s="226"/>
      <c r="R259" s="227"/>
      <c r="S259" s="226"/>
      <c r="T259" s="227"/>
      <c r="U259" s="226"/>
      <c r="V259" s="227"/>
      <c r="W259" s="223">
        <f t="shared" si="22"/>
        <v>32.340000000000003</v>
      </c>
      <c r="X259" s="224"/>
      <c r="Y259" s="225"/>
      <c r="Z259" s="223">
        <f t="shared" si="23"/>
        <v>4.9803600000000001</v>
      </c>
      <c r="AA259" s="224"/>
      <c r="AB259" s="225"/>
      <c r="AC259" s="51"/>
      <c r="AD259" s="52"/>
      <c r="AE259" s="53"/>
      <c r="AF259" s="51"/>
      <c r="AG259" s="52"/>
      <c r="AH259" s="54"/>
    </row>
    <row r="260" spans="1:34" ht="15.75" x14ac:dyDescent="0.25">
      <c r="A260" s="197"/>
      <c r="B260" s="198"/>
      <c r="C260" s="199"/>
      <c r="D260" s="220" t="s">
        <v>716</v>
      </c>
      <c r="E260" s="221"/>
      <c r="F260" s="221"/>
      <c r="G260" s="221"/>
      <c r="H260" s="221"/>
      <c r="I260" s="222"/>
      <c r="J260" s="63"/>
      <c r="K260" s="226">
        <f>29*0.77</f>
        <v>22.330000000000002</v>
      </c>
      <c r="L260" s="227"/>
      <c r="M260" s="226"/>
      <c r="N260" s="227"/>
      <c r="O260" s="226">
        <v>1</v>
      </c>
      <c r="P260" s="227"/>
      <c r="Q260" s="226"/>
      <c r="R260" s="227"/>
      <c r="S260" s="226"/>
      <c r="T260" s="227"/>
      <c r="U260" s="226"/>
      <c r="V260" s="227"/>
      <c r="W260" s="223">
        <f t="shared" si="22"/>
        <v>22.330000000000002</v>
      </c>
      <c r="X260" s="224"/>
      <c r="Y260" s="225"/>
      <c r="Z260" s="223">
        <f t="shared" si="23"/>
        <v>3.4388200000000002</v>
      </c>
      <c r="AA260" s="224"/>
      <c r="AB260" s="225"/>
      <c r="AC260" s="51"/>
      <c r="AD260" s="52"/>
      <c r="AE260" s="53"/>
      <c r="AF260" s="51"/>
      <c r="AG260" s="52"/>
      <c r="AH260" s="54"/>
    </row>
    <row r="261" spans="1:34" ht="15.75" x14ac:dyDescent="0.25">
      <c r="A261" s="197"/>
      <c r="B261" s="198"/>
      <c r="C261" s="199"/>
      <c r="D261" s="220" t="s">
        <v>717</v>
      </c>
      <c r="E261" s="221"/>
      <c r="F261" s="221"/>
      <c r="G261" s="221"/>
      <c r="H261" s="221"/>
      <c r="I261" s="222"/>
      <c r="J261" s="63"/>
      <c r="K261" s="226">
        <f>29*0.77</f>
        <v>22.330000000000002</v>
      </c>
      <c r="L261" s="227"/>
      <c r="M261" s="226"/>
      <c r="N261" s="227"/>
      <c r="O261" s="226">
        <v>1</v>
      </c>
      <c r="P261" s="227"/>
      <c r="Q261" s="226"/>
      <c r="R261" s="227"/>
      <c r="S261" s="226"/>
      <c r="T261" s="227"/>
      <c r="U261" s="226"/>
      <c r="V261" s="227"/>
      <c r="W261" s="223">
        <f t="shared" si="22"/>
        <v>22.330000000000002</v>
      </c>
      <c r="X261" s="224"/>
      <c r="Y261" s="225"/>
      <c r="Z261" s="223">
        <f t="shared" si="23"/>
        <v>3.4388200000000002</v>
      </c>
      <c r="AA261" s="224"/>
      <c r="AB261" s="225"/>
      <c r="AC261" s="51"/>
      <c r="AD261" s="52"/>
      <c r="AE261" s="53"/>
      <c r="AF261" s="51"/>
      <c r="AG261" s="52"/>
      <c r="AH261" s="54"/>
    </row>
    <row r="262" spans="1:34" ht="15.75" x14ac:dyDescent="0.25">
      <c r="A262" s="197"/>
      <c r="B262" s="198"/>
      <c r="C262" s="199"/>
      <c r="D262" s="220" t="s">
        <v>718</v>
      </c>
      <c r="E262" s="221"/>
      <c r="F262" s="221"/>
      <c r="G262" s="221"/>
      <c r="H262" s="221"/>
      <c r="I262" s="222"/>
      <c r="J262" s="63"/>
      <c r="K262" s="226">
        <f>29*0.77</f>
        <v>22.330000000000002</v>
      </c>
      <c r="L262" s="227"/>
      <c r="M262" s="226"/>
      <c r="N262" s="227"/>
      <c r="O262" s="226">
        <v>1</v>
      </c>
      <c r="P262" s="227"/>
      <c r="Q262" s="226"/>
      <c r="R262" s="227"/>
      <c r="S262" s="226"/>
      <c r="T262" s="227"/>
      <c r="U262" s="226"/>
      <c r="V262" s="227"/>
      <c r="W262" s="223">
        <f t="shared" si="22"/>
        <v>22.330000000000002</v>
      </c>
      <c r="X262" s="224"/>
      <c r="Y262" s="225"/>
      <c r="Z262" s="223">
        <f t="shared" si="23"/>
        <v>3.4388200000000002</v>
      </c>
      <c r="AA262" s="224"/>
      <c r="AB262" s="225"/>
      <c r="AC262" s="51"/>
      <c r="AD262" s="52"/>
      <c r="AE262" s="53"/>
      <c r="AF262" s="51"/>
      <c r="AG262" s="52"/>
      <c r="AH262" s="54"/>
    </row>
    <row r="263" spans="1:34" ht="15.75" x14ac:dyDescent="0.25">
      <c r="A263" s="197"/>
      <c r="B263" s="198"/>
      <c r="C263" s="199"/>
      <c r="D263" s="220" t="s">
        <v>719</v>
      </c>
      <c r="E263" s="221"/>
      <c r="F263" s="221"/>
      <c r="G263" s="221"/>
      <c r="H263" s="221"/>
      <c r="I263" s="222"/>
      <c r="J263" s="63"/>
      <c r="K263" s="226">
        <f>29*0.77</f>
        <v>22.330000000000002</v>
      </c>
      <c r="L263" s="227"/>
      <c r="M263" s="226"/>
      <c r="N263" s="227"/>
      <c r="O263" s="226">
        <v>1</v>
      </c>
      <c r="P263" s="227"/>
      <c r="Q263" s="202"/>
      <c r="R263" s="199"/>
      <c r="S263" s="202"/>
      <c r="T263" s="199"/>
      <c r="U263" s="202"/>
      <c r="V263" s="199"/>
      <c r="W263" s="223">
        <f t="shared" si="22"/>
        <v>22.330000000000002</v>
      </c>
      <c r="X263" s="224"/>
      <c r="Y263" s="225"/>
      <c r="Z263" s="223">
        <f t="shared" si="23"/>
        <v>3.4388200000000002</v>
      </c>
      <c r="AA263" s="224"/>
      <c r="AB263" s="225"/>
      <c r="AC263" s="51"/>
      <c r="AD263" s="52"/>
      <c r="AE263" s="53"/>
      <c r="AF263" s="51"/>
      <c r="AG263" s="52"/>
      <c r="AH263" s="54"/>
    </row>
    <row r="264" spans="1:34" ht="15.75" x14ac:dyDescent="0.25">
      <c r="A264" s="197"/>
      <c r="B264" s="198"/>
      <c r="C264" s="199"/>
      <c r="D264" s="220" t="s">
        <v>720</v>
      </c>
      <c r="E264" s="221"/>
      <c r="F264" s="221"/>
      <c r="G264" s="221"/>
      <c r="H264" s="221"/>
      <c r="I264" s="222"/>
      <c r="J264" s="63"/>
      <c r="K264" s="226">
        <f>29*0.77</f>
        <v>22.330000000000002</v>
      </c>
      <c r="L264" s="227"/>
      <c r="M264" s="226"/>
      <c r="N264" s="227"/>
      <c r="O264" s="226">
        <v>1</v>
      </c>
      <c r="P264" s="227"/>
      <c r="Q264" s="226"/>
      <c r="R264" s="227"/>
      <c r="S264" s="226"/>
      <c r="T264" s="227"/>
      <c r="U264" s="226"/>
      <c r="V264" s="227"/>
      <c r="W264" s="223">
        <f t="shared" si="22"/>
        <v>22.330000000000002</v>
      </c>
      <c r="X264" s="224"/>
      <c r="Y264" s="225"/>
      <c r="Z264" s="223">
        <f t="shared" si="23"/>
        <v>3.4388200000000002</v>
      </c>
      <c r="AA264" s="224"/>
      <c r="AB264" s="225"/>
      <c r="AC264" s="51"/>
      <c r="AD264" s="52"/>
      <c r="AE264" s="53"/>
      <c r="AF264" s="51"/>
      <c r="AG264" s="52"/>
      <c r="AH264" s="54"/>
    </row>
    <row r="265" spans="1:34" ht="15.75" x14ac:dyDescent="0.25">
      <c r="A265" s="197"/>
      <c r="B265" s="198"/>
      <c r="C265" s="199"/>
      <c r="D265" s="220" t="s">
        <v>721</v>
      </c>
      <c r="E265" s="221"/>
      <c r="F265" s="221"/>
      <c r="G265" s="221"/>
      <c r="H265" s="221"/>
      <c r="I265" s="222"/>
      <c r="J265" s="63"/>
      <c r="K265" s="226">
        <f>23*0.77</f>
        <v>17.71</v>
      </c>
      <c r="L265" s="227"/>
      <c r="M265" s="226"/>
      <c r="N265" s="227"/>
      <c r="O265" s="226">
        <v>1</v>
      </c>
      <c r="P265" s="227"/>
      <c r="Q265" s="226"/>
      <c r="R265" s="227"/>
      <c r="S265" s="226"/>
      <c r="T265" s="227"/>
      <c r="U265" s="226"/>
      <c r="V265" s="227"/>
      <c r="W265" s="223">
        <f t="shared" si="22"/>
        <v>17.71</v>
      </c>
      <c r="X265" s="224"/>
      <c r="Y265" s="225"/>
      <c r="Z265" s="223">
        <f t="shared" si="23"/>
        <v>2.7273399999999999</v>
      </c>
      <c r="AA265" s="224"/>
      <c r="AB265" s="225"/>
      <c r="AC265" s="51"/>
      <c r="AD265" s="52"/>
      <c r="AE265" s="53"/>
      <c r="AF265" s="51"/>
      <c r="AG265" s="52"/>
      <c r="AH265" s="54"/>
    </row>
    <row r="266" spans="1:34" ht="15.75" x14ac:dyDescent="0.25">
      <c r="A266" s="197"/>
      <c r="B266" s="198"/>
      <c r="C266" s="199"/>
      <c r="D266" s="220" t="s">
        <v>722</v>
      </c>
      <c r="E266" s="221"/>
      <c r="F266" s="221"/>
      <c r="G266" s="221"/>
      <c r="H266" s="221"/>
      <c r="I266" s="222"/>
      <c r="J266" s="63"/>
      <c r="K266" s="226">
        <f>((29*0.77)+(13*0.77))</f>
        <v>32.340000000000003</v>
      </c>
      <c r="L266" s="227"/>
      <c r="M266" s="226"/>
      <c r="N266" s="227"/>
      <c r="O266" s="226">
        <v>1</v>
      </c>
      <c r="P266" s="227"/>
      <c r="Q266" s="226"/>
      <c r="R266" s="227"/>
      <c r="S266" s="226"/>
      <c r="T266" s="227"/>
      <c r="U266" s="226"/>
      <c r="V266" s="227"/>
      <c r="W266" s="223">
        <f t="shared" si="22"/>
        <v>32.340000000000003</v>
      </c>
      <c r="X266" s="224"/>
      <c r="Y266" s="225"/>
      <c r="Z266" s="223">
        <f t="shared" si="23"/>
        <v>4.9803600000000001</v>
      </c>
      <c r="AA266" s="224"/>
      <c r="AB266" s="225"/>
      <c r="AC266" s="51"/>
      <c r="AD266" s="52"/>
      <c r="AE266" s="53"/>
      <c r="AF266" s="51"/>
      <c r="AG266" s="52"/>
      <c r="AH266" s="54"/>
    </row>
    <row r="267" spans="1:34" ht="15.75" x14ac:dyDescent="0.25">
      <c r="A267" s="197"/>
      <c r="B267" s="198"/>
      <c r="C267" s="199"/>
      <c r="D267" s="220" t="s">
        <v>723</v>
      </c>
      <c r="E267" s="221"/>
      <c r="F267" s="221"/>
      <c r="G267" s="221"/>
      <c r="H267" s="221"/>
      <c r="I267" s="222"/>
      <c r="J267" s="63"/>
      <c r="K267" s="226">
        <f>((29*0.24)+(29*0.77))</f>
        <v>29.290000000000003</v>
      </c>
      <c r="L267" s="227"/>
      <c r="M267" s="226"/>
      <c r="N267" s="227"/>
      <c r="O267" s="226">
        <v>1</v>
      </c>
      <c r="P267" s="227"/>
      <c r="Q267" s="226"/>
      <c r="R267" s="227"/>
      <c r="S267" s="226"/>
      <c r="T267" s="227"/>
      <c r="U267" s="226"/>
      <c r="V267" s="227"/>
      <c r="W267" s="223">
        <f t="shared" si="22"/>
        <v>29.290000000000003</v>
      </c>
      <c r="X267" s="224"/>
      <c r="Y267" s="225"/>
      <c r="Z267" s="223">
        <f t="shared" si="23"/>
        <v>4.5106600000000006</v>
      </c>
      <c r="AA267" s="224"/>
      <c r="AB267" s="225"/>
      <c r="AC267" s="51"/>
      <c r="AD267" s="52"/>
      <c r="AE267" s="53"/>
      <c r="AF267" s="51"/>
      <c r="AG267" s="52"/>
      <c r="AH267" s="54"/>
    </row>
    <row r="268" spans="1:34" ht="15.75" x14ac:dyDescent="0.25">
      <c r="A268" s="197"/>
      <c r="B268" s="198"/>
      <c r="C268" s="199"/>
      <c r="D268" s="220" t="s">
        <v>724</v>
      </c>
      <c r="E268" s="221"/>
      <c r="F268" s="221"/>
      <c r="G268" s="221"/>
      <c r="H268" s="221"/>
      <c r="I268" s="222"/>
      <c r="J268" s="63"/>
      <c r="K268" s="226">
        <f>((29*0.24)+(29*0.77)+(13*0.24)+(13*0.77))</f>
        <v>42.42</v>
      </c>
      <c r="L268" s="227"/>
      <c r="M268" s="226"/>
      <c r="N268" s="227"/>
      <c r="O268" s="226">
        <v>1</v>
      </c>
      <c r="P268" s="227"/>
      <c r="Q268" s="226"/>
      <c r="R268" s="227"/>
      <c r="S268" s="226"/>
      <c r="T268" s="227"/>
      <c r="U268" s="226"/>
      <c r="V268" s="227"/>
      <c r="W268" s="223">
        <f t="shared" si="22"/>
        <v>42.42</v>
      </c>
      <c r="X268" s="224"/>
      <c r="Y268" s="225"/>
      <c r="Z268" s="223">
        <f t="shared" si="23"/>
        <v>6.53268</v>
      </c>
      <c r="AA268" s="224"/>
      <c r="AB268" s="225"/>
      <c r="AC268" s="51"/>
      <c r="AD268" s="52"/>
      <c r="AE268" s="53"/>
      <c r="AF268" s="51"/>
      <c r="AG268" s="52"/>
      <c r="AH268" s="54"/>
    </row>
    <row r="269" spans="1:34" ht="15.75" x14ac:dyDescent="0.25">
      <c r="A269" s="197"/>
      <c r="B269" s="198"/>
      <c r="C269" s="199"/>
      <c r="D269" s="220" t="s">
        <v>725</v>
      </c>
      <c r="E269" s="221"/>
      <c r="F269" s="221"/>
      <c r="G269" s="221"/>
      <c r="H269" s="221"/>
      <c r="I269" s="222"/>
      <c r="J269" s="63"/>
      <c r="K269" s="226">
        <f>((29*0.77)+(13*0.77))</f>
        <v>32.340000000000003</v>
      </c>
      <c r="L269" s="227"/>
      <c r="M269" s="226"/>
      <c r="N269" s="227"/>
      <c r="O269" s="226">
        <v>1</v>
      </c>
      <c r="P269" s="227"/>
      <c r="Q269" s="226"/>
      <c r="R269" s="227"/>
      <c r="S269" s="226"/>
      <c r="T269" s="227"/>
      <c r="U269" s="226"/>
      <c r="V269" s="227"/>
      <c r="W269" s="223">
        <f t="shared" si="22"/>
        <v>32.340000000000003</v>
      </c>
      <c r="X269" s="224"/>
      <c r="Y269" s="225"/>
      <c r="Z269" s="223">
        <f t="shared" si="23"/>
        <v>4.9803600000000001</v>
      </c>
      <c r="AA269" s="224"/>
      <c r="AB269" s="225"/>
      <c r="AC269" s="51"/>
      <c r="AD269" s="52"/>
      <c r="AE269" s="53"/>
      <c r="AF269" s="51"/>
      <c r="AG269" s="52"/>
      <c r="AH269" s="54"/>
    </row>
    <row r="270" spans="1:34" ht="15.75" x14ac:dyDescent="0.25">
      <c r="A270" s="197"/>
      <c r="B270" s="198"/>
      <c r="C270" s="199"/>
      <c r="D270" s="220" t="s">
        <v>726</v>
      </c>
      <c r="E270" s="221"/>
      <c r="F270" s="221"/>
      <c r="G270" s="221"/>
      <c r="H270" s="221"/>
      <c r="I270" s="222"/>
      <c r="J270" s="63"/>
      <c r="K270" s="226">
        <f>29*0.77</f>
        <v>22.330000000000002</v>
      </c>
      <c r="L270" s="227"/>
      <c r="M270" s="226"/>
      <c r="N270" s="227"/>
      <c r="O270" s="226">
        <v>1</v>
      </c>
      <c r="P270" s="227"/>
      <c r="Q270" s="226"/>
      <c r="R270" s="227"/>
      <c r="S270" s="226"/>
      <c r="T270" s="227"/>
      <c r="U270" s="226"/>
      <c r="V270" s="227"/>
      <c r="W270" s="223">
        <f t="shared" si="22"/>
        <v>22.330000000000002</v>
      </c>
      <c r="X270" s="224"/>
      <c r="Y270" s="225"/>
      <c r="Z270" s="223">
        <f t="shared" si="23"/>
        <v>3.4388200000000002</v>
      </c>
      <c r="AA270" s="224"/>
      <c r="AB270" s="225"/>
      <c r="AC270" s="51"/>
      <c r="AD270" s="52"/>
      <c r="AE270" s="53"/>
      <c r="AF270" s="51"/>
      <c r="AG270" s="52"/>
      <c r="AH270" s="54"/>
    </row>
    <row r="271" spans="1:34" ht="15.75" x14ac:dyDescent="0.25">
      <c r="A271" s="197"/>
      <c r="B271" s="198"/>
      <c r="C271" s="199"/>
      <c r="D271" s="220" t="s">
        <v>727</v>
      </c>
      <c r="E271" s="221"/>
      <c r="F271" s="221"/>
      <c r="G271" s="221"/>
      <c r="H271" s="221"/>
      <c r="I271" s="222"/>
      <c r="J271" s="63"/>
      <c r="K271" s="226">
        <f>29*0.77</f>
        <v>22.330000000000002</v>
      </c>
      <c r="L271" s="227"/>
      <c r="M271" s="226"/>
      <c r="N271" s="227"/>
      <c r="O271" s="226">
        <v>1</v>
      </c>
      <c r="P271" s="227"/>
      <c r="Q271" s="202"/>
      <c r="R271" s="199"/>
      <c r="S271" s="202"/>
      <c r="T271" s="199"/>
      <c r="U271" s="202"/>
      <c r="V271" s="199"/>
      <c r="W271" s="223">
        <f t="shared" si="22"/>
        <v>22.330000000000002</v>
      </c>
      <c r="X271" s="224"/>
      <c r="Y271" s="225"/>
      <c r="Z271" s="223">
        <f t="shared" si="23"/>
        <v>3.4388200000000002</v>
      </c>
      <c r="AA271" s="224"/>
      <c r="AB271" s="225"/>
      <c r="AC271" s="51"/>
      <c r="AD271" s="52"/>
      <c r="AE271" s="53"/>
      <c r="AF271" s="51"/>
      <c r="AG271" s="52"/>
      <c r="AH271" s="54"/>
    </row>
    <row r="272" spans="1:34" ht="15.75" x14ac:dyDescent="0.25">
      <c r="A272" s="197"/>
      <c r="B272" s="198"/>
      <c r="C272" s="199"/>
      <c r="D272" s="220" t="s">
        <v>728</v>
      </c>
      <c r="E272" s="221"/>
      <c r="F272" s="221"/>
      <c r="G272" s="221"/>
      <c r="H272" s="221"/>
      <c r="I272" s="222"/>
      <c r="J272" s="63"/>
      <c r="K272" s="226">
        <f>29*0.77</f>
        <v>22.330000000000002</v>
      </c>
      <c r="L272" s="227"/>
      <c r="M272" s="226"/>
      <c r="N272" s="227"/>
      <c r="O272" s="226">
        <v>1</v>
      </c>
      <c r="P272" s="227"/>
      <c r="Q272" s="226"/>
      <c r="R272" s="227"/>
      <c r="S272" s="226"/>
      <c r="T272" s="227"/>
      <c r="U272" s="226"/>
      <c r="V272" s="227"/>
      <c r="W272" s="223">
        <f t="shared" si="22"/>
        <v>22.330000000000002</v>
      </c>
      <c r="X272" s="224"/>
      <c r="Y272" s="225"/>
      <c r="Z272" s="223">
        <f t="shared" si="23"/>
        <v>3.4388200000000002</v>
      </c>
      <c r="AA272" s="224"/>
      <c r="AB272" s="225"/>
      <c r="AC272" s="51"/>
      <c r="AD272" s="52"/>
      <c r="AE272" s="53"/>
      <c r="AF272" s="51"/>
      <c r="AG272" s="52"/>
      <c r="AH272" s="54"/>
    </row>
    <row r="273" spans="1:34" ht="15.75" x14ac:dyDescent="0.25">
      <c r="A273" s="197"/>
      <c r="B273" s="198"/>
      <c r="C273" s="199"/>
      <c r="D273" s="220" t="s">
        <v>729</v>
      </c>
      <c r="E273" s="221"/>
      <c r="F273" s="221"/>
      <c r="G273" s="221"/>
      <c r="H273" s="221"/>
      <c r="I273" s="222"/>
      <c r="J273" s="63"/>
      <c r="K273" s="226">
        <f>29*0.77</f>
        <v>22.330000000000002</v>
      </c>
      <c r="L273" s="227"/>
      <c r="M273" s="226"/>
      <c r="N273" s="227"/>
      <c r="O273" s="226">
        <v>1</v>
      </c>
      <c r="P273" s="227"/>
      <c r="Q273" s="226"/>
      <c r="R273" s="227"/>
      <c r="S273" s="226"/>
      <c r="T273" s="227"/>
      <c r="U273" s="226"/>
      <c r="V273" s="227"/>
      <c r="W273" s="223">
        <f t="shared" si="22"/>
        <v>22.330000000000002</v>
      </c>
      <c r="X273" s="224"/>
      <c r="Y273" s="225"/>
      <c r="Z273" s="223">
        <f t="shared" si="23"/>
        <v>3.4388200000000002</v>
      </c>
      <c r="AA273" s="224"/>
      <c r="AB273" s="225"/>
      <c r="AC273" s="51"/>
      <c r="AD273" s="52"/>
      <c r="AE273" s="53"/>
      <c r="AF273" s="51"/>
      <c r="AG273" s="52"/>
      <c r="AH273" s="54"/>
    </row>
    <row r="274" spans="1:34" ht="15.75" x14ac:dyDescent="0.25">
      <c r="A274" s="197"/>
      <c r="B274" s="198"/>
      <c r="C274" s="199"/>
      <c r="D274" s="220" t="s">
        <v>730</v>
      </c>
      <c r="E274" s="221"/>
      <c r="F274" s="221"/>
      <c r="G274" s="221"/>
      <c r="H274" s="221"/>
      <c r="I274" s="222"/>
      <c r="J274" s="63"/>
      <c r="K274" s="226">
        <f>29*0.77</f>
        <v>22.330000000000002</v>
      </c>
      <c r="L274" s="227"/>
      <c r="M274" s="226"/>
      <c r="N274" s="227"/>
      <c r="O274" s="226">
        <v>1</v>
      </c>
      <c r="P274" s="227"/>
      <c r="Q274" s="226"/>
      <c r="R274" s="227"/>
      <c r="S274" s="226"/>
      <c r="T274" s="227"/>
      <c r="U274" s="226"/>
      <c r="V274" s="227"/>
      <c r="W274" s="223">
        <f t="shared" si="22"/>
        <v>22.330000000000002</v>
      </c>
      <c r="X274" s="224"/>
      <c r="Y274" s="225"/>
      <c r="Z274" s="223">
        <f t="shared" si="23"/>
        <v>3.4388200000000002</v>
      </c>
      <c r="AA274" s="224"/>
      <c r="AB274" s="225"/>
      <c r="AC274" s="51"/>
      <c r="AD274" s="52"/>
      <c r="AE274" s="53"/>
      <c r="AF274" s="51"/>
      <c r="AG274" s="52"/>
      <c r="AH274" s="54"/>
    </row>
    <row r="275" spans="1:34" ht="15.75" x14ac:dyDescent="0.25">
      <c r="A275" s="197"/>
      <c r="B275" s="198"/>
      <c r="C275" s="199"/>
      <c r="D275" s="220" t="s">
        <v>731</v>
      </c>
      <c r="E275" s="221"/>
      <c r="F275" s="221"/>
      <c r="G275" s="221"/>
      <c r="H275" s="221"/>
      <c r="I275" s="222"/>
      <c r="J275" s="63"/>
      <c r="K275" s="226">
        <f>23*0.87</f>
        <v>20.010000000000002</v>
      </c>
      <c r="L275" s="227"/>
      <c r="M275" s="226"/>
      <c r="N275" s="227"/>
      <c r="O275" s="226">
        <v>1</v>
      </c>
      <c r="P275" s="227"/>
      <c r="Q275" s="226"/>
      <c r="R275" s="227"/>
      <c r="S275" s="226"/>
      <c r="T275" s="227"/>
      <c r="U275" s="226"/>
      <c r="V275" s="227"/>
      <c r="W275" s="223">
        <f t="shared" ref="W275:W303" si="25">K275*O275</f>
        <v>20.010000000000002</v>
      </c>
      <c r="X275" s="224"/>
      <c r="Y275" s="225"/>
      <c r="Z275" s="223">
        <f t="shared" si="23"/>
        <v>3.0815400000000004</v>
      </c>
      <c r="AA275" s="224"/>
      <c r="AB275" s="225"/>
      <c r="AC275" s="51"/>
      <c r="AD275" s="52"/>
      <c r="AE275" s="53"/>
      <c r="AF275" s="51"/>
      <c r="AG275" s="52"/>
      <c r="AH275" s="54"/>
    </row>
    <row r="276" spans="1:34" ht="15.75" x14ac:dyDescent="0.25">
      <c r="A276" s="197"/>
      <c r="B276" s="198"/>
      <c r="C276" s="199"/>
      <c r="D276" s="220" t="s">
        <v>732</v>
      </c>
      <c r="E276" s="221"/>
      <c r="F276" s="221"/>
      <c r="G276" s="221"/>
      <c r="H276" s="221"/>
      <c r="I276" s="222"/>
      <c r="J276" s="63"/>
      <c r="K276" s="226">
        <f>((23*0.87)+(10*0.87))</f>
        <v>28.71</v>
      </c>
      <c r="L276" s="227"/>
      <c r="M276" s="226"/>
      <c r="N276" s="227"/>
      <c r="O276" s="226">
        <v>1</v>
      </c>
      <c r="P276" s="227"/>
      <c r="Q276" s="226"/>
      <c r="R276" s="227"/>
      <c r="S276" s="226"/>
      <c r="T276" s="227"/>
      <c r="U276" s="226"/>
      <c r="V276" s="227"/>
      <c r="W276" s="223">
        <f t="shared" si="25"/>
        <v>28.71</v>
      </c>
      <c r="X276" s="224"/>
      <c r="Y276" s="225"/>
      <c r="Z276" s="223">
        <f t="shared" ref="Z276:Z303" si="26">W276*0.154</f>
        <v>4.4213399999999998</v>
      </c>
      <c r="AA276" s="224"/>
      <c r="AB276" s="225"/>
      <c r="AC276" s="51"/>
      <c r="AD276" s="52"/>
      <c r="AE276" s="53"/>
      <c r="AF276" s="51"/>
      <c r="AG276" s="52"/>
      <c r="AH276" s="54"/>
    </row>
    <row r="277" spans="1:34" ht="15.75" x14ac:dyDescent="0.25">
      <c r="A277" s="197"/>
      <c r="B277" s="198"/>
      <c r="C277" s="199"/>
      <c r="D277" s="220" t="s">
        <v>733</v>
      </c>
      <c r="E277" s="221"/>
      <c r="F277" s="221"/>
      <c r="G277" s="221"/>
      <c r="H277" s="221"/>
      <c r="I277" s="222"/>
      <c r="J277" s="63"/>
      <c r="K277" s="226">
        <f>((23*0.77)+(10*0.77))</f>
        <v>25.41</v>
      </c>
      <c r="L277" s="227"/>
      <c r="M277" s="226"/>
      <c r="N277" s="227"/>
      <c r="O277" s="226">
        <v>1</v>
      </c>
      <c r="P277" s="227"/>
      <c r="Q277" s="226"/>
      <c r="R277" s="227"/>
      <c r="S277" s="226"/>
      <c r="T277" s="227"/>
      <c r="U277" s="226"/>
      <c r="V277" s="227"/>
      <c r="W277" s="223">
        <f t="shared" si="25"/>
        <v>25.41</v>
      </c>
      <c r="X277" s="224"/>
      <c r="Y277" s="225"/>
      <c r="Z277" s="223">
        <f t="shared" si="26"/>
        <v>3.9131399999999998</v>
      </c>
      <c r="AA277" s="224"/>
      <c r="AB277" s="225"/>
      <c r="AC277" s="51"/>
      <c r="AD277" s="52"/>
      <c r="AE277" s="53"/>
      <c r="AF277" s="51"/>
      <c r="AG277" s="52"/>
      <c r="AH277" s="54"/>
    </row>
    <row r="278" spans="1:34" ht="15.75" x14ac:dyDescent="0.25">
      <c r="A278" s="197"/>
      <c r="B278" s="198"/>
      <c r="C278" s="199"/>
      <c r="D278" s="220" t="s">
        <v>734</v>
      </c>
      <c r="E278" s="221"/>
      <c r="F278" s="221"/>
      <c r="G278" s="221"/>
      <c r="H278" s="221"/>
      <c r="I278" s="222"/>
      <c r="J278" s="63"/>
      <c r="K278" s="226">
        <f>((29*0.77)+(13*0.77))</f>
        <v>32.340000000000003</v>
      </c>
      <c r="L278" s="227"/>
      <c r="M278" s="226"/>
      <c r="N278" s="227"/>
      <c r="O278" s="226">
        <v>1</v>
      </c>
      <c r="P278" s="227"/>
      <c r="Q278" s="226"/>
      <c r="R278" s="227"/>
      <c r="S278" s="226"/>
      <c r="T278" s="227"/>
      <c r="U278" s="226"/>
      <c r="V278" s="227"/>
      <c r="W278" s="223">
        <f t="shared" si="25"/>
        <v>32.340000000000003</v>
      </c>
      <c r="X278" s="224"/>
      <c r="Y278" s="225"/>
      <c r="Z278" s="223">
        <f t="shared" si="26"/>
        <v>4.9803600000000001</v>
      </c>
      <c r="AA278" s="224"/>
      <c r="AB278" s="225"/>
      <c r="AC278" s="51"/>
      <c r="AD278" s="52"/>
      <c r="AE278" s="53"/>
      <c r="AF278" s="51"/>
      <c r="AG278" s="52"/>
      <c r="AH278" s="54"/>
    </row>
    <row r="279" spans="1:34" ht="15.75" x14ac:dyDescent="0.25">
      <c r="A279" s="197"/>
      <c r="B279" s="198"/>
      <c r="C279" s="199"/>
      <c r="D279" s="220" t="s">
        <v>735</v>
      </c>
      <c r="E279" s="221"/>
      <c r="F279" s="221"/>
      <c r="G279" s="221"/>
      <c r="H279" s="221"/>
      <c r="I279" s="222"/>
      <c r="J279" s="63"/>
      <c r="K279" s="226">
        <f>29*0.77</f>
        <v>22.330000000000002</v>
      </c>
      <c r="L279" s="227"/>
      <c r="M279" s="226"/>
      <c r="N279" s="227"/>
      <c r="O279" s="226">
        <v>1</v>
      </c>
      <c r="P279" s="227"/>
      <c r="Q279" s="202"/>
      <c r="R279" s="199"/>
      <c r="S279" s="202"/>
      <c r="T279" s="199"/>
      <c r="U279" s="202"/>
      <c r="V279" s="199"/>
      <c r="W279" s="223">
        <f t="shared" si="25"/>
        <v>22.330000000000002</v>
      </c>
      <c r="X279" s="224"/>
      <c r="Y279" s="225"/>
      <c r="Z279" s="223">
        <f t="shared" si="26"/>
        <v>3.4388200000000002</v>
      </c>
      <c r="AA279" s="224"/>
      <c r="AB279" s="225"/>
      <c r="AC279" s="51"/>
      <c r="AD279" s="52"/>
      <c r="AE279" s="53"/>
      <c r="AF279" s="51"/>
      <c r="AG279" s="52"/>
      <c r="AH279" s="54"/>
    </row>
    <row r="280" spans="1:34" ht="15.75" x14ac:dyDescent="0.25">
      <c r="A280" s="197"/>
      <c r="B280" s="198"/>
      <c r="C280" s="199"/>
      <c r="D280" s="220" t="s">
        <v>736</v>
      </c>
      <c r="E280" s="221"/>
      <c r="F280" s="221"/>
      <c r="G280" s="221"/>
      <c r="H280" s="221"/>
      <c r="I280" s="222"/>
      <c r="J280" s="63"/>
      <c r="K280" s="226">
        <f>29*0.77</f>
        <v>22.330000000000002</v>
      </c>
      <c r="L280" s="227"/>
      <c r="M280" s="226"/>
      <c r="N280" s="227"/>
      <c r="O280" s="226">
        <v>1</v>
      </c>
      <c r="P280" s="227"/>
      <c r="Q280" s="226"/>
      <c r="R280" s="227"/>
      <c r="S280" s="226"/>
      <c r="T280" s="227"/>
      <c r="U280" s="226"/>
      <c r="V280" s="227"/>
      <c r="W280" s="223">
        <f t="shared" si="25"/>
        <v>22.330000000000002</v>
      </c>
      <c r="X280" s="224"/>
      <c r="Y280" s="225"/>
      <c r="Z280" s="223">
        <f t="shared" si="26"/>
        <v>3.4388200000000002</v>
      </c>
      <c r="AA280" s="224"/>
      <c r="AB280" s="225"/>
      <c r="AC280" s="51"/>
      <c r="AD280" s="52"/>
      <c r="AE280" s="53"/>
      <c r="AF280" s="51"/>
      <c r="AG280" s="52"/>
      <c r="AH280" s="54"/>
    </row>
    <row r="281" spans="1:34" ht="15.75" x14ac:dyDescent="0.25">
      <c r="A281" s="197"/>
      <c r="B281" s="198"/>
      <c r="C281" s="199"/>
      <c r="D281" s="220" t="s">
        <v>737</v>
      </c>
      <c r="E281" s="221"/>
      <c r="F281" s="221"/>
      <c r="G281" s="221"/>
      <c r="H281" s="221"/>
      <c r="I281" s="222"/>
      <c r="J281" s="63"/>
      <c r="K281" s="226">
        <f>((29*0.77)+(13*0.77))</f>
        <v>32.340000000000003</v>
      </c>
      <c r="L281" s="227"/>
      <c r="M281" s="226"/>
      <c r="N281" s="227"/>
      <c r="O281" s="226">
        <v>1</v>
      </c>
      <c r="P281" s="227"/>
      <c r="Q281" s="226"/>
      <c r="R281" s="227"/>
      <c r="S281" s="226"/>
      <c r="T281" s="227"/>
      <c r="U281" s="226"/>
      <c r="V281" s="227"/>
      <c r="W281" s="223">
        <f t="shared" si="25"/>
        <v>32.340000000000003</v>
      </c>
      <c r="X281" s="224"/>
      <c r="Y281" s="225"/>
      <c r="Z281" s="223">
        <f t="shared" si="26"/>
        <v>4.9803600000000001</v>
      </c>
      <c r="AA281" s="224"/>
      <c r="AB281" s="225"/>
      <c r="AC281" s="51"/>
      <c r="AD281" s="52"/>
      <c r="AE281" s="53"/>
      <c r="AF281" s="51"/>
      <c r="AG281" s="52"/>
      <c r="AH281" s="54"/>
    </row>
    <row r="282" spans="1:34" ht="15.75" x14ac:dyDescent="0.25">
      <c r="A282" s="197"/>
      <c r="B282" s="198"/>
      <c r="C282" s="199"/>
      <c r="D282" s="220" t="s">
        <v>738</v>
      </c>
      <c r="E282" s="221"/>
      <c r="F282" s="221"/>
      <c r="G282" s="221"/>
      <c r="H282" s="221"/>
      <c r="I282" s="222"/>
      <c r="J282" s="63"/>
      <c r="K282" s="226">
        <f>((29*0.77)+(13*0.77))</f>
        <v>32.340000000000003</v>
      </c>
      <c r="L282" s="227"/>
      <c r="M282" s="226"/>
      <c r="N282" s="227"/>
      <c r="O282" s="226">
        <v>1</v>
      </c>
      <c r="P282" s="227"/>
      <c r="Q282" s="226"/>
      <c r="R282" s="227"/>
      <c r="S282" s="226"/>
      <c r="T282" s="227"/>
      <c r="U282" s="226"/>
      <c r="V282" s="227"/>
      <c r="W282" s="223">
        <f t="shared" si="25"/>
        <v>32.340000000000003</v>
      </c>
      <c r="X282" s="224"/>
      <c r="Y282" s="225"/>
      <c r="Z282" s="223">
        <f t="shared" si="26"/>
        <v>4.9803600000000001</v>
      </c>
      <c r="AA282" s="224"/>
      <c r="AB282" s="225"/>
      <c r="AC282" s="51"/>
      <c r="AD282" s="52"/>
      <c r="AE282" s="53"/>
      <c r="AF282" s="51"/>
      <c r="AG282" s="52"/>
      <c r="AH282" s="54"/>
    </row>
    <row r="283" spans="1:34" ht="15.75" x14ac:dyDescent="0.25">
      <c r="A283" s="197"/>
      <c r="B283" s="198"/>
      <c r="C283" s="199"/>
      <c r="D283" s="220" t="s">
        <v>739</v>
      </c>
      <c r="E283" s="221"/>
      <c r="F283" s="221"/>
      <c r="G283" s="221"/>
      <c r="H283" s="221"/>
      <c r="I283" s="222"/>
      <c r="J283" s="63"/>
      <c r="K283" s="226">
        <f>29*0.77</f>
        <v>22.330000000000002</v>
      </c>
      <c r="L283" s="227"/>
      <c r="M283" s="226"/>
      <c r="N283" s="227"/>
      <c r="O283" s="226">
        <v>1</v>
      </c>
      <c r="P283" s="227"/>
      <c r="Q283" s="226"/>
      <c r="R283" s="227"/>
      <c r="S283" s="226"/>
      <c r="T283" s="227"/>
      <c r="U283" s="226"/>
      <c r="V283" s="227"/>
      <c r="W283" s="223">
        <f t="shared" si="25"/>
        <v>22.330000000000002</v>
      </c>
      <c r="X283" s="224"/>
      <c r="Y283" s="225"/>
      <c r="Z283" s="223">
        <f t="shared" si="26"/>
        <v>3.4388200000000002</v>
      </c>
      <c r="AA283" s="224"/>
      <c r="AB283" s="225"/>
      <c r="AC283" s="51"/>
      <c r="AD283" s="52"/>
      <c r="AE283" s="53"/>
      <c r="AF283" s="51"/>
      <c r="AG283" s="52"/>
      <c r="AH283" s="54"/>
    </row>
    <row r="284" spans="1:34" ht="15.75" x14ac:dyDescent="0.25">
      <c r="A284" s="197"/>
      <c r="B284" s="198"/>
      <c r="C284" s="199"/>
      <c r="D284" s="220" t="s">
        <v>740</v>
      </c>
      <c r="E284" s="221"/>
      <c r="F284" s="221"/>
      <c r="G284" s="221"/>
      <c r="H284" s="221"/>
      <c r="I284" s="222"/>
      <c r="J284" s="63"/>
      <c r="K284" s="226">
        <f>29*0.77</f>
        <v>22.330000000000002</v>
      </c>
      <c r="L284" s="227"/>
      <c r="M284" s="226"/>
      <c r="N284" s="227"/>
      <c r="O284" s="226">
        <v>1</v>
      </c>
      <c r="P284" s="227"/>
      <c r="Q284" s="226"/>
      <c r="R284" s="227"/>
      <c r="S284" s="226"/>
      <c r="T284" s="227"/>
      <c r="U284" s="226"/>
      <c r="V284" s="227"/>
      <c r="W284" s="223">
        <f t="shared" si="25"/>
        <v>22.330000000000002</v>
      </c>
      <c r="X284" s="224"/>
      <c r="Y284" s="225"/>
      <c r="Z284" s="223">
        <f t="shared" si="26"/>
        <v>3.4388200000000002</v>
      </c>
      <c r="AA284" s="224"/>
      <c r="AB284" s="225"/>
      <c r="AC284" s="51"/>
      <c r="AD284" s="52"/>
      <c r="AE284" s="53"/>
      <c r="AF284" s="51"/>
      <c r="AG284" s="52"/>
      <c r="AH284" s="54"/>
    </row>
    <row r="285" spans="1:34" ht="15.75" x14ac:dyDescent="0.25">
      <c r="A285" s="197"/>
      <c r="B285" s="198"/>
      <c r="C285" s="199"/>
      <c r="D285" s="220" t="s">
        <v>741</v>
      </c>
      <c r="E285" s="221"/>
      <c r="F285" s="221"/>
      <c r="G285" s="221"/>
      <c r="H285" s="221"/>
      <c r="I285" s="222"/>
      <c r="J285" s="63"/>
      <c r="K285" s="226">
        <f>29*0.77</f>
        <v>22.330000000000002</v>
      </c>
      <c r="L285" s="227"/>
      <c r="M285" s="226"/>
      <c r="N285" s="227"/>
      <c r="O285" s="226">
        <v>1</v>
      </c>
      <c r="P285" s="227"/>
      <c r="Q285" s="226"/>
      <c r="R285" s="227"/>
      <c r="S285" s="226"/>
      <c r="T285" s="227"/>
      <c r="U285" s="226"/>
      <c r="V285" s="227"/>
      <c r="W285" s="223">
        <f t="shared" si="25"/>
        <v>22.330000000000002</v>
      </c>
      <c r="X285" s="224"/>
      <c r="Y285" s="225"/>
      <c r="Z285" s="223">
        <f t="shared" si="26"/>
        <v>3.4388200000000002</v>
      </c>
      <c r="AA285" s="224"/>
      <c r="AB285" s="225"/>
      <c r="AC285" s="51"/>
      <c r="AD285" s="52"/>
      <c r="AE285" s="53"/>
      <c r="AF285" s="51"/>
      <c r="AG285" s="52"/>
      <c r="AH285" s="54"/>
    </row>
    <row r="286" spans="1:34" ht="15.75" x14ac:dyDescent="0.25">
      <c r="A286" s="197"/>
      <c r="B286" s="198"/>
      <c r="C286" s="199"/>
      <c r="D286" s="220" t="s">
        <v>742</v>
      </c>
      <c r="E286" s="221"/>
      <c r="F286" s="221"/>
      <c r="G286" s="221"/>
      <c r="H286" s="221"/>
      <c r="I286" s="222"/>
      <c r="J286" s="63"/>
      <c r="K286" s="226">
        <f>29*0.77</f>
        <v>22.330000000000002</v>
      </c>
      <c r="L286" s="227"/>
      <c r="M286" s="226"/>
      <c r="N286" s="227"/>
      <c r="O286" s="226">
        <v>1</v>
      </c>
      <c r="P286" s="227"/>
      <c r="Q286" s="226"/>
      <c r="R286" s="227"/>
      <c r="S286" s="226"/>
      <c r="T286" s="227"/>
      <c r="U286" s="226"/>
      <c r="V286" s="227"/>
      <c r="W286" s="223">
        <f t="shared" si="25"/>
        <v>22.330000000000002</v>
      </c>
      <c r="X286" s="224"/>
      <c r="Y286" s="225"/>
      <c r="Z286" s="223">
        <f t="shared" si="26"/>
        <v>3.4388200000000002</v>
      </c>
      <c r="AA286" s="224"/>
      <c r="AB286" s="225"/>
      <c r="AC286" s="51"/>
      <c r="AD286" s="52"/>
      <c r="AE286" s="53"/>
      <c r="AF286" s="51"/>
      <c r="AG286" s="52"/>
      <c r="AH286" s="54"/>
    </row>
    <row r="287" spans="1:34" ht="15.75" x14ac:dyDescent="0.25">
      <c r="A287" s="197"/>
      <c r="B287" s="198"/>
      <c r="C287" s="199"/>
      <c r="D287" s="220" t="s">
        <v>743</v>
      </c>
      <c r="E287" s="221"/>
      <c r="F287" s="221"/>
      <c r="G287" s="221"/>
      <c r="H287" s="221"/>
      <c r="I287" s="222"/>
      <c r="J287" s="63"/>
      <c r="K287" s="226">
        <f>29*0.77</f>
        <v>22.330000000000002</v>
      </c>
      <c r="L287" s="227"/>
      <c r="M287" s="226"/>
      <c r="N287" s="227"/>
      <c r="O287" s="226">
        <v>1</v>
      </c>
      <c r="P287" s="227"/>
      <c r="Q287" s="202"/>
      <c r="R287" s="199"/>
      <c r="S287" s="202"/>
      <c r="T287" s="199"/>
      <c r="U287" s="202"/>
      <c r="V287" s="199"/>
      <c r="W287" s="223">
        <f t="shared" si="25"/>
        <v>22.330000000000002</v>
      </c>
      <c r="X287" s="224"/>
      <c r="Y287" s="225"/>
      <c r="Z287" s="223">
        <f t="shared" si="26"/>
        <v>3.4388200000000002</v>
      </c>
      <c r="AA287" s="224"/>
      <c r="AB287" s="225"/>
      <c r="AC287" s="51"/>
      <c r="AD287" s="52"/>
      <c r="AE287" s="53"/>
      <c r="AF287" s="51"/>
      <c r="AG287" s="52"/>
      <c r="AH287" s="54"/>
    </row>
    <row r="288" spans="1:34" ht="15.75" x14ac:dyDescent="0.25">
      <c r="A288" s="197"/>
      <c r="B288" s="198"/>
      <c r="C288" s="199"/>
      <c r="D288" s="220" t="s">
        <v>744</v>
      </c>
      <c r="E288" s="221"/>
      <c r="F288" s="221"/>
      <c r="G288" s="221"/>
      <c r="H288" s="221"/>
      <c r="I288" s="222"/>
      <c r="J288" s="63"/>
      <c r="K288" s="226">
        <f>((29*0.77)+(13*0.77))</f>
        <v>32.340000000000003</v>
      </c>
      <c r="L288" s="227"/>
      <c r="M288" s="226"/>
      <c r="N288" s="227"/>
      <c r="O288" s="226">
        <v>1</v>
      </c>
      <c r="P288" s="227"/>
      <c r="Q288" s="226"/>
      <c r="R288" s="227"/>
      <c r="S288" s="226"/>
      <c r="T288" s="227"/>
      <c r="U288" s="226"/>
      <c r="V288" s="227"/>
      <c r="W288" s="223">
        <f t="shared" si="25"/>
        <v>32.340000000000003</v>
      </c>
      <c r="X288" s="224"/>
      <c r="Y288" s="225"/>
      <c r="Z288" s="223">
        <f t="shared" si="26"/>
        <v>4.9803600000000001</v>
      </c>
      <c r="AA288" s="224"/>
      <c r="AB288" s="225"/>
      <c r="AC288" s="51"/>
      <c r="AD288" s="52"/>
      <c r="AE288" s="53"/>
      <c r="AF288" s="51"/>
      <c r="AG288" s="52"/>
      <c r="AH288" s="54"/>
    </row>
    <row r="289" spans="1:35" ht="15.75" x14ac:dyDescent="0.25">
      <c r="A289" s="197"/>
      <c r="B289" s="198"/>
      <c r="C289" s="199"/>
      <c r="D289" s="220" t="s">
        <v>745</v>
      </c>
      <c r="E289" s="221"/>
      <c r="F289" s="221"/>
      <c r="G289" s="221"/>
      <c r="H289" s="221"/>
      <c r="I289" s="222"/>
      <c r="J289" s="63"/>
      <c r="K289" s="226">
        <f>29*0.77</f>
        <v>22.330000000000002</v>
      </c>
      <c r="L289" s="227"/>
      <c r="M289" s="226"/>
      <c r="N289" s="227"/>
      <c r="O289" s="226">
        <v>1</v>
      </c>
      <c r="P289" s="227"/>
      <c r="Q289" s="226"/>
      <c r="R289" s="227"/>
      <c r="S289" s="226"/>
      <c r="T289" s="227"/>
      <c r="U289" s="226"/>
      <c r="V289" s="227"/>
      <c r="W289" s="223">
        <f t="shared" si="25"/>
        <v>22.330000000000002</v>
      </c>
      <c r="X289" s="224"/>
      <c r="Y289" s="225"/>
      <c r="Z289" s="223">
        <f t="shared" si="26"/>
        <v>3.4388200000000002</v>
      </c>
      <c r="AA289" s="224"/>
      <c r="AB289" s="225"/>
      <c r="AC289" s="51"/>
      <c r="AD289" s="52"/>
      <c r="AE289" s="53"/>
      <c r="AF289" s="51"/>
      <c r="AG289" s="52"/>
      <c r="AH289" s="54"/>
    </row>
    <row r="290" spans="1:35" ht="15.75" x14ac:dyDescent="0.25">
      <c r="A290" s="197"/>
      <c r="B290" s="198"/>
      <c r="C290" s="199"/>
      <c r="D290" s="220" t="s">
        <v>746</v>
      </c>
      <c r="E290" s="221"/>
      <c r="F290" s="221"/>
      <c r="G290" s="221"/>
      <c r="H290" s="221"/>
      <c r="I290" s="222"/>
      <c r="J290" s="63"/>
      <c r="K290" s="226">
        <f>29*0.77</f>
        <v>22.330000000000002</v>
      </c>
      <c r="L290" s="227"/>
      <c r="M290" s="226"/>
      <c r="N290" s="227"/>
      <c r="O290" s="226">
        <v>1</v>
      </c>
      <c r="P290" s="227"/>
      <c r="Q290" s="226"/>
      <c r="R290" s="227"/>
      <c r="S290" s="226"/>
      <c r="T290" s="227"/>
      <c r="U290" s="226"/>
      <c r="V290" s="227"/>
      <c r="W290" s="223">
        <f t="shared" si="25"/>
        <v>22.330000000000002</v>
      </c>
      <c r="X290" s="224"/>
      <c r="Y290" s="225"/>
      <c r="Z290" s="223">
        <f t="shared" si="26"/>
        <v>3.4388200000000002</v>
      </c>
      <c r="AA290" s="224"/>
      <c r="AB290" s="225"/>
      <c r="AC290" s="51"/>
      <c r="AD290" s="52"/>
      <c r="AE290" s="53"/>
      <c r="AF290" s="51"/>
      <c r="AG290" s="52"/>
      <c r="AH290" s="54"/>
    </row>
    <row r="291" spans="1:35" ht="15.75" x14ac:dyDescent="0.25">
      <c r="A291" s="197"/>
      <c r="B291" s="198"/>
      <c r="C291" s="199"/>
      <c r="D291" s="220" t="s">
        <v>747</v>
      </c>
      <c r="E291" s="221"/>
      <c r="F291" s="221"/>
      <c r="G291" s="221"/>
      <c r="H291" s="221"/>
      <c r="I291" s="222"/>
      <c r="J291" s="63"/>
      <c r="K291" s="226">
        <f>29*0.77</f>
        <v>22.330000000000002</v>
      </c>
      <c r="L291" s="227"/>
      <c r="M291" s="226"/>
      <c r="N291" s="227"/>
      <c r="O291" s="226">
        <v>1</v>
      </c>
      <c r="P291" s="227"/>
      <c r="Q291" s="226"/>
      <c r="R291" s="227"/>
      <c r="S291" s="226"/>
      <c r="T291" s="227"/>
      <c r="U291" s="226"/>
      <c r="V291" s="227"/>
      <c r="W291" s="223">
        <f t="shared" si="25"/>
        <v>22.330000000000002</v>
      </c>
      <c r="X291" s="224"/>
      <c r="Y291" s="225"/>
      <c r="Z291" s="223">
        <f t="shared" si="26"/>
        <v>3.4388200000000002</v>
      </c>
      <c r="AA291" s="224"/>
      <c r="AB291" s="225"/>
      <c r="AC291" s="51"/>
      <c r="AD291" s="52"/>
      <c r="AE291" s="53"/>
      <c r="AF291" s="51"/>
      <c r="AG291" s="52"/>
      <c r="AH291" s="54"/>
    </row>
    <row r="292" spans="1:35" ht="15.75" x14ac:dyDescent="0.25">
      <c r="A292" s="197"/>
      <c r="B292" s="198"/>
      <c r="C292" s="199"/>
      <c r="D292" s="220" t="s">
        <v>748</v>
      </c>
      <c r="E292" s="221"/>
      <c r="F292" s="221"/>
      <c r="G292" s="221"/>
      <c r="H292" s="221"/>
      <c r="I292" s="222"/>
      <c r="J292" s="63"/>
      <c r="K292" s="226">
        <f t="shared" ref="K292:K297" si="27">((29*0.77)+(13*0.77))</f>
        <v>32.340000000000003</v>
      </c>
      <c r="L292" s="227"/>
      <c r="M292" s="226"/>
      <c r="N292" s="227"/>
      <c r="O292" s="226">
        <v>1</v>
      </c>
      <c r="P292" s="227"/>
      <c r="Q292" s="226"/>
      <c r="R292" s="227"/>
      <c r="S292" s="226"/>
      <c r="T292" s="227"/>
      <c r="U292" s="226"/>
      <c r="V292" s="227"/>
      <c r="W292" s="223">
        <f t="shared" si="25"/>
        <v>32.340000000000003</v>
      </c>
      <c r="X292" s="224"/>
      <c r="Y292" s="225"/>
      <c r="Z292" s="223">
        <f t="shared" si="26"/>
        <v>4.9803600000000001</v>
      </c>
      <c r="AA292" s="224"/>
      <c r="AB292" s="225"/>
      <c r="AC292" s="51"/>
      <c r="AD292" s="52"/>
      <c r="AE292" s="53"/>
      <c r="AF292" s="51"/>
      <c r="AG292" s="52"/>
      <c r="AH292" s="54"/>
    </row>
    <row r="293" spans="1:35" ht="15.75" x14ac:dyDescent="0.25">
      <c r="A293" s="197"/>
      <c r="B293" s="198"/>
      <c r="C293" s="199"/>
      <c r="D293" s="220" t="s">
        <v>749</v>
      </c>
      <c r="E293" s="221"/>
      <c r="F293" s="221"/>
      <c r="G293" s="221"/>
      <c r="H293" s="221"/>
      <c r="I293" s="222"/>
      <c r="J293" s="63"/>
      <c r="K293" s="226">
        <f t="shared" si="27"/>
        <v>32.340000000000003</v>
      </c>
      <c r="L293" s="227"/>
      <c r="M293" s="226"/>
      <c r="N293" s="227"/>
      <c r="O293" s="226">
        <v>1</v>
      </c>
      <c r="P293" s="227"/>
      <c r="Q293" s="226"/>
      <c r="R293" s="227"/>
      <c r="S293" s="226"/>
      <c r="T293" s="227"/>
      <c r="U293" s="226"/>
      <c r="V293" s="227"/>
      <c r="W293" s="223">
        <f t="shared" si="25"/>
        <v>32.340000000000003</v>
      </c>
      <c r="X293" s="224"/>
      <c r="Y293" s="225"/>
      <c r="Z293" s="223">
        <f t="shared" si="26"/>
        <v>4.9803600000000001</v>
      </c>
      <c r="AA293" s="224"/>
      <c r="AB293" s="225"/>
      <c r="AC293" s="51"/>
      <c r="AD293" s="52"/>
      <c r="AE293" s="53"/>
      <c r="AF293" s="51"/>
      <c r="AG293" s="52"/>
      <c r="AH293" s="54"/>
    </row>
    <row r="294" spans="1:35" ht="15.75" x14ac:dyDescent="0.25">
      <c r="A294" s="197"/>
      <c r="B294" s="198"/>
      <c r="C294" s="199"/>
      <c r="D294" s="220" t="s">
        <v>750</v>
      </c>
      <c r="E294" s="221"/>
      <c r="F294" s="221"/>
      <c r="G294" s="221"/>
      <c r="H294" s="221"/>
      <c r="I294" s="222"/>
      <c r="J294" s="63"/>
      <c r="K294" s="226">
        <f t="shared" si="27"/>
        <v>32.340000000000003</v>
      </c>
      <c r="L294" s="227"/>
      <c r="M294" s="226"/>
      <c r="N294" s="227"/>
      <c r="O294" s="226">
        <v>1</v>
      </c>
      <c r="P294" s="227"/>
      <c r="Q294" s="226"/>
      <c r="R294" s="227"/>
      <c r="S294" s="226"/>
      <c r="T294" s="227"/>
      <c r="U294" s="226"/>
      <c r="V294" s="227"/>
      <c r="W294" s="223">
        <f t="shared" si="25"/>
        <v>32.340000000000003</v>
      </c>
      <c r="X294" s="224"/>
      <c r="Y294" s="225"/>
      <c r="Z294" s="223">
        <f t="shared" si="26"/>
        <v>4.9803600000000001</v>
      </c>
      <c r="AA294" s="224"/>
      <c r="AB294" s="225"/>
      <c r="AC294" s="51"/>
      <c r="AD294" s="52"/>
      <c r="AE294" s="53"/>
      <c r="AF294" s="51"/>
      <c r="AG294" s="52"/>
      <c r="AH294" s="54"/>
    </row>
    <row r="295" spans="1:35" ht="15.75" x14ac:dyDescent="0.25">
      <c r="A295" s="197"/>
      <c r="B295" s="198"/>
      <c r="C295" s="199"/>
      <c r="D295" s="220" t="s">
        <v>751</v>
      </c>
      <c r="E295" s="221"/>
      <c r="F295" s="221"/>
      <c r="G295" s="221"/>
      <c r="H295" s="221"/>
      <c r="I295" s="222"/>
      <c r="J295" s="63"/>
      <c r="K295" s="226">
        <f t="shared" si="27"/>
        <v>32.340000000000003</v>
      </c>
      <c r="L295" s="227"/>
      <c r="M295" s="226"/>
      <c r="N295" s="227"/>
      <c r="O295" s="226">
        <v>1</v>
      </c>
      <c r="P295" s="227"/>
      <c r="Q295" s="202"/>
      <c r="R295" s="199"/>
      <c r="S295" s="202"/>
      <c r="T295" s="199"/>
      <c r="U295" s="202"/>
      <c r="V295" s="199"/>
      <c r="W295" s="223">
        <f t="shared" si="25"/>
        <v>32.340000000000003</v>
      </c>
      <c r="X295" s="224"/>
      <c r="Y295" s="225"/>
      <c r="Z295" s="223">
        <f t="shared" si="26"/>
        <v>4.9803600000000001</v>
      </c>
      <c r="AA295" s="224"/>
      <c r="AB295" s="225"/>
      <c r="AC295" s="51"/>
      <c r="AD295" s="52"/>
      <c r="AE295" s="53"/>
      <c r="AF295" s="51"/>
      <c r="AG295" s="52"/>
      <c r="AH295" s="54"/>
    </row>
    <row r="296" spans="1:35" ht="15.75" x14ac:dyDescent="0.25">
      <c r="A296" s="197"/>
      <c r="B296" s="198"/>
      <c r="C296" s="199"/>
      <c r="D296" s="220" t="s">
        <v>752</v>
      </c>
      <c r="E296" s="221"/>
      <c r="F296" s="221"/>
      <c r="G296" s="221"/>
      <c r="H296" s="221"/>
      <c r="I296" s="222"/>
      <c r="J296" s="63"/>
      <c r="K296" s="226">
        <f t="shared" si="27"/>
        <v>32.340000000000003</v>
      </c>
      <c r="L296" s="227"/>
      <c r="M296" s="226"/>
      <c r="N296" s="227"/>
      <c r="O296" s="226">
        <v>1</v>
      </c>
      <c r="P296" s="227"/>
      <c r="Q296" s="226"/>
      <c r="R296" s="227"/>
      <c r="S296" s="226"/>
      <c r="T296" s="227"/>
      <c r="U296" s="226"/>
      <c r="V296" s="227"/>
      <c r="W296" s="223">
        <f t="shared" si="25"/>
        <v>32.340000000000003</v>
      </c>
      <c r="X296" s="224"/>
      <c r="Y296" s="225"/>
      <c r="Z296" s="223">
        <f t="shared" si="26"/>
        <v>4.9803600000000001</v>
      </c>
      <c r="AA296" s="224"/>
      <c r="AB296" s="225"/>
      <c r="AC296" s="51"/>
      <c r="AD296" s="52"/>
      <c r="AE296" s="53"/>
      <c r="AF296" s="51"/>
      <c r="AG296" s="52"/>
      <c r="AH296" s="54"/>
    </row>
    <row r="297" spans="1:35" ht="15.75" x14ac:dyDescent="0.25">
      <c r="A297" s="197"/>
      <c r="B297" s="198"/>
      <c r="C297" s="199"/>
      <c r="D297" s="220" t="s">
        <v>753</v>
      </c>
      <c r="E297" s="221"/>
      <c r="F297" s="221"/>
      <c r="G297" s="221"/>
      <c r="H297" s="221"/>
      <c r="I297" s="222"/>
      <c r="J297" s="63"/>
      <c r="K297" s="226">
        <f t="shared" si="27"/>
        <v>32.340000000000003</v>
      </c>
      <c r="L297" s="227"/>
      <c r="M297" s="226"/>
      <c r="N297" s="227"/>
      <c r="O297" s="226">
        <v>1</v>
      </c>
      <c r="P297" s="227"/>
      <c r="Q297" s="226"/>
      <c r="R297" s="227"/>
      <c r="S297" s="226"/>
      <c r="T297" s="227"/>
      <c r="U297" s="226"/>
      <c r="V297" s="227"/>
      <c r="W297" s="223">
        <f t="shared" si="25"/>
        <v>32.340000000000003</v>
      </c>
      <c r="X297" s="224"/>
      <c r="Y297" s="225"/>
      <c r="Z297" s="223">
        <f t="shared" si="26"/>
        <v>4.9803600000000001</v>
      </c>
      <c r="AA297" s="224"/>
      <c r="AB297" s="225"/>
      <c r="AC297" s="51"/>
      <c r="AD297" s="52"/>
      <c r="AE297" s="53"/>
      <c r="AF297" s="51"/>
      <c r="AG297" s="52"/>
      <c r="AH297" s="54"/>
    </row>
    <row r="298" spans="1:35" ht="15.75" x14ac:dyDescent="0.25">
      <c r="A298" s="197"/>
      <c r="B298" s="198"/>
      <c r="C298" s="199"/>
      <c r="D298" s="220" t="s">
        <v>754</v>
      </c>
      <c r="E298" s="221"/>
      <c r="F298" s="221"/>
      <c r="G298" s="221"/>
      <c r="H298" s="221"/>
      <c r="I298" s="222"/>
      <c r="J298" s="63"/>
      <c r="K298" s="226">
        <f>((29*0.29)+(29*0.87)+(13*0.29)+(13*0.87))</f>
        <v>48.72</v>
      </c>
      <c r="L298" s="227"/>
      <c r="M298" s="226"/>
      <c r="N298" s="227"/>
      <c r="O298" s="226">
        <v>1</v>
      </c>
      <c r="P298" s="227"/>
      <c r="Q298" s="226"/>
      <c r="R298" s="227"/>
      <c r="S298" s="226"/>
      <c r="T298" s="227"/>
      <c r="U298" s="226"/>
      <c r="V298" s="227"/>
      <c r="W298" s="223">
        <f t="shared" si="25"/>
        <v>48.72</v>
      </c>
      <c r="X298" s="224"/>
      <c r="Y298" s="225"/>
      <c r="Z298" s="223">
        <f t="shared" si="26"/>
        <v>7.5028799999999993</v>
      </c>
      <c r="AA298" s="224"/>
      <c r="AB298" s="225"/>
      <c r="AC298" s="51"/>
      <c r="AD298" s="52"/>
      <c r="AE298" s="53"/>
      <c r="AF298" s="51"/>
      <c r="AG298" s="52"/>
      <c r="AH298" s="54"/>
    </row>
    <row r="299" spans="1:35" ht="15.75" x14ac:dyDescent="0.25">
      <c r="A299" s="197"/>
      <c r="B299" s="198"/>
      <c r="C299" s="199"/>
      <c r="D299" s="220" t="s">
        <v>755</v>
      </c>
      <c r="E299" s="221"/>
      <c r="F299" s="221"/>
      <c r="G299" s="221"/>
      <c r="H299" s="221"/>
      <c r="I299" s="222"/>
      <c r="J299" s="63"/>
      <c r="K299" s="226">
        <f>((29*0.29)+(29*0.87)+(13*0.29)+(13*0.87))</f>
        <v>48.72</v>
      </c>
      <c r="L299" s="227"/>
      <c r="M299" s="226"/>
      <c r="N299" s="227"/>
      <c r="O299" s="226">
        <v>1</v>
      </c>
      <c r="P299" s="227"/>
      <c r="Q299" s="226"/>
      <c r="R299" s="227"/>
      <c r="S299" s="226"/>
      <c r="T299" s="227"/>
      <c r="U299" s="226"/>
      <c r="V299" s="227"/>
      <c r="W299" s="223">
        <f t="shared" si="25"/>
        <v>48.72</v>
      </c>
      <c r="X299" s="224"/>
      <c r="Y299" s="225"/>
      <c r="Z299" s="223">
        <f t="shared" si="26"/>
        <v>7.5028799999999993</v>
      </c>
      <c r="AA299" s="224"/>
      <c r="AB299" s="225"/>
      <c r="AC299" s="51"/>
      <c r="AD299" s="52"/>
      <c r="AE299" s="53"/>
      <c r="AF299" s="51"/>
      <c r="AG299" s="52"/>
      <c r="AH299" s="54"/>
    </row>
    <row r="300" spans="1:35" ht="15.75" x14ac:dyDescent="0.25">
      <c r="A300" s="197"/>
      <c r="B300" s="198"/>
      <c r="C300" s="199"/>
      <c r="D300" s="220" t="s">
        <v>756</v>
      </c>
      <c r="E300" s="221"/>
      <c r="F300" s="221"/>
      <c r="G300" s="221"/>
      <c r="H300" s="221"/>
      <c r="I300" s="222"/>
      <c r="J300" s="63"/>
      <c r="K300" s="226">
        <f>((29*0.77)+(13*0.77))</f>
        <v>32.340000000000003</v>
      </c>
      <c r="L300" s="227"/>
      <c r="M300" s="226"/>
      <c r="N300" s="227"/>
      <c r="O300" s="226">
        <v>1</v>
      </c>
      <c r="P300" s="227"/>
      <c r="Q300" s="226"/>
      <c r="R300" s="227"/>
      <c r="S300" s="226"/>
      <c r="T300" s="227"/>
      <c r="U300" s="226"/>
      <c r="V300" s="227"/>
      <c r="W300" s="223">
        <f t="shared" si="25"/>
        <v>32.340000000000003</v>
      </c>
      <c r="X300" s="224"/>
      <c r="Y300" s="225"/>
      <c r="Z300" s="223">
        <f t="shared" si="26"/>
        <v>4.9803600000000001</v>
      </c>
      <c r="AA300" s="224"/>
      <c r="AB300" s="225"/>
      <c r="AC300" s="51"/>
      <c r="AD300" s="52"/>
      <c r="AE300" s="53"/>
      <c r="AF300" s="51"/>
      <c r="AG300" s="52"/>
      <c r="AH300" s="54"/>
    </row>
    <row r="301" spans="1:35" ht="15.75" x14ac:dyDescent="0.25">
      <c r="A301" s="197"/>
      <c r="B301" s="198"/>
      <c r="C301" s="199"/>
      <c r="D301" s="220" t="s">
        <v>757</v>
      </c>
      <c r="E301" s="221"/>
      <c r="F301" s="221"/>
      <c r="G301" s="221"/>
      <c r="H301" s="221"/>
      <c r="I301" s="222"/>
      <c r="J301" s="63"/>
      <c r="K301" s="226">
        <f>((29*0.77)+(13*0.77))</f>
        <v>32.340000000000003</v>
      </c>
      <c r="L301" s="227"/>
      <c r="M301" s="226"/>
      <c r="N301" s="227"/>
      <c r="O301" s="226">
        <v>1</v>
      </c>
      <c r="P301" s="227"/>
      <c r="Q301" s="226"/>
      <c r="R301" s="227"/>
      <c r="S301" s="226"/>
      <c r="T301" s="227"/>
      <c r="U301" s="226"/>
      <c r="V301" s="227"/>
      <c r="W301" s="223">
        <f t="shared" si="25"/>
        <v>32.340000000000003</v>
      </c>
      <c r="X301" s="224"/>
      <c r="Y301" s="225"/>
      <c r="Z301" s="223">
        <f t="shared" si="26"/>
        <v>4.9803600000000001</v>
      </c>
      <c r="AA301" s="224"/>
      <c r="AB301" s="225"/>
      <c r="AC301" s="51"/>
      <c r="AD301" s="52"/>
      <c r="AE301" s="53"/>
      <c r="AF301" s="51"/>
      <c r="AG301" s="52"/>
      <c r="AH301" s="54"/>
    </row>
    <row r="302" spans="1:35" ht="15.75" x14ac:dyDescent="0.25">
      <c r="A302" s="197"/>
      <c r="B302" s="198"/>
      <c r="C302" s="199"/>
      <c r="D302" s="220" t="s">
        <v>758</v>
      </c>
      <c r="E302" s="221"/>
      <c r="F302" s="221"/>
      <c r="G302" s="221"/>
      <c r="H302" s="221"/>
      <c r="I302" s="222"/>
      <c r="J302" s="63"/>
      <c r="K302" s="226">
        <f>((29*0.77)+(13*0.77))</f>
        <v>32.340000000000003</v>
      </c>
      <c r="L302" s="227"/>
      <c r="M302" s="226"/>
      <c r="N302" s="227"/>
      <c r="O302" s="226">
        <v>1</v>
      </c>
      <c r="P302" s="227"/>
      <c r="Q302" s="226"/>
      <c r="R302" s="227"/>
      <c r="S302" s="226"/>
      <c r="T302" s="227"/>
      <c r="U302" s="226"/>
      <c r="V302" s="227"/>
      <c r="W302" s="223">
        <f t="shared" si="25"/>
        <v>32.340000000000003</v>
      </c>
      <c r="X302" s="224"/>
      <c r="Y302" s="225"/>
      <c r="Z302" s="223">
        <f t="shared" si="26"/>
        <v>4.9803600000000001</v>
      </c>
      <c r="AA302" s="224"/>
      <c r="AB302" s="225"/>
      <c r="AC302" s="51"/>
      <c r="AD302" s="52"/>
      <c r="AE302" s="53"/>
      <c r="AF302" s="51"/>
      <c r="AG302" s="52"/>
      <c r="AH302" s="54"/>
    </row>
    <row r="303" spans="1:35" ht="15.75" x14ac:dyDescent="0.25">
      <c r="A303" s="197"/>
      <c r="B303" s="198"/>
      <c r="C303" s="199"/>
      <c r="D303" s="220" t="s">
        <v>759</v>
      </c>
      <c r="E303" s="221"/>
      <c r="F303" s="221"/>
      <c r="G303" s="221"/>
      <c r="H303" s="221"/>
      <c r="I303" s="222"/>
      <c r="J303" s="63"/>
      <c r="K303" s="226">
        <f>((29*0.77)+(13*0.77))</f>
        <v>32.340000000000003</v>
      </c>
      <c r="L303" s="227"/>
      <c r="M303" s="226"/>
      <c r="N303" s="227"/>
      <c r="O303" s="226">
        <v>1</v>
      </c>
      <c r="P303" s="227"/>
      <c r="Q303" s="202"/>
      <c r="R303" s="199"/>
      <c r="S303" s="202"/>
      <c r="T303" s="199"/>
      <c r="U303" s="202"/>
      <c r="V303" s="199"/>
      <c r="W303" s="223">
        <f t="shared" si="25"/>
        <v>32.340000000000003</v>
      </c>
      <c r="X303" s="224"/>
      <c r="Y303" s="225"/>
      <c r="Z303" s="223">
        <f t="shared" si="26"/>
        <v>4.9803600000000001</v>
      </c>
      <c r="AA303" s="224"/>
      <c r="AB303" s="225"/>
      <c r="AC303" s="51"/>
      <c r="AD303" s="52"/>
      <c r="AE303" s="53"/>
      <c r="AF303" s="51"/>
      <c r="AG303" s="52"/>
      <c r="AH303" s="54"/>
    </row>
    <row r="304" spans="1:35" ht="15.75" x14ac:dyDescent="0.25">
      <c r="A304" s="189" t="str">
        <f>'MEMORIA BM 04'!A38</f>
        <v>5.6</v>
      </c>
      <c r="B304" s="190"/>
      <c r="C304" s="191"/>
      <c r="D304" s="228" t="str">
        <f>'MEMORIA BM 04'!B38</f>
        <v>CONCRETO FCK = 25MPA, TRAÇO 1:2,3:2,7 (EM MASSA SECA DE CIMENTO/ AREIA MÉDIA/ BRITA 1) - PREPARO MECÂNICO COM BETONEIRA 600 L. AF_05/2021</v>
      </c>
      <c r="E304" s="229"/>
      <c r="F304" s="229"/>
      <c r="G304" s="229"/>
      <c r="H304" s="229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30"/>
      <c r="AC304" s="195">
        <f>SUM(Z305:AB397)</f>
        <v>18.993500000000022</v>
      </c>
      <c r="AD304" s="190"/>
      <c r="AE304" s="191"/>
      <c r="AF304" s="195" t="str">
        <f>'MEMORIA BM 04'!C38</f>
        <v>M3</v>
      </c>
      <c r="AG304" s="190"/>
      <c r="AH304" s="196"/>
      <c r="AI304">
        <v>18.989999999999998</v>
      </c>
    </row>
    <row r="305" spans="1:34" ht="15.75" x14ac:dyDescent="0.25">
      <c r="A305" s="197"/>
      <c r="B305" s="198"/>
      <c r="C305" s="199"/>
      <c r="D305" s="218" t="s">
        <v>667</v>
      </c>
      <c r="E305" s="219"/>
      <c r="F305" s="219"/>
      <c r="G305" s="219"/>
      <c r="H305" s="219"/>
      <c r="I305" s="219"/>
      <c r="J305" s="63"/>
      <c r="K305" s="226">
        <v>0.15</v>
      </c>
      <c r="L305" s="227"/>
      <c r="M305" s="226"/>
      <c r="N305" s="227"/>
      <c r="O305" s="226">
        <v>0.3</v>
      </c>
      <c r="P305" s="227"/>
      <c r="Q305" s="226"/>
      <c r="R305" s="227"/>
      <c r="S305" s="226">
        <f t="shared" ref="S305:S312" si="28">3.4+1.5</f>
        <v>4.9000000000000004</v>
      </c>
      <c r="T305" s="227"/>
      <c r="U305" s="226"/>
      <c r="V305" s="227"/>
      <c r="W305" s="203">
        <f>K305*O305</f>
        <v>4.4999999999999998E-2</v>
      </c>
      <c r="X305" s="204"/>
      <c r="Y305" s="205"/>
      <c r="Z305" s="203">
        <f>W305*S305</f>
        <v>0.2205</v>
      </c>
      <c r="AA305" s="204"/>
      <c r="AB305" s="205"/>
      <c r="AC305" s="51"/>
      <c r="AD305" s="52"/>
      <c r="AE305" s="53"/>
      <c r="AF305" s="51"/>
      <c r="AG305" s="52"/>
      <c r="AH305" s="54"/>
    </row>
    <row r="306" spans="1:34" ht="15.75" x14ac:dyDescent="0.25">
      <c r="A306" s="197"/>
      <c r="B306" s="198"/>
      <c r="C306" s="199"/>
      <c r="D306" s="218" t="s">
        <v>668</v>
      </c>
      <c r="E306" s="219"/>
      <c r="F306" s="219"/>
      <c r="G306" s="219"/>
      <c r="H306" s="219"/>
      <c r="I306" s="219"/>
      <c r="J306" s="63"/>
      <c r="K306" s="226">
        <v>0.2</v>
      </c>
      <c r="L306" s="227"/>
      <c r="M306" s="226"/>
      <c r="N306" s="227"/>
      <c r="O306" s="226">
        <v>0.3</v>
      </c>
      <c r="P306" s="227"/>
      <c r="Q306" s="226"/>
      <c r="R306" s="227"/>
      <c r="S306" s="226">
        <f t="shared" si="28"/>
        <v>4.9000000000000004</v>
      </c>
      <c r="T306" s="227"/>
      <c r="U306" s="226"/>
      <c r="V306" s="227"/>
      <c r="W306" s="223">
        <f t="shared" ref="W306:W368" si="29">K306*O306</f>
        <v>0.06</v>
      </c>
      <c r="X306" s="224"/>
      <c r="Y306" s="225"/>
      <c r="Z306" s="203">
        <f t="shared" ref="Z306:Z369" si="30">W306*S306</f>
        <v>0.29399999999999998</v>
      </c>
      <c r="AA306" s="204"/>
      <c r="AB306" s="205"/>
      <c r="AC306" s="51"/>
      <c r="AD306" s="52"/>
      <c r="AE306" s="53"/>
      <c r="AF306" s="51"/>
      <c r="AG306" s="52"/>
      <c r="AH306" s="54"/>
    </row>
    <row r="307" spans="1:34" ht="15.75" x14ac:dyDescent="0.25">
      <c r="A307" s="197"/>
      <c r="B307" s="198"/>
      <c r="C307" s="199"/>
      <c r="D307" s="218" t="s">
        <v>669</v>
      </c>
      <c r="E307" s="219"/>
      <c r="F307" s="219"/>
      <c r="G307" s="219"/>
      <c r="H307" s="219"/>
      <c r="I307" s="219"/>
      <c r="J307" s="63"/>
      <c r="K307" s="226">
        <v>0.2</v>
      </c>
      <c r="L307" s="227"/>
      <c r="M307" s="226"/>
      <c r="N307" s="227"/>
      <c r="O307" s="226">
        <v>0.3</v>
      </c>
      <c r="P307" s="227"/>
      <c r="Q307" s="226"/>
      <c r="R307" s="227"/>
      <c r="S307" s="226">
        <f t="shared" si="28"/>
        <v>4.9000000000000004</v>
      </c>
      <c r="T307" s="227"/>
      <c r="U307" s="226"/>
      <c r="V307" s="227"/>
      <c r="W307" s="223">
        <f t="shared" si="29"/>
        <v>0.06</v>
      </c>
      <c r="X307" s="224"/>
      <c r="Y307" s="225"/>
      <c r="Z307" s="203">
        <f t="shared" si="30"/>
        <v>0.29399999999999998</v>
      </c>
      <c r="AA307" s="204"/>
      <c r="AB307" s="205"/>
      <c r="AC307" s="51"/>
      <c r="AD307" s="52"/>
      <c r="AE307" s="53"/>
      <c r="AF307" s="51"/>
      <c r="AG307" s="52"/>
      <c r="AH307" s="54"/>
    </row>
    <row r="308" spans="1:34" ht="15.75" x14ac:dyDescent="0.25">
      <c r="A308" s="197"/>
      <c r="B308" s="198"/>
      <c r="C308" s="199"/>
      <c r="D308" s="218" t="s">
        <v>670</v>
      </c>
      <c r="E308" s="219"/>
      <c r="F308" s="219"/>
      <c r="G308" s="219"/>
      <c r="H308" s="219"/>
      <c r="I308" s="219"/>
      <c r="J308" s="63"/>
      <c r="K308" s="226">
        <v>0.2</v>
      </c>
      <c r="L308" s="227"/>
      <c r="M308" s="226"/>
      <c r="N308" s="227"/>
      <c r="O308" s="226">
        <v>0.3</v>
      </c>
      <c r="P308" s="227"/>
      <c r="Q308" s="226"/>
      <c r="R308" s="227"/>
      <c r="S308" s="226">
        <f t="shared" si="28"/>
        <v>4.9000000000000004</v>
      </c>
      <c r="T308" s="227"/>
      <c r="U308" s="226"/>
      <c r="V308" s="227"/>
      <c r="W308" s="223">
        <f t="shared" si="29"/>
        <v>0.06</v>
      </c>
      <c r="X308" s="224"/>
      <c r="Y308" s="225"/>
      <c r="Z308" s="203">
        <f t="shared" si="30"/>
        <v>0.29399999999999998</v>
      </c>
      <c r="AA308" s="204"/>
      <c r="AB308" s="205"/>
      <c r="AC308" s="51"/>
      <c r="AD308" s="52"/>
      <c r="AE308" s="53"/>
      <c r="AF308" s="51"/>
      <c r="AG308" s="52"/>
      <c r="AH308" s="54"/>
    </row>
    <row r="309" spans="1:34" ht="15.75" x14ac:dyDescent="0.25">
      <c r="A309" s="197"/>
      <c r="B309" s="198"/>
      <c r="C309" s="199"/>
      <c r="D309" s="218" t="s">
        <v>671</v>
      </c>
      <c r="E309" s="219"/>
      <c r="F309" s="219"/>
      <c r="G309" s="219"/>
      <c r="H309" s="219"/>
      <c r="I309" s="219"/>
      <c r="J309" s="63"/>
      <c r="K309" s="226">
        <v>0.15</v>
      </c>
      <c r="L309" s="227"/>
      <c r="M309" s="226"/>
      <c r="N309" s="227"/>
      <c r="O309" s="226">
        <v>0.3</v>
      </c>
      <c r="P309" s="227"/>
      <c r="Q309" s="226"/>
      <c r="R309" s="227"/>
      <c r="S309" s="226">
        <f t="shared" si="28"/>
        <v>4.9000000000000004</v>
      </c>
      <c r="T309" s="227"/>
      <c r="U309" s="202"/>
      <c r="V309" s="199"/>
      <c r="W309" s="223">
        <f t="shared" si="29"/>
        <v>4.4999999999999998E-2</v>
      </c>
      <c r="X309" s="224"/>
      <c r="Y309" s="225"/>
      <c r="Z309" s="203">
        <f t="shared" si="30"/>
        <v>0.2205</v>
      </c>
      <c r="AA309" s="204"/>
      <c r="AB309" s="205"/>
      <c r="AC309" s="51"/>
      <c r="AD309" s="52"/>
      <c r="AE309" s="53"/>
      <c r="AF309" s="51"/>
      <c r="AG309" s="52"/>
      <c r="AH309" s="54"/>
    </row>
    <row r="310" spans="1:34" ht="15.75" x14ac:dyDescent="0.25">
      <c r="A310" s="197"/>
      <c r="B310" s="198"/>
      <c r="C310" s="199"/>
      <c r="D310" s="218" t="s">
        <v>672</v>
      </c>
      <c r="E310" s="219"/>
      <c r="F310" s="219"/>
      <c r="G310" s="219"/>
      <c r="H310" s="219"/>
      <c r="I310" s="219"/>
      <c r="J310" s="63"/>
      <c r="K310" s="226">
        <v>0.15</v>
      </c>
      <c r="L310" s="227"/>
      <c r="M310" s="226"/>
      <c r="N310" s="227"/>
      <c r="O310" s="226">
        <v>0.3</v>
      </c>
      <c r="P310" s="227"/>
      <c r="Q310" s="226"/>
      <c r="R310" s="227"/>
      <c r="S310" s="226">
        <f t="shared" si="28"/>
        <v>4.9000000000000004</v>
      </c>
      <c r="T310" s="227"/>
      <c r="U310" s="226"/>
      <c r="V310" s="227"/>
      <c r="W310" s="223">
        <f t="shared" si="29"/>
        <v>4.4999999999999998E-2</v>
      </c>
      <c r="X310" s="224"/>
      <c r="Y310" s="225"/>
      <c r="Z310" s="203">
        <f t="shared" si="30"/>
        <v>0.2205</v>
      </c>
      <c r="AA310" s="204"/>
      <c r="AB310" s="205"/>
      <c r="AC310" s="51"/>
      <c r="AD310" s="52"/>
      <c r="AE310" s="53"/>
      <c r="AF310" s="51"/>
      <c r="AG310" s="52"/>
      <c r="AH310" s="54"/>
    </row>
    <row r="311" spans="1:34" ht="15.75" x14ac:dyDescent="0.25">
      <c r="A311" s="197"/>
      <c r="B311" s="198"/>
      <c r="C311" s="199"/>
      <c r="D311" s="218" t="s">
        <v>673</v>
      </c>
      <c r="E311" s="219"/>
      <c r="F311" s="219"/>
      <c r="G311" s="219"/>
      <c r="H311" s="219"/>
      <c r="I311" s="219"/>
      <c r="J311" s="63"/>
      <c r="K311" s="226">
        <v>0.15</v>
      </c>
      <c r="L311" s="227"/>
      <c r="M311" s="226"/>
      <c r="N311" s="227"/>
      <c r="O311" s="226">
        <v>0.3</v>
      </c>
      <c r="P311" s="227"/>
      <c r="Q311" s="226"/>
      <c r="R311" s="227"/>
      <c r="S311" s="226">
        <f t="shared" si="28"/>
        <v>4.9000000000000004</v>
      </c>
      <c r="T311" s="227"/>
      <c r="U311" s="226"/>
      <c r="V311" s="227"/>
      <c r="W311" s="223">
        <f t="shared" si="29"/>
        <v>4.4999999999999998E-2</v>
      </c>
      <c r="X311" s="224"/>
      <c r="Y311" s="225"/>
      <c r="Z311" s="203">
        <f t="shared" si="30"/>
        <v>0.2205</v>
      </c>
      <c r="AA311" s="204"/>
      <c r="AB311" s="205"/>
      <c r="AC311" s="51"/>
      <c r="AD311" s="52"/>
      <c r="AE311" s="53"/>
      <c r="AF311" s="51"/>
      <c r="AG311" s="52"/>
      <c r="AH311" s="54"/>
    </row>
    <row r="312" spans="1:34" ht="15.75" x14ac:dyDescent="0.25">
      <c r="A312" s="197"/>
      <c r="B312" s="198"/>
      <c r="C312" s="199"/>
      <c r="D312" s="218" t="s">
        <v>674</v>
      </c>
      <c r="E312" s="219"/>
      <c r="F312" s="219"/>
      <c r="G312" s="219"/>
      <c r="H312" s="219"/>
      <c r="I312" s="219"/>
      <c r="J312" s="63"/>
      <c r="K312" s="226">
        <v>0.15</v>
      </c>
      <c r="L312" s="227"/>
      <c r="M312" s="226"/>
      <c r="N312" s="227"/>
      <c r="O312" s="226">
        <v>0.3</v>
      </c>
      <c r="P312" s="227"/>
      <c r="Q312" s="226"/>
      <c r="R312" s="227"/>
      <c r="S312" s="226">
        <f t="shared" si="28"/>
        <v>4.9000000000000004</v>
      </c>
      <c r="T312" s="227"/>
      <c r="U312" s="226"/>
      <c r="V312" s="227"/>
      <c r="W312" s="223">
        <f t="shared" si="29"/>
        <v>4.4999999999999998E-2</v>
      </c>
      <c r="X312" s="224"/>
      <c r="Y312" s="225"/>
      <c r="Z312" s="203">
        <f t="shared" si="30"/>
        <v>0.2205</v>
      </c>
      <c r="AA312" s="204"/>
      <c r="AB312" s="205"/>
      <c r="AC312" s="51"/>
      <c r="AD312" s="52"/>
      <c r="AE312" s="53"/>
      <c r="AF312" s="51"/>
      <c r="AG312" s="52"/>
      <c r="AH312" s="54"/>
    </row>
    <row r="313" spans="1:34" ht="15.75" x14ac:dyDescent="0.25">
      <c r="A313" s="197"/>
      <c r="B313" s="198"/>
      <c r="C313" s="199"/>
      <c r="D313" s="218" t="s">
        <v>675</v>
      </c>
      <c r="E313" s="219"/>
      <c r="F313" s="219"/>
      <c r="G313" s="219"/>
      <c r="H313" s="219"/>
      <c r="I313" s="219"/>
      <c r="J313" s="63"/>
      <c r="K313" s="226">
        <v>0.15</v>
      </c>
      <c r="L313" s="227"/>
      <c r="M313" s="226"/>
      <c r="N313" s="227"/>
      <c r="O313" s="226">
        <v>0.3</v>
      </c>
      <c r="P313" s="227"/>
      <c r="Q313" s="226"/>
      <c r="R313" s="227"/>
      <c r="S313" s="226">
        <v>3.4</v>
      </c>
      <c r="T313" s="227"/>
      <c r="U313" s="226"/>
      <c r="V313" s="227"/>
      <c r="W313" s="223">
        <f t="shared" si="29"/>
        <v>4.4999999999999998E-2</v>
      </c>
      <c r="X313" s="224"/>
      <c r="Y313" s="225"/>
      <c r="Z313" s="203">
        <f t="shared" si="30"/>
        <v>0.153</v>
      </c>
      <c r="AA313" s="204"/>
      <c r="AB313" s="205"/>
      <c r="AC313" s="51"/>
      <c r="AD313" s="52"/>
      <c r="AE313" s="53"/>
      <c r="AF313" s="51"/>
      <c r="AG313" s="52"/>
      <c r="AH313" s="54"/>
    </row>
    <row r="314" spans="1:34" ht="15.75" x14ac:dyDescent="0.25">
      <c r="A314" s="197"/>
      <c r="B314" s="198"/>
      <c r="C314" s="199"/>
      <c r="D314" s="218" t="s">
        <v>676</v>
      </c>
      <c r="E314" s="219"/>
      <c r="F314" s="219"/>
      <c r="G314" s="219"/>
      <c r="H314" s="219"/>
      <c r="I314" s="219"/>
      <c r="J314" s="63"/>
      <c r="K314" s="226">
        <v>0.15</v>
      </c>
      <c r="L314" s="227"/>
      <c r="M314" s="226"/>
      <c r="N314" s="227"/>
      <c r="O314" s="226">
        <v>0.3</v>
      </c>
      <c r="P314" s="227"/>
      <c r="Q314" s="226"/>
      <c r="R314" s="227"/>
      <c r="S314" s="226">
        <v>4.9000000000000004</v>
      </c>
      <c r="T314" s="227"/>
      <c r="U314" s="226"/>
      <c r="V314" s="227"/>
      <c r="W314" s="223">
        <f t="shared" si="29"/>
        <v>4.4999999999999998E-2</v>
      </c>
      <c r="X314" s="224"/>
      <c r="Y314" s="225"/>
      <c r="Z314" s="203">
        <f t="shared" si="30"/>
        <v>0.2205</v>
      </c>
      <c r="AA314" s="204"/>
      <c r="AB314" s="205"/>
      <c r="AC314" s="51"/>
      <c r="AD314" s="52"/>
      <c r="AE314" s="53"/>
      <c r="AF314" s="51"/>
      <c r="AG314" s="52"/>
      <c r="AH314" s="54"/>
    </row>
    <row r="315" spans="1:34" ht="15.75" x14ac:dyDescent="0.25">
      <c r="A315" s="197"/>
      <c r="B315" s="198"/>
      <c r="C315" s="199"/>
      <c r="D315" s="218" t="s">
        <v>677</v>
      </c>
      <c r="E315" s="219"/>
      <c r="F315" s="219"/>
      <c r="G315" s="219"/>
      <c r="H315" s="219"/>
      <c r="I315" s="219"/>
      <c r="J315" s="63"/>
      <c r="K315" s="226">
        <v>0.15</v>
      </c>
      <c r="L315" s="227"/>
      <c r="M315" s="226"/>
      <c r="N315" s="227"/>
      <c r="O315" s="226">
        <v>0.3</v>
      </c>
      <c r="P315" s="227"/>
      <c r="Q315" s="226"/>
      <c r="R315" s="227"/>
      <c r="S315" s="226">
        <v>4.9000000000000004</v>
      </c>
      <c r="T315" s="227"/>
      <c r="U315" s="226"/>
      <c r="V315" s="227"/>
      <c r="W315" s="223">
        <f t="shared" si="29"/>
        <v>4.4999999999999998E-2</v>
      </c>
      <c r="X315" s="224"/>
      <c r="Y315" s="225"/>
      <c r="Z315" s="203">
        <f t="shared" si="30"/>
        <v>0.2205</v>
      </c>
      <c r="AA315" s="204"/>
      <c r="AB315" s="205"/>
      <c r="AC315" s="51"/>
      <c r="AD315" s="52"/>
      <c r="AE315" s="53"/>
      <c r="AF315" s="51"/>
      <c r="AG315" s="52"/>
      <c r="AH315" s="54"/>
    </row>
    <row r="316" spans="1:34" ht="15.75" x14ac:dyDescent="0.25">
      <c r="A316" s="197"/>
      <c r="B316" s="198"/>
      <c r="C316" s="199"/>
      <c r="D316" s="218" t="s">
        <v>678</v>
      </c>
      <c r="E316" s="219"/>
      <c r="F316" s="219"/>
      <c r="G316" s="219"/>
      <c r="H316" s="219"/>
      <c r="I316" s="219"/>
      <c r="J316" s="63"/>
      <c r="K316" s="226">
        <v>0.15</v>
      </c>
      <c r="L316" s="227"/>
      <c r="M316" s="226"/>
      <c r="N316" s="227"/>
      <c r="O316" s="226">
        <v>0.3</v>
      </c>
      <c r="P316" s="227"/>
      <c r="Q316" s="226"/>
      <c r="R316" s="227"/>
      <c r="S316" s="226">
        <v>3.4</v>
      </c>
      <c r="T316" s="227"/>
      <c r="U316" s="226"/>
      <c r="V316" s="227"/>
      <c r="W316" s="223">
        <f t="shared" si="29"/>
        <v>4.4999999999999998E-2</v>
      </c>
      <c r="X316" s="224"/>
      <c r="Y316" s="225"/>
      <c r="Z316" s="203">
        <f t="shared" si="30"/>
        <v>0.153</v>
      </c>
      <c r="AA316" s="204"/>
      <c r="AB316" s="205"/>
      <c r="AC316" s="51"/>
      <c r="AD316" s="52"/>
      <c r="AE316" s="53"/>
      <c r="AF316" s="51"/>
      <c r="AG316" s="52"/>
      <c r="AH316" s="54"/>
    </row>
    <row r="317" spans="1:34" ht="15.75" x14ac:dyDescent="0.25">
      <c r="A317" s="197"/>
      <c r="B317" s="198"/>
      <c r="C317" s="199"/>
      <c r="D317" s="218" t="s">
        <v>679</v>
      </c>
      <c r="E317" s="219"/>
      <c r="F317" s="219"/>
      <c r="G317" s="219"/>
      <c r="H317" s="219"/>
      <c r="I317" s="219"/>
      <c r="J317" s="63"/>
      <c r="K317" s="202">
        <v>0.2</v>
      </c>
      <c r="L317" s="199"/>
      <c r="M317" s="202"/>
      <c r="N317" s="199"/>
      <c r="O317" s="226">
        <v>0.3</v>
      </c>
      <c r="P317" s="227"/>
      <c r="Q317" s="202"/>
      <c r="R317" s="199"/>
      <c r="S317" s="202">
        <v>3.4</v>
      </c>
      <c r="T317" s="199"/>
      <c r="U317" s="202"/>
      <c r="V317" s="199"/>
      <c r="W317" s="223">
        <f t="shared" si="29"/>
        <v>0.06</v>
      </c>
      <c r="X317" s="224"/>
      <c r="Y317" s="225"/>
      <c r="Z317" s="203">
        <f t="shared" si="30"/>
        <v>0.20399999999999999</v>
      </c>
      <c r="AA317" s="204"/>
      <c r="AB317" s="205"/>
      <c r="AC317" s="51"/>
      <c r="AD317" s="52"/>
      <c r="AE317" s="53"/>
      <c r="AF317" s="51"/>
      <c r="AG317" s="52"/>
      <c r="AH317" s="54"/>
    </row>
    <row r="318" spans="1:34" ht="15.75" x14ac:dyDescent="0.25">
      <c r="A318" s="197"/>
      <c r="B318" s="198"/>
      <c r="C318" s="199"/>
      <c r="D318" s="220" t="s">
        <v>680</v>
      </c>
      <c r="E318" s="221"/>
      <c r="F318" s="221"/>
      <c r="G318" s="221"/>
      <c r="H318" s="221"/>
      <c r="I318" s="222"/>
      <c r="J318" s="63"/>
      <c r="K318" s="226">
        <v>0.15</v>
      </c>
      <c r="L318" s="227"/>
      <c r="M318" s="226"/>
      <c r="N318" s="227"/>
      <c r="O318" s="226">
        <v>0.3</v>
      </c>
      <c r="P318" s="227"/>
      <c r="Q318" s="226"/>
      <c r="R318" s="227"/>
      <c r="S318" s="226">
        <v>3.4</v>
      </c>
      <c r="T318" s="227"/>
      <c r="U318" s="226"/>
      <c r="V318" s="227"/>
      <c r="W318" s="223">
        <f t="shared" si="29"/>
        <v>4.4999999999999998E-2</v>
      </c>
      <c r="X318" s="224"/>
      <c r="Y318" s="225"/>
      <c r="Z318" s="203">
        <f t="shared" si="30"/>
        <v>0.153</v>
      </c>
      <c r="AA318" s="204"/>
      <c r="AB318" s="205"/>
      <c r="AC318" s="51"/>
      <c r="AD318" s="52"/>
      <c r="AE318" s="53"/>
      <c r="AF318" s="51"/>
      <c r="AG318" s="52"/>
      <c r="AH318" s="54"/>
    </row>
    <row r="319" spans="1:34" ht="15.75" x14ac:dyDescent="0.25">
      <c r="A319" s="197"/>
      <c r="B319" s="198"/>
      <c r="C319" s="199"/>
      <c r="D319" s="220" t="s">
        <v>682</v>
      </c>
      <c r="E319" s="221"/>
      <c r="F319" s="221"/>
      <c r="G319" s="221"/>
      <c r="H319" s="221"/>
      <c r="I319" s="222"/>
      <c r="J319" s="63"/>
      <c r="K319" s="226">
        <v>0.15</v>
      </c>
      <c r="L319" s="227"/>
      <c r="M319" s="226"/>
      <c r="N319" s="227"/>
      <c r="O319" s="226">
        <v>0.3</v>
      </c>
      <c r="P319" s="227"/>
      <c r="Q319" s="226"/>
      <c r="R319" s="227"/>
      <c r="S319" s="226">
        <v>3.4</v>
      </c>
      <c r="T319" s="227"/>
      <c r="U319" s="226"/>
      <c r="V319" s="227"/>
      <c r="W319" s="223">
        <f t="shared" si="29"/>
        <v>4.4999999999999998E-2</v>
      </c>
      <c r="X319" s="224"/>
      <c r="Y319" s="225"/>
      <c r="Z319" s="203">
        <f t="shared" si="30"/>
        <v>0.153</v>
      </c>
      <c r="AA319" s="204"/>
      <c r="AB319" s="205"/>
      <c r="AC319" s="51"/>
      <c r="AD319" s="52"/>
      <c r="AE319" s="53"/>
      <c r="AF319" s="51"/>
      <c r="AG319" s="52"/>
      <c r="AH319" s="54"/>
    </row>
    <row r="320" spans="1:34" ht="15.75" x14ac:dyDescent="0.25">
      <c r="A320" s="197"/>
      <c r="B320" s="198"/>
      <c r="C320" s="199"/>
      <c r="D320" s="220" t="s">
        <v>683</v>
      </c>
      <c r="E320" s="221"/>
      <c r="F320" s="221"/>
      <c r="G320" s="221"/>
      <c r="H320" s="221"/>
      <c r="I320" s="222"/>
      <c r="J320" s="63"/>
      <c r="K320" s="226">
        <v>0.15</v>
      </c>
      <c r="L320" s="227"/>
      <c r="M320" s="226"/>
      <c r="N320" s="227"/>
      <c r="O320" s="226">
        <v>0.3</v>
      </c>
      <c r="P320" s="227"/>
      <c r="Q320" s="226"/>
      <c r="R320" s="227"/>
      <c r="S320" s="226">
        <v>4.9000000000000004</v>
      </c>
      <c r="T320" s="227"/>
      <c r="U320" s="226"/>
      <c r="V320" s="227"/>
      <c r="W320" s="223">
        <f t="shared" si="29"/>
        <v>4.4999999999999998E-2</v>
      </c>
      <c r="X320" s="224"/>
      <c r="Y320" s="225"/>
      <c r="Z320" s="203">
        <f t="shared" si="30"/>
        <v>0.2205</v>
      </c>
      <c r="AA320" s="204"/>
      <c r="AB320" s="205"/>
      <c r="AC320" s="51"/>
      <c r="AD320" s="52"/>
      <c r="AE320" s="53"/>
      <c r="AF320" s="51"/>
      <c r="AG320" s="52"/>
      <c r="AH320" s="54"/>
    </row>
    <row r="321" spans="1:34" ht="15.75" x14ac:dyDescent="0.25">
      <c r="A321" s="197"/>
      <c r="B321" s="198"/>
      <c r="C321" s="199"/>
      <c r="D321" s="220" t="s">
        <v>684</v>
      </c>
      <c r="E321" s="221"/>
      <c r="F321" s="221"/>
      <c r="G321" s="221"/>
      <c r="H321" s="221"/>
      <c r="I321" s="222"/>
      <c r="J321" s="63"/>
      <c r="K321" s="226">
        <v>0.15</v>
      </c>
      <c r="L321" s="227"/>
      <c r="M321" s="226"/>
      <c r="N321" s="227"/>
      <c r="O321" s="226">
        <v>0.3</v>
      </c>
      <c r="P321" s="227"/>
      <c r="Q321" s="226"/>
      <c r="R321" s="227"/>
      <c r="S321" s="226">
        <v>3.4</v>
      </c>
      <c r="T321" s="227"/>
      <c r="U321" s="226"/>
      <c r="V321" s="227"/>
      <c r="W321" s="223">
        <f t="shared" si="29"/>
        <v>4.4999999999999998E-2</v>
      </c>
      <c r="X321" s="224"/>
      <c r="Y321" s="225"/>
      <c r="Z321" s="203">
        <f t="shared" si="30"/>
        <v>0.153</v>
      </c>
      <c r="AA321" s="204"/>
      <c r="AB321" s="205"/>
      <c r="AC321" s="51"/>
      <c r="AD321" s="52"/>
      <c r="AE321" s="53"/>
      <c r="AF321" s="51"/>
      <c r="AG321" s="52"/>
      <c r="AH321" s="54"/>
    </row>
    <row r="322" spans="1:34" ht="15.75" x14ac:dyDescent="0.25">
      <c r="A322" s="197"/>
      <c r="B322" s="198"/>
      <c r="C322" s="199"/>
      <c r="D322" s="220" t="s">
        <v>685</v>
      </c>
      <c r="E322" s="221"/>
      <c r="F322" s="221"/>
      <c r="G322" s="221"/>
      <c r="H322" s="221"/>
      <c r="I322" s="222"/>
      <c r="J322" s="63"/>
      <c r="K322" s="226">
        <v>0.15</v>
      </c>
      <c r="L322" s="227"/>
      <c r="M322" s="226"/>
      <c r="N322" s="227"/>
      <c r="O322" s="226">
        <v>0.3</v>
      </c>
      <c r="P322" s="227"/>
      <c r="Q322" s="226"/>
      <c r="R322" s="227"/>
      <c r="S322" s="226">
        <v>4.9000000000000004</v>
      </c>
      <c r="T322" s="227"/>
      <c r="U322" s="226"/>
      <c r="V322" s="227"/>
      <c r="W322" s="223">
        <f t="shared" si="29"/>
        <v>4.4999999999999998E-2</v>
      </c>
      <c r="X322" s="224"/>
      <c r="Y322" s="225"/>
      <c r="Z322" s="203">
        <f t="shared" si="30"/>
        <v>0.2205</v>
      </c>
      <c r="AA322" s="204"/>
      <c r="AB322" s="205"/>
      <c r="AC322" s="51"/>
      <c r="AD322" s="52"/>
      <c r="AE322" s="53"/>
      <c r="AF322" s="51"/>
      <c r="AG322" s="52"/>
      <c r="AH322" s="54"/>
    </row>
    <row r="323" spans="1:34" ht="15.75" x14ac:dyDescent="0.25">
      <c r="A323" s="197"/>
      <c r="B323" s="198"/>
      <c r="C323" s="199"/>
      <c r="D323" s="220" t="s">
        <v>681</v>
      </c>
      <c r="E323" s="221"/>
      <c r="F323" s="221"/>
      <c r="G323" s="221"/>
      <c r="H323" s="221"/>
      <c r="I323" s="222"/>
      <c r="J323" s="63"/>
      <c r="K323" s="226">
        <v>0.15</v>
      </c>
      <c r="L323" s="227"/>
      <c r="M323" s="226"/>
      <c r="N323" s="227"/>
      <c r="O323" s="226">
        <v>0.3</v>
      </c>
      <c r="P323" s="227"/>
      <c r="Q323" s="226"/>
      <c r="R323" s="227"/>
      <c r="S323" s="226">
        <v>3.4</v>
      </c>
      <c r="T323" s="227"/>
      <c r="U323" s="226"/>
      <c r="V323" s="227"/>
      <c r="W323" s="223">
        <f t="shared" si="29"/>
        <v>4.4999999999999998E-2</v>
      </c>
      <c r="X323" s="224"/>
      <c r="Y323" s="225"/>
      <c r="Z323" s="203">
        <f t="shared" si="30"/>
        <v>0.153</v>
      </c>
      <c r="AA323" s="204"/>
      <c r="AB323" s="205"/>
      <c r="AC323" s="51"/>
      <c r="AD323" s="52"/>
      <c r="AE323" s="53"/>
      <c r="AF323" s="51"/>
      <c r="AG323" s="52"/>
      <c r="AH323" s="54"/>
    </row>
    <row r="324" spans="1:34" ht="15.75" x14ac:dyDescent="0.25">
      <c r="A324" s="197"/>
      <c r="B324" s="198"/>
      <c r="C324" s="199"/>
      <c r="D324" s="220" t="s">
        <v>686</v>
      </c>
      <c r="E324" s="221"/>
      <c r="F324" s="221"/>
      <c r="G324" s="221"/>
      <c r="H324" s="221"/>
      <c r="I324" s="222"/>
      <c r="J324" s="63"/>
      <c r="K324" s="226">
        <v>0.15</v>
      </c>
      <c r="L324" s="227"/>
      <c r="M324" s="226"/>
      <c r="N324" s="227"/>
      <c r="O324" s="226">
        <v>0.3</v>
      </c>
      <c r="P324" s="227"/>
      <c r="Q324" s="226"/>
      <c r="R324" s="227"/>
      <c r="S324" s="226">
        <v>4.9000000000000004</v>
      </c>
      <c r="T324" s="227"/>
      <c r="U324" s="226"/>
      <c r="V324" s="227"/>
      <c r="W324" s="223">
        <f t="shared" si="29"/>
        <v>4.4999999999999998E-2</v>
      </c>
      <c r="X324" s="224"/>
      <c r="Y324" s="225"/>
      <c r="Z324" s="203">
        <f t="shared" si="30"/>
        <v>0.2205</v>
      </c>
      <c r="AA324" s="204"/>
      <c r="AB324" s="205"/>
      <c r="AC324" s="51"/>
      <c r="AD324" s="52"/>
      <c r="AE324" s="53"/>
      <c r="AF324" s="51"/>
      <c r="AG324" s="52"/>
      <c r="AH324" s="54"/>
    </row>
    <row r="325" spans="1:34" ht="15.75" x14ac:dyDescent="0.25">
      <c r="A325" s="197"/>
      <c r="B325" s="198"/>
      <c r="C325" s="199"/>
      <c r="D325" s="220" t="s">
        <v>687</v>
      </c>
      <c r="E325" s="221"/>
      <c r="F325" s="221"/>
      <c r="G325" s="221"/>
      <c r="H325" s="221"/>
      <c r="I325" s="222"/>
      <c r="J325" s="63"/>
      <c r="K325" s="202">
        <v>0.15</v>
      </c>
      <c r="L325" s="199"/>
      <c r="M325" s="202"/>
      <c r="N325" s="199"/>
      <c r="O325" s="226">
        <v>0.4</v>
      </c>
      <c r="P325" s="227"/>
      <c r="Q325" s="202"/>
      <c r="R325" s="199"/>
      <c r="S325" s="202">
        <v>4.9000000000000004</v>
      </c>
      <c r="T325" s="199"/>
      <c r="U325" s="202"/>
      <c r="V325" s="199"/>
      <c r="W325" s="223">
        <f t="shared" si="29"/>
        <v>0.06</v>
      </c>
      <c r="X325" s="224"/>
      <c r="Y325" s="225"/>
      <c r="Z325" s="203">
        <f t="shared" si="30"/>
        <v>0.29399999999999998</v>
      </c>
      <c r="AA325" s="204"/>
      <c r="AB325" s="205"/>
      <c r="AC325" s="51"/>
      <c r="AD325" s="52"/>
      <c r="AE325" s="53"/>
      <c r="AF325" s="51"/>
      <c r="AG325" s="52"/>
      <c r="AH325" s="54"/>
    </row>
    <row r="326" spans="1:34" ht="15.75" x14ac:dyDescent="0.25">
      <c r="A326" s="197"/>
      <c r="B326" s="198"/>
      <c r="C326" s="199"/>
      <c r="D326" s="220" t="s">
        <v>688</v>
      </c>
      <c r="E326" s="221"/>
      <c r="F326" s="221"/>
      <c r="G326" s="221"/>
      <c r="H326" s="221"/>
      <c r="I326" s="222"/>
      <c r="J326" s="63"/>
      <c r="K326" s="226">
        <v>0.2</v>
      </c>
      <c r="L326" s="227"/>
      <c r="M326" s="226"/>
      <c r="N326" s="227"/>
      <c r="O326" s="226">
        <v>0.4</v>
      </c>
      <c r="P326" s="227"/>
      <c r="Q326" s="226"/>
      <c r="R326" s="227"/>
      <c r="S326" s="226">
        <v>3.4</v>
      </c>
      <c r="T326" s="227"/>
      <c r="U326" s="226"/>
      <c r="V326" s="227"/>
      <c r="W326" s="223">
        <f t="shared" si="29"/>
        <v>8.0000000000000016E-2</v>
      </c>
      <c r="X326" s="224"/>
      <c r="Y326" s="225"/>
      <c r="Z326" s="203">
        <f t="shared" si="30"/>
        <v>0.27200000000000002</v>
      </c>
      <c r="AA326" s="204"/>
      <c r="AB326" s="205"/>
      <c r="AC326" s="51"/>
      <c r="AD326" s="52"/>
      <c r="AE326" s="53"/>
      <c r="AF326" s="51"/>
      <c r="AG326" s="52"/>
      <c r="AH326" s="54"/>
    </row>
    <row r="327" spans="1:34" ht="15.75" x14ac:dyDescent="0.25">
      <c r="A327" s="197"/>
      <c r="B327" s="198"/>
      <c r="C327" s="199"/>
      <c r="D327" s="220" t="s">
        <v>689</v>
      </c>
      <c r="E327" s="221"/>
      <c r="F327" s="221"/>
      <c r="G327" s="221"/>
      <c r="H327" s="221"/>
      <c r="I327" s="222"/>
      <c r="J327" s="63"/>
      <c r="K327" s="226">
        <v>0.15</v>
      </c>
      <c r="L327" s="227"/>
      <c r="M327" s="226"/>
      <c r="N327" s="227"/>
      <c r="O327" s="226">
        <v>0.3</v>
      </c>
      <c r="P327" s="227"/>
      <c r="Q327" s="226"/>
      <c r="R327" s="227"/>
      <c r="S327" s="226">
        <v>4.9000000000000004</v>
      </c>
      <c r="T327" s="227"/>
      <c r="U327" s="226"/>
      <c r="V327" s="227"/>
      <c r="W327" s="223">
        <f t="shared" si="29"/>
        <v>4.4999999999999998E-2</v>
      </c>
      <c r="X327" s="224"/>
      <c r="Y327" s="225"/>
      <c r="Z327" s="203">
        <f t="shared" si="30"/>
        <v>0.2205</v>
      </c>
      <c r="AA327" s="204"/>
      <c r="AB327" s="205"/>
      <c r="AC327" s="51"/>
      <c r="AD327" s="52"/>
      <c r="AE327" s="53"/>
      <c r="AF327" s="51"/>
      <c r="AG327" s="52"/>
      <c r="AH327" s="54"/>
    </row>
    <row r="328" spans="1:34" ht="15.75" x14ac:dyDescent="0.25">
      <c r="A328" s="197"/>
      <c r="B328" s="198"/>
      <c r="C328" s="199"/>
      <c r="D328" s="220" t="s">
        <v>690</v>
      </c>
      <c r="E328" s="221"/>
      <c r="F328" s="221"/>
      <c r="G328" s="221"/>
      <c r="H328" s="221"/>
      <c r="I328" s="222"/>
      <c r="J328" s="63"/>
      <c r="K328" s="226">
        <v>0.15</v>
      </c>
      <c r="L328" s="227"/>
      <c r="M328" s="226"/>
      <c r="N328" s="227"/>
      <c r="O328" s="226">
        <v>0.3</v>
      </c>
      <c r="P328" s="227"/>
      <c r="Q328" s="226"/>
      <c r="R328" s="227"/>
      <c r="S328" s="226">
        <v>4.9000000000000004</v>
      </c>
      <c r="T328" s="227"/>
      <c r="U328" s="226"/>
      <c r="V328" s="227"/>
      <c r="W328" s="223">
        <f t="shared" si="29"/>
        <v>4.4999999999999998E-2</v>
      </c>
      <c r="X328" s="224"/>
      <c r="Y328" s="225"/>
      <c r="Z328" s="203">
        <f t="shared" si="30"/>
        <v>0.2205</v>
      </c>
      <c r="AA328" s="204"/>
      <c r="AB328" s="205"/>
      <c r="AC328" s="51"/>
      <c r="AD328" s="52"/>
      <c r="AE328" s="53"/>
      <c r="AF328" s="51"/>
      <c r="AG328" s="52"/>
      <c r="AH328" s="54"/>
    </row>
    <row r="329" spans="1:34" ht="15.75" x14ac:dyDescent="0.25">
      <c r="A329" s="197"/>
      <c r="B329" s="198"/>
      <c r="C329" s="199"/>
      <c r="D329" s="220" t="s">
        <v>691</v>
      </c>
      <c r="E329" s="221"/>
      <c r="F329" s="221"/>
      <c r="G329" s="221"/>
      <c r="H329" s="221"/>
      <c r="I329" s="222"/>
      <c r="J329" s="63"/>
      <c r="K329" s="226">
        <v>0.15</v>
      </c>
      <c r="L329" s="227"/>
      <c r="M329" s="226"/>
      <c r="N329" s="227"/>
      <c r="O329" s="226">
        <v>0.3</v>
      </c>
      <c r="P329" s="227"/>
      <c r="Q329" s="226"/>
      <c r="R329" s="227"/>
      <c r="S329" s="226">
        <v>4.9000000000000004</v>
      </c>
      <c r="T329" s="227"/>
      <c r="U329" s="226"/>
      <c r="V329" s="227"/>
      <c r="W329" s="223">
        <f t="shared" si="29"/>
        <v>4.4999999999999998E-2</v>
      </c>
      <c r="X329" s="224"/>
      <c r="Y329" s="225"/>
      <c r="Z329" s="203">
        <f t="shared" si="30"/>
        <v>0.2205</v>
      </c>
      <c r="AA329" s="204"/>
      <c r="AB329" s="205"/>
      <c r="AC329" s="51"/>
      <c r="AD329" s="52"/>
      <c r="AE329" s="53"/>
      <c r="AF329" s="51"/>
      <c r="AG329" s="52"/>
      <c r="AH329" s="54"/>
    </row>
    <row r="330" spans="1:34" ht="15.75" x14ac:dyDescent="0.25">
      <c r="A330" s="197"/>
      <c r="B330" s="198"/>
      <c r="C330" s="199"/>
      <c r="D330" s="220" t="s">
        <v>692</v>
      </c>
      <c r="E330" s="221"/>
      <c r="F330" s="221"/>
      <c r="G330" s="221"/>
      <c r="H330" s="221"/>
      <c r="I330" s="222"/>
      <c r="J330" s="63"/>
      <c r="K330" s="226">
        <v>0.15</v>
      </c>
      <c r="L330" s="227"/>
      <c r="M330" s="226"/>
      <c r="N330" s="227"/>
      <c r="O330" s="226">
        <v>0.3</v>
      </c>
      <c r="P330" s="227"/>
      <c r="Q330" s="226"/>
      <c r="R330" s="227"/>
      <c r="S330" s="226">
        <v>4.9000000000000004</v>
      </c>
      <c r="T330" s="227"/>
      <c r="U330" s="226"/>
      <c r="V330" s="227"/>
      <c r="W330" s="223">
        <f t="shared" si="29"/>
        <v>4.4999999999999998E-2</v>
      </c>
      <c r="X330" s="224"/>
      <c r="Y330" s="225"/>
      <c r="Z330" s="203">
        <f t="shared" si="30"/>
        <v>0.2205</v>
      </c>
      <c r="AA330" s="204"/>
      <c r="AB330" s="205"/>
      <c r="AC330" s="51"/>
      <c r="AD330" s="52"/>
      <c r="AE330" s="53"/>
      <c r="AF330" s="51"/>
      <c r="AG330" s="52"/>
      <c r="AH330" s="54"/>
    </row>
    <row r="331" spans="1:34" ht="15.75" x14ac:dyDescent="0.25">
      <c r="A331" s="197"/>
      <c r="B331" s="198"/>
      <c r="C331" s="199"/>
      <c r="D331" s="220" t="s">
        <v>693</v>
      </c>
      <c r="E331" s="221"/>
      <c r="F331" s="221"/>
      <c r="G331" s="221"/>
      <c r="H331" s="221"/>
      <c r="I331" s="222"/>
      <c r="J331" s="63"/>
      <c r="K331" s="226">
        <v>0.15</v>
      </c>
      <c r="L331" s="227"/>
      <c r="M331" s="226"/>
      <c r="N331" s="227"/>
      <c r="O331" s="226">
        <v>0.3</v>
      </c>
      <c r="P331" s="227"/>
      <c r="Q331" s="226"/>
      <c r="R331" s="227"/>
      <c r="S331" s="226">
        <v>4.9000000000000004</v>
      </c>
      <c r="T331" s="227"/>
      <c r="U331" s="226"/>
      <c r="V331" s="227"/>
      <c r="W331" s="223">
        <f t="shared" si="29"/>
        <v>4.4999999999999998E-2</v>
      </c>
      <c r="X331" s="224"/>
      <c r="Y331" s="225"/>
      <c r="Z331" s="203">
        <f t="shared" si="30"/>
        <v>0.2205</v>
      </c>
      <c r="AA331" s="204"/>
      <c r="AB331" s="205"/>
      <c r="AC331" s="51"/>
      <c r="AD331" s="52"/>
      <c r="AE331" s="53"/>
      <c r="AF331" s="51"/>
      <c r="AG331" s="52"/>
      <c r="AH331" s="54"/>
    </row>
    <row r="332" spans="1:34" ht="15.75" x14ac:dyDescent="0.25">
      <c r="A332" s="197"/>
      <c r="B332" s="198"/>
      <c r="C332" s="199"/>
      <c r="D332" s="220" t="s">
        <v>694</v>
      </c>
      <c r="E332" s="221"/>
      <c r="F332" s="221"/>
      <c r="G332" s="221"/>
      <c r="H332" s="221"/>
      <c r="I332" s="222"/>
      <c r="J332" s="63"/>
      <c r="K332" s="226">
        <v>0.15</v>
      </c>
      <c r="L332" s="227"/>
      <c r="M332" s="226"/>
      <c r="N332" s="227"/>
      <c r="O332" s="226">
        <v>0.3</v>
      </c>
      <c r="P332" s="227"/>
      <c r="Q332" s="226"/>
      <c r="R332" s="227"/>
      <c r="S332" s="226">
        <v>4.9000000000000004</v>
      </c>
      <c r="T332" s="227"/>
      <c r="U332" s="226"/>
      <c r="V332" s="227"/>
      <c r="W332" s="223">
        <f t="shared" si="29"/>
        <v>4.4999999999999998E-2</v>
      </c>
      <c r="X332" s="224"/>
      <c r="Y332" s="225"/>
      <c r="Z332" s="203">
        <f t="shared" si="30"/>
        <v>0.2205</v>
      </c>
      <c r="AA332" s="204"/>
      <c r="AB332" s="205"/>
      <c r="AC332" s="51"/>
      <c r="AD332" s="52"/>
      <c r="AE332" s="53"/>
      <c r="AF332" s="51"/>
      <c r="AG332" s="52"/>
      <c r="AH332" s="54"/>
    </row>
    <row r="333" spans="1:34" ht="15.75" x14ac:dyDescent="0.25">
      <c r="A333" s="197"/>
      <c r="B333" s="198"/>
      <c r="C333" s="199"/>
      <c r="D333" s="220" t="s">
        <v>695</v>
      </c>
      <c r="E333" s="221"/>
      <c r="F333" s="221"/>
      <c r="G333" s="221"/>
      <c r="H333" s="221"/>
      <c r="I333" s="222"/>
      <c r="J333" s="63"/>
      <c r="K333" s="226">
        <v>0.15</v>
      </c>
      <c r="L333" s="227"/>
      <c r="M333" s="226"/>
      <c r="N333" s="227"/>
      <c r="O333" s="226">
        <v>0.3</v>
      </c>
      <c r="P333" s="227"/>
      <c r="Q333" s="226"/>
      <c r="R333" s="227"/>
      <c r="S333" s="226">
        <v>4.9000000000000004</v>
      </c>
      <c r="T333" s="227"/>
      <c r="U333" s="202"/>
      <c r="V333" s="199"/>
      <c r="W333" s="223">
        <f t="shared" si="29"/>
        <v>4.4999999999999998E-2</v>
      </c>
      <c r="X333" s="224"/>
      <c r="Y333" s="225"/>
      <c r="Z333" s="203">
        <f t="shared" si="30"/>
        <v>0.2205</v>
      </c>
      <c r="AA333" s="204"/>
      <c r="AB333" s="205"/>
      <c r="AC333" s="51"/>
      <c r="AD333" s="52"/>
      <c r="AE333" s="53"/>
      <c r="AF333" s="51"/>
      <c r="AG333" s="52"/>
      <c r="AH333" s="54"/>
    </row>
    <row r="334" spans="1:34" ht="15.75" x14ac:dyDescent="0.25">
      <c r="A334" s="197"/>
      <c r="B334" s="198"/>
      <c r="C334" s="199"/>
      <c r="D334" s="220" t="s">
        <v>696</v>
      </c>
      <c r="E334" s="221"/>
      <c r="F334" s="221"/>
      <c r="G334" s="221"/>
      <c r="H334" s="221"/>
      <c r="I334" s="222"/>
      <c r="J334" s="63"/>
      <c r="K334" s="226">
        <v>0.15</v>
      </c>
      <c r="L334" s="227"/>
      <c r="M334" s="226"/>
      <c r="N334" s="227"/>
      <c r="O334" s="226">
        <v>0.3</v>
      </c>
      <c r="P334" s="227"/>
      <c r="Q334" s="226"/>
      <c r="R334" s="227"/>
      <c r="S334" s="226">
        <v>4.9000000000000004</v>
      </c>
      <c r="T334" s="227"/>
      <c r="U334" s="226"/>
      <c r="V334" s="227"/>
      <c r="W334" s="223">
        <f t="shared" si="29"/>
        <v>4.4999999999999998E-2</v>
      </c>
      <c r="X334" s="224"/>
      <c r="Y334" s="225"/>
      <c r="Z334" s="203">
        <f t="shared" si="30"/>
        <v>0.2205</v>
      </c>
      <c r="AA334" s="204"/>
      <c r="AB334" s="205"/>
      <c r="AC334" s="51"/>
      <c r="AD334" s="52"/>
      <c r="AE334" s="53"/>
      <c r="AF334" s="51"/>
      <c r="AG334" s="52"/>
      <c r="AH334" s="54"/>
    </row>
    <row r="335" spans="1:34" ht="15.75" x14ac:dyDescent="0.25">
      <c r="A335" s="197"/>
      <c r="B335" s="198"/>
      <c r="C335" s="199"/>
      <c r="D335" s="220" t="s">
        <v>697</v>
      </c>
      <c r="E335" s="221"/>
      <c r="F335" s="221"/>
      <c r="G335" s="221"/>
      <c r="H335" s="221"/>
      <c r="I335" s="222"/>
      <c r="J335" s="63"/>
      <c r="K335" s="226">
        <v>0.15</v>
      </c>
      <c r="L335" s="227"/>
      <c r="M335" s="226"/>
      <c r="N335" s="227"/>
      <c r="O335" s="226">
        <v>0.3</v>
      </c>
      <c r="P335" s="227"/>
      <c r="Q335" s="226"/>
      <c r="R335" s="227"/>
      <c r="S335" s="226">
        <v>4.9000000000000004</v>
      </c>
      <c r="T335" s="227"/>
      <c r="U335" s="226"/>
      <c r="V335" s="227"/>
      <c r="W335" s="223">
        <f t="shared" si="29"/>
        <v>4.4999999999999998E-2</v>
      </c>
      <c r="X335" s="224"/>
      <c r="Y335" s="225"/>
      <c r="Z335" s="203">
        <f t="shared" si="30"/>
        <v>0.2205</v>
      </c>
      <c r="AA335" s="204"/>
      <c r="AB335" s="205"/>
      <c r="AC335" s="51"/>
      <c r="AD335" s="52"/>
      <c r="AE335" s="53"/>
      <c r="AF335" s="51"/>
      <c r="AG335" s="52"/>
      <c r="AH335" s="54"/>
    </row>
    <row r="336" spans="1:34" ht="15.75" x14ac:dyDescent="0.25">
      <c r="A336" s="197"/>
      <c r="B336" s="198"/>
      <c r="C336" s="199"/>
      <c r="D336" s="220" t="s">
        <v>698</v>
      </c>
      <c r="E336" s="221"/>
      <c r="F336" s="221"/>
      <c r="G336" s="221"/>
      <c r="H336" s="221"/>
      <c r="I336" s="222"/>
      <c r="J336" s="63"/>
      <c r="K336" s="226">
        <v>0.15</v>
      </c>
      <c r="L336" s="227"/>
      <c r="M336" s="226"/>
      <c r="N336" s="227"/>
      <c r="O336" s="226">
        <v>0.3</v>
      </c>
      <c r="P336" s="227"/>
      <c r="Q336" s="226"/>
      <c r="R336" s="227"/>
      <c r="S336" s="226">
        <v>4.9000000000000004</v>
      </c>
      <c r="T336" s="227"/>
      <c r="U336" s="226"/>
      <c r="V336" s="227"/>
      <c r="W336" s="223">
        <f t="shared" si="29"/>
        <v>4.4999999999999998E-2</v>
      </c>
      <c r="X336" s="224"/>
      <c r="Y336" s="225"/>
      <c r="Z336" s="203">
        <f t="shared" si="30"/>
        <v>0.2205</v>
      </c>
      <c r="AA336" s="204"/>
      <c r="AB336" s="205"/>
      <c r="AC336" s="51"/>
      <c r="AD336" s="52"/>
      <c r="AE336" s="53"/>
      <c r="AF336" s="51"/>
      <c r="AG336" s="52"/>
      <c r="AH336" s="54"/>
    </row>
    <row r="337" spans="1:34" ht="15.75" x14ac:dyDescent="0.25">
      <c r="A337" s="197"/>
      <c r="B337" s="198"/>
      <c r="C337" s="199"/>
      <c r="D337" s="220" t="s">
        <v>699</v>
      </c>
      <c r="E337" s="221"/>
      <c r="F337" s="221"/>
      <c r="G337" s="221"/>
      <c r="H337" s="221"/>
      <c r="I337" s="222"/>
      <c r="J337" s="63"/>
      <c r="K337" s="226">
        <v>0.15</v>
      </c>
      <c r="L337" s="227"/>
      <c r="M337" s="226"/>
      <c r="N337" s="227"/>
      <c r="O337" s="226">
        <v>0.3</v>
      </c>
      <c r="P337" s="227"/>
      <c r="Q337" s="226"/>
      <c r="R337" s="227"/>
      <c r="S337" s="226">
        <v>4.9000000000000004</v>
      </c>
      <c r="T337" s="227"/>
      <c r="U337" s="226"/>
      <c r="V337" s="227"/>
      <c r="W337" s="223">
        <f t="shared" si="29"/>
        <v>4.4999999999999998E-2</v>
      </c>
      <c r="X337" s="224"/>
      <c r="Y337" s="225"/>
      <c r="Z337" s="203">
        <f t="shared" si="30"/>
        <v>0.2205</v>
      </c>
      <c r="AA337" s="204"/>
      <c r="AB337" s="205"/>
      <c r="AC337" s="51"/>
      <c r="AD337" s="52"/>
      <c r="AE337" s="53"/>
      <c r="AF337" s="51"/>
      <c r="AG337" s="52"/>
      <c r="AH337" s="54"/>
    </row>
    <row r="338" spans="1:34" ht="15.75" x14ac:dyDescent="0.25">
      <c r="A338" s="197"/>
      <c r="B338" s="198"/>
      <c r="C338" s="199"/>
      <c r="D338" s="220" t="s">
        <v>700</v>
      </c>
      <c r="E338" s="221"/>
      <c r="F338" s="221"/>
      <c r="G338" s="221"/>
      <c r="H338" s="221"/>
      <c r="I338" s="222"/>
      <c r="J338" s="63"/>
      <c r="K338" s="226">
        <v>0.15</v>
      </c>
      <c r="L338" s="227"/>
      <c r="M338" s="226"/>
      <c r="N338" s="227"/>
      <c r="O338" s="226">
        <v>0.3</v>
      </c>
      <c r="P338" s="227"/>
      <c r="Q338" s="226"/>
      <c r="R338" s="227"/>
      <c r="S338" s="226">
        <v>4.9000000000000004</v>
      </c>
      <c r="T338" s="227"/>
      <c r="U338" s="226"/>
      <c r="V338" s="227"/>
      <c r="W338" s="223">
        <f t="shared" si="29"/>
        <v>4.4999999999999998E-2</v>
      </c>
      <c r="X338" s="224"/>
      <c r="Y338" s="225"/>
      <c r="Z338" s="203">
        <f t="shared" si="30"/>
        <v>0.2205</v>
      </c>
      <c r="AA338" s="204"/>
      <c r="AB338" s="205"/>
      <c r="AC338" s="51"/>
      <c r="AD338" s="52"/>
      <c r="AE338" s="53"/>
      <c r="AF338" s="51"/>
      <c r="AG338" s="52"/>
      <c r="AH338" s="54"/>
    </row>
    <row r="339" spans="1:34" ht="15.75" x14ac:dyDescent="0.25">
      <c r="A339" s="197"/>
      <c r="B339" s="198"/>
      <c r="C339" s="199"/>
      <c r="D339" s="220" t="s">
        <v>701</v>
      </c>
      <c r="E339" s="221"/>
      <c r="F339" s="221"/>
      <c r="G339" s="221"/>
      <c r="H339" s="221"/>
      <c r="I339" s="222"/>
      <c r="J339" s="63"/>
      <c r="K339" s="226">
        <v>0.15</v>
      </c>
      <c r="L339" s="227"/>
      <c r="M339" s="226"/>
      <c r="N339" s="227"/>
      <c r="O339" s="226">
        <v>0.3</v>
      </c>
      <c r="P339" s="227"/>
      <c r="Q339" s="226"/>
      <c r="R339" s="227"/>
      <c r="S339" s="226">
        <v>4.9000000000000004</v>
      </c>
      <c r="T339" s="227"/>
      <c r="U339" s="226"/>
      <c r="V339" s="227"/>
      <c r="W339" s="223">
        <f t="shared" si="29"/>
        <v>4.4999999999999998E-2</v>
      </c>
      <c r="X339" s="224"/>
      <c r="Y339" s="225"/>
      <c r="Z339" s="203">
        <f t="shared" si="30"/>
        <v>0.2205</v>
      </c>
      <c r="AA339" s="204"/>
      <c r="AB339" s="205"/>
      <c r="AC339" s="51"/>
      <c r="AD339" s="52"/>
      <c r="AE339" s="53"/>
      <c r="AF339" s="51"/>
      <c r="AG339" s="52"/>
      <c r="AH339" s="54"/>
    </row>
    <row r="340" spans="1:34" ht="15.75" x14ac:dyDescent="0.25">
      <c r="A340" s="197"/>
      <c r="B340" s="198"/>
      <c r="C340" s="199"/>
      <c r="D340" s="220" t="s">
        <v>702</v>
      </c>
      <c r="E340" s="221"/>
      <c r="F340" s="221"/>
      <c r="G340" s="221"/>
      <c r="H340" s="221"/>
      <c r="I340" s="222"/>
      <c r="J340" s="63"/>
      <c r="K340" s="226">
        <v>0.15</v>
      </c>
      <c r="L340" s="227"/>
      <c r="M340" s="226"/>
      <c r="N340" s="227"/>
      <c r="O340" s="226">
        <v>0.3</v>
      </c>
      <c r="P340" s="227"/>
      <c r="Q340" s="226"/>
      <c r="R340" s="227"/>
      <c r="S340" s="226">
        <v>4.9000000000000004</v>
      </c>
      <c r="T340" s="227"/>
      <c r="U340" s="226"/>
      <c r="V340" s="227"/>
      <c r="W340" s="223">
        <f t="shared" si="29"/>
        <v>4.4999999999999998E-2</v>
      </c>
      <c r="X340" s="224"/>
      <c r="Y340" s="225"/>
      <c r="Z340" s="203">
        <f t="shared" si="30"/>
        <v>0.2205</v>
      </c>
      <c r="AA340" s="204"/>
      <c r="AB340" s="205"/>
      <c r="AC340" s="51"/>
      <c r="AD340" s="52"/>
      <c r="AE340" s="53"/>
      <c r="AF340" s="51"/>
      <c r="AG340" s="52"/>
      <c r="AH340" s="54"/>
    </row>
    <row r="341" spans="1:34" ht="15.75" x14ac:dyDescent="0.25">
      <c r="A341" s="197"/>
      <c r="B341" s="198"/>
      <c r="C341" s="199"/>
      <c r="D341" s="220" t="s">
        <v>703</v>
      </c>
      <c r="E341" s="221"/>
      <c r="F341" s="221"/>
      <c r="G341" s="221"/>
      <c r="H341" s="221"/>
      <c r="I341" s="222"/>
      <c r="J341" s="63"/>
      <c r="K341" s="226">
        <v>0.15</v>
      </c>
      <c r="L341" s="227"/>
      <c r="M341" s="226"/>
      <c r="N341" s="227"/>
      <c r="O341" s="226">
        <v>0.3</v>
      </c>
      <c r="P341" s="227"/>
      <c r="Q341" s="226"/>
      <c r="R341" s="227"/>
      <c r="S341" s="226">
        <v>4.9000000000000004</v>
      </c>
      <c r="T341" s="227"/>
      <c r="U341" s="202"/>
      <c r="V341" s="199"/>
      <c r="W341" s="223">
        <f t="shared" si="29"/>
        <v>4.4999999999999998E-2</v>
      </c>
      <c r="X341" s="224"/>
      <c r="Y341" s="225"/>
      <c r="Z341" s="203">
        <f t="shared" si="30"/>
        <v>0.2205</v>
      </c>
      <c r="AA341" s="204"/>
      <c r="AB341" s="205"/>
      <c r="AC341" s="51"/>
      <c r="AD341" s="52"/>
      <c r="AE341" s="53"/>
      <c r="AF341" s="51"/>
      <c r="AG341" s="52"/>
      <c r="AH341" s="54"/>
    </row>
    <row r="342" spans="1:34" ht="15.75" x14ac:dyDescent="0.25">
      <c r="A342" s="197"/>
      <c r="B342" s="198"/>
      <c r="C342" s="199"/>
      <c r="D342" s="220" t="s">
        <v>704</v>
      </c>
      <c r="E342" s="221"/>
      <c r="F342" s="221"/>
      <c r="G342" s="221"/>
      <c r="H342" s="221"/>
      <c r="I342" s="222"/>
      <c r="J342" s="63"/>
      <c r="K342" s="226">
        <v>0.15</v>
      </c>
      <c r="L342" s="227"/>
      <c r="M342" s="226"/>
      <c r="N342" s="227"/>
      <c r="O342" s="226">
        <v>0.3</v>
      </c>
      <c r="P342" s="227"/>
      <c r="Q342" s="226"/>
      <c r="R342" s="227"/>
      <c r="S342" s="226">
        <v>4.9000000000000004</v>
      </c>
      <c r="T342" s="227"/>
      <c r="U342" s="226"/>
      <c r="V342" s="227"/>
      <c r="W342" s="223">
        <f t="shared" si="29"/>
        <v>4.4999999999999998E-2</v>
      </c>
      <c r="X342" s="224"/>
      <c r="Y342" s="225"/>
      <c r="Z342" s="203">
        <f t="shared" si="30"/>
        <v>0.2205</v>
      </c>
      <c r="AA342" s="204"/>
      <c r="AB342" s="205"/>
      <c r="AC342" s="51"/>
      <c r="AD342" s="52"/>
      <c r="AE342" s="53"/>
      <c r="AF342" s="51"/>
      <c r="AG342" s="52"/>
      <c r="AH342" s="54"/>
    </row>
    <row r="343" spans="1:34" ht="15.75" x14ac:dyDescent="0.25">
      <c r="A343" s="197"/>
      <c r="B343" s="198"/>
      <c r="C343" s="199"/>
      <c r="D343" s="220" t="s">
        <v>705</v>
      </c>
      <c r="E343" s="221"/>
      <c r="F343" s="221"/>
      <c r="G343" s="221"/>
      <c r="H343" s="221"/>
      <c r="I343" s="222"/>
      <c r="J343" s="63"/>
      <c r="K343" s="226">
        <v>0.15</v>
      </c>
      <c r="L343" s="227"/>
      <c r="M343" s="226"/>
      <c r="N343" s="227"/>
      <c r="O343" s="226">
        <v>0.3</v>
      </c>
      <c r="P343" s="227"/>
      <c r="Q343" s="226"/>
      <c r="R343" s="227"/>
      <c r="S343" s="226">
        <v>4.9000000000000004</v>
      </c>
      <c r="T343" s="227"/>
      <c r="U343" s="226"/>
      <c r="V343" s="227"/>
      <c r="W343" s="223">
        <f t="shared" si="29"/>
        <v>4.4999999999999998E-2</v>
      </c>
      <c r="X343" s="224"/>
      <c r="Y343" s="225"/>
      <c r="Z343" s="203">
        <f t="shared" si="30"/>
        <v>0.2205</v>
      </c>
      <c r="AA343" s="204"/>
      <c r="AB343" s="205"/>
      <c r="AC343" s="51"/>
      <c r="AD343" s="52"/>
      <c r="AE343" s="53"/>
      <c r="AF343" s="51"/>
      <c r="AG343" s="52"/>
      <c r="AH343" s="54"/>
    </row>
    <row r="344" spans="1:34" ht="15.75" x14ac:dyDescent="0.25">
      <c r="A344" s="197"/>
      <c r="B344" s="198"/>
      <c r="C344" s="199"/>
      <c r="D344" s="220" t="s">
        <v>706</v>
      </c>
      <c r="E344" s="221"/>
      <c r="F344" s="221"/>
      <c r="G344" s="221"/>
      <c r="H344" s="221"/>
      <c r="I344" s="222"/>
      <c r="J344" s="63"/>
      <c r="K344" s="226">
        <v>0.15</v>
      </c>
      <c r="L344" s="227"/>
      <c r="M344" s="226"/>
      <c r="N344" s="227"/>
      <c r="O344" s="226">
        <v>0.3</v>
      </c>
      <c r="P344" s="227"/>
      <c r="Q344" s="226"/>
      <c r="R344" s="227"/>
      <c r="S344" s="226">
        <v>3.4</v>
      </c>
      <c r="T344" s="227"/>
      <c r="U344" s="226"/>
      <c r="V344" s="227"/>
      <c r="W344" s="223">
        <f t="shared" si="29"/>
        <v>4.4999999999999998E-2</v>
      </c>
      <c r="X344" s="224"/>
      <c r="Y344" s="225"/>
      <c r="Z344" s="203">
        <f t="shared" si="30"/>
        <v>0.153</v>
      </c>
      <c r="AA344" s="204"/>
      <c r="AB344" s="205"/>
      <c r="AC344" s="51"/>
      <c r="AD344" s="52"/>
      <c r="AE344" s="53"/>
      <c r="AF344" s="51"/>
      <c r="AG344" s="52"/>
      <c r="AH344" s="54"/>
    </row>
    <row r="345" spans="1:34" ht="15.75" x14ac:dyDescent="0.25">
      <c r="A345" s="197"/>
      <c r="B345" s="198"/>
      <c r="C345" s="199"/>
      <c r="D345" s="220" t="s">
        <v>707</v>
      </c>
      <c r="E345" s="221"/>
      <c r="F345" s="221"/>
      <c r="G345" s="221"/>
      <c r="H345" s="221"/>
      <c r="I345" s="222"/>
      <c r="J345" s="63"/>
      <c r="K345" s="226">
        <v>0.15</v>
      </c>
      <c r="L345" s="227"/>
      <c r="M345" s="226"/>
      <c r="N345" s="227"/>
      <c r="O345" s="226">
        <v>0.3</v>
      </c>
      <c r="P345" s="227"/>
      <c r="Q345" s="226"/>
      <c r="R345" s="227"/>
      <c r="S345" s="226">
        <v>3.4</v>
      </c>
      <c r="T345" s="227"/>
      <c r="U345" s="226"/>
      <c r="V345" s="227"/>
      <c r="W345" s="223">
        <f t="shared" si="29"/>
        <v>4.4999999999999998E-2</v>
      </c>
      <c r="X345" s="224"/>
      <c r="Y345" s="225"/>
      <c r="Z345" s="203">
        <f t="shared" si="30"/>
        <v>0.153</v>
      </c>
      <c r="AA345" s="204"/>
      <c r="AB345" s="205"/>
      <c r="AC345" s="51"/>
      <c r="AD345" s="52"/>
      <c r="AE345" s="53"/>
      <c r="AF345" s="51"/>
      <c r="AG345" s="52"/>
      <c r="AH345" s="54"/>
    </row>
    <row r="346" spans="1:34" ht="15.75" x14ac:dyDescent="0.25">
      <c r="A346" s="197"/>
      <c r="B346" s="198"/>
      <c r="C346" s="199"/>
      <c r="D346" s="220" t="s">
        <v>708</v>
      </c>
      <c r="E346" s="221"/>
      <c r="F346" s="221"/>
      <c r="G346" s="221"/>
      <c r="H346" s="221"/>
      <c r="I346" s="222"/>
      <c r="J346" s="63"/>
      <c r="K346" s="226">
        <v>0.15</v>
      </c>
      <c r="L346" s="227"/>
      <c r="M346" s="226"/>
      <c r="N346" s="227"/>
      <c r="O346" s="226">
        <v>0.3</v>
      </c>
      <c r="P346" s="227"/>
      <c r="Q346" s="226"/>
      <c r="R346" s="227"/>
      <c r="S346" s="226">
        <v>3.4</v>
      </c>
      <c r="T346" s="227"/>
      <c r="U346" s="226"/>
      <c r="V346" s="227"/>
      <c r="W346" s="223">
        <f t="shared" si="29"/>
        <v>4.4999999999999998E-2</v>
      </c>
      <c r="X346" s="224"/>
      <c r="Y346" s="225"/>
      <c r="Z346" s="203">
        <f t="shared" si="30"/>
        <v>0.153</v>
      </c>
      <c r="AA346" s="204"/>
      <c r="AB346" s="205"/>
      <c r="AC346" s="51"/>
      <c r="AD346" s="52"/>
      <c r="AE346" s="53"/>
      <c r="AF346" s="51"/>
      <c r="AG346" s="52"/>
      <c r="AH346" s="54"/>
    </row>
    <row r="347" spans="1:34" ht="15.75" x14ac:dyDescent="0.25">
      <c r="A347" s="197"/>
      <c r="B347" s="198"/>
      <c r="C347" s="199"/>
      <c r="D347" s="220" t="s">
        <v>709</v>
      </c>
      <c r="E347" s="221"/>
      <c r="F347" s="221"/>
      <c r="G347" s="221"/>
      <c r="H347" s="221"/>
      <c r="I347" s="222"/>
      <c r="J347" s="63"/>
      <c r="K347" s="226">
        <v>0.15</v>
      </c>
      <c r="L347" s="227"/>
      <c r="M347" s="226"/>
      <c r="N347" s="227"/>
      <c r="O347" s="226">
        <v>0.3</v>
      </c>
      <c r="P347" s="227"/>
      <c r="Q347" s="226"/>
      <c r="R347" s="227"/>
      <c r="S347" s="226">
        <v>3.4</v>
      </c>
      <c r="T347" s="227"/>
      <c r="U347" s="226"/>
      <c r="V347" s="227"/>
      <c r="W347" s="223">
        <f t="shared" si="29"/>
        <v>4.4999999999999998E-2</v>
      </c>
      <c r="X347" s="224"/>
      <c r="Y347" s="225"/>
      <c r="Z347" s="203">
        <f t="shared" si="30"/>
        <v>0.153</v>
      </c>
      <c r="AA347" s="204"/>
      <c r="AB347" s="205"/>
      <c r="AC347" s="51"/>
      <c r="AD347" s="52"/>
      <c r="AE347" s="53"/>
      <c r="AF347" s="51"/>
      <c r="AG347" s="52"/>
      <c r="AH347" s="54"/>
    </row>
    <row r="348" spans="1:34" ht="15.75" x14ac:dyDescent="0.25">
      <c r="A348" s="197"/>
      <c r="B348" s="198"/>
      <c r="C348" s="199"/>
      <c r="D348" s="220" t="s">
        <v>710</v>
      </c>
      <c r="E348" s="221"/>
      <c r="F348" s="221"/>
      <c r="G348" s="221"/>
      <c r="H348" s="221"/>
      <c r="I348" s="222"/>
      <c r="J348" s="63"/>
      <c r="K348" s="226">
        <v>0.15</v>
      </c>
      <c r="L348" s="227"/>
      <c r="M348" s="226"/>
      <c r="N348" s="227"/>
      <c r="O348" s="226">
        <v>0.3</v>
      </c>
      <c r="P348" s="227"/>
      <c r="Q348" s="226"/>
      <c r="R348" s="227"/>
      <c r="S348" s="226">
        <v>3.4</v>
      </c>
      <c r="T348" s="227"/>
      <c r="U348" s="226"/>
      <c r="V348" s="227"/>
      <c r="W348" s="223">
        <f t="shared" si="29"/>
        <v>4.4999999999999998E-2</v>
      </c>
      <c r="X348" s="224"/>
      <c r="Y348" s="225"/>
      <c r="Z348" s="203">
        <f t="shared" si="30"/>
        <v>0.153</v>
      </c>
      <c r="AA348" s="204"/>
      <c r="AB348" s="205"/>
      <c r="AC348" s="51"/>
      <c r="AD348" s="52"/>
      <c r="AE348" s="53"/>
      <c r="AF348" s="51"/>
      <c r="AG348" s="52"/>
      <c r="AH348" s="54"/>
    </row>
    <row r="349" spans="1:34" ht="15.75" x14ac:dyDescent="0.25">
      <c r="A349" s="197"/>
      <c r="B349" s="198"/>
      <c r="C349" s="199"/>
      <c r="D349" s="220" t="s">
        <v>711</v>
      </c>
      <c r="E349" s="221"/>
      <c r="F349" s="221"/>
      <c r="G349" s="221"/>
      <c r="H349" s="221"/>
      <c r="I349" s="222"/>
      <c r="J349" s="63"/>
      <c r="K349" s="226">
        <v>0.25</v>
      </c>
      <c r="L349" s="227"/>
      <c r="M349" s="226"/>
      <c r="N349" s="227"/>
      <c r="O349" s="226">
        <v>0.3</v>
      </c>
      <c r="P349" s="227"/>
      <c r="Q349" s="202"/>
      <c r="R349" s="199"/>
      <c r="S349" s="202">
        <v>3.4</v>
      </c>
      <c r="T349" s="199"/>
      <c r="U349" s="202"/>
      <c r="V349" s="199"/>
      <c r="W349" s="223">
        <f t="shared" si="29"/>
        <v>7.4999999999999997E-2</v>
      </c>
      <c r="X349" s="224"/>
      <c r="Y349" s="225"/>
      <c r="Z349" s="203">
        <f t="shared" si="30"/>
        <v>0.255</v>
      </c>
      <c r="AA349" s="204"/>
      <c r="AB349" s="205"/>
      <c r="AC349" s="51"/>
      <c r="AD349" s="52"/>
      <c r="AE349" s="53"/>
      <c r="AF349" s="51"/>
      <c r="AG349" s="52"/>
      <c r="AH349" s="54"/>
    </row>
    <row r="350" spans="1:34" ht="15.75" x14ac:dyDescent="0.25">
      <c r="A350" s="197"/>
      <c r="B350" s="198"/>
      <c r="C350" s="199"/>
      <c r="D350" s="220" t="s">
        <v>712</v>
      </c>
      <c r="E350" s="221"/>
      <c r="F350" s="221"/>
      <c r="G350" s="221"/>
      <c r="H350" s="221"/>
      <c r="I350" s="222"/>
      <c r="J350" s="63"/>
      <c r="K350" s="226">
        <v>0.25</v>
      </c>
      <c r="L350" s="227"/>
      <c r="M350" s="226"/>
      <c r="N350" s="227"/>
      <c r="O350" s="226">
        <v>0.3</v>
      </c>
      <c r="P350" s="227"/>
      <c r="Q350" s="226"/>
      <c r="R350" s="227"/>
      <c r="S350" s="226">
        <v>4.9000000000000004</v>
      </c>
      <c r="T350" s="227"/>
      <c r="U350" s="226"/>
      <c r="V350" s="227"/>
      <c r="W350" s="223">
        <f t="shared" si="29"/>
        <v>7.4999999999999997E-2</v>
      </c>
      <c r="X350" s="224"/>
      <c r="Y350" s="225"/>
      <c r="Z350" s="203">
        <f t="shared" si="30"/>
        <v>0.36749999999999999</v>
      </c>
      <c r="AA350" s="204"/>
      <c r="AB350" s="205"/>
      <c r="AC350" s="51"/>
      <c r="AD350" s="52"/>
      <c r="AE350" s="53"/>
      <c r="AF350" s="51"/>
      <c r="AG350" s="52"/>
      <c r="AH350" s="54"/>
    </row>
    <row r="351" spans="1:34" ht="15.75" x14ac:dyDescent="0.25">
      <c r="A351" s="197"/>
      <c r="B351" s="198"/>
      <c r="C351" s="199"/>
      <c r="D351" s="220" t="s">
        <v>713</v>
      </c>
      <c r="E351" s="221"/>
      <c r="F351" s="221"/>
      <c r="G351" s="221"/>
      <c r="H351" s="221"/>
      <c r="I351" s="222"/>
      <c r="J351" s="63"/>
      <c r="K351" s="226">
        <v>0.15</v>
      </c>
      <c r="L351" s="227"/>
      <c r="M351" s="226"/>
      <c r="N351" s="227"/>
      <c r="O351" s="226">
        <v>0.3</v>
      </c>
      <c r="P351" s="227"/>
      <c r="Q351" s="226"/>
      <c r="R351" s="227"/>
      <c r="S351" s="226">
        <v>4.9000000000000004</v>
      </c>
      <c r="T351" s="227"/>
      <c r="U351" s="226"/>
      <c r="V351" s="227"/>
      <c r="W351" s="223">
        <f t="shared" si="29"/>
        <v>4.4999999999999998E-2</v>
      </c>
      <c r="X351" s="224"/>
      <c r="Y351" s="225"/>
      <c r="Z351" s="203">
        <f t="shared" si="30"/>
        <v>0.2205</v>
      </c>
      <c r="AA351" s="204"/>
      <c r="AB351" s="205"/>
      <c r="AC351" s="51"/>
      <c r="AD351" s="52"/>
      <c r="AE351" s="53"/>
      <c r="AF351" s="51"/>
      <c r="AG351" s="52"/>
      <c r="AH351" s="54"/>
    </row>
    <row r="352" spans="1:34" ht="15.75" x14ac:dyDescent="0.25">
      <c r="A352" s="197"/>
      <c r="B352" s="198"/>
      <c r="C352" s="199"/>
      <c r="D352" s="220" t="s">
        <v>714</v>
      </c>
      <c r="E352" s="221"/>
      <c r="F352" s="221"/>
      <c r="G352" s="221"/>
      <c r="H352" s="221"/>
      <c r="I352" s="222"/>
      <c r="J352" s="63"/>
      <c r="K352" s="226">
        <v>0.15</v>
      </c>
      <c r="L352" s="227"/>
      <c r="M352" s="226"/>
      <c r="N352" s="227"/>
      <c r="O352" s="226">
        <v>0.3</v>
      </c>
      <c r="P352" s="227"/>
      <c r="Q352" s="226"/>
      <c r="R352" s="227"/>
      <c r="S352" s="226">
        <v>4.9000000000000004</v>
      </c>
      <c r="T352" s="227"/>
      <c r="U352" s="226"/>
      <c r="V352" s="227"/>
      <c r="W352" s="223">
        <f t="shared" si="29"/>
        <v>4.4999999999999998E-2</v>
      </c>
      <c r="X352" s="224"/>
      <c r="Y352" s="225"/>
      <c r="Z352" s="203">
        <f t="shared" si="30"/>
        <v>0.2205</v>
      </c>
      <c r="AA352" s="204"/>
      <c r="AB352" s="205"/>
      <c r="AC352" s="51"/>
      <c r="AD352" s="52"/>
      <c r="AE352" s="53"/>
      <c r="AF352" s="51"/>
      <c r="AG352" s="52"/>
      <c r="AH352" s="54"/>
    </row>
    <row r="353" spans="1:34" ht="15.75" x14ac:dyDescent="0.25">
      <c r="A353" s="197"/>
      <c r="B353" s="198"/>
      <c r="C353" s="199"/>
      <c r="D353" s="220" t="s">
        <v>715</v>
      </c>
      <c r="E353" s="221"/>
      <c r="F353" s="221"/>
      <c r="G353" s="221"/>
      <c r="H353" s="221"/>
      <c r="I353" s="222"/>
      <c r="J353" s="63"/>
      <c r="K353" s="226">
        <v>0.15</v>
      </c>
      <c r="L353" s="227"/>
      <c r="M353" s="226"/>
      <c r="N353" s="227"/>
      <c r="O353" s="226">
        <v>0.3</v>
      </c>
      <c r="P353" s="227"/>
      <c r="Q353" s="226"/>
      <c r="R353" s="227"/>
      <c r="S353" s="226">
        <v>4.9000000000000004</v>
      </c>
      <c r="T353" s="227"/>
      <c r="U353" s="226"/>
      <c r="V353" s="227"/>
      <c r="W353" s="223">
        <f t="shared" si="29"/>
        <v>4.4999999999999998E-2</v>
      </c>
      <c r="X353" s="224"/>
      <c r="Y353" s="225"/>
      <c r="Z353" s="203">
        <f t="shared" si="30"/>
        <v>0.2205</v>
      </c>
      <c r="AA353" s="204"/>
      <c r="AB353" s="205"/>
      <c r="AC353" s="51"/>
      <c r="AD353" s="52"/>
      <c r="AE353" s="53"/>
      <c r="AF353" s="51"/>
      <c r="AG353" s="52"/>
      <c r="AH353" s="54"/>
    </row>
    <row r="354" spans="1:34" ht="15.75" x14ac:dyDescent="0.25">
      <c r="A354" s="197"/>
      <c r="B354" s="198"/>
      <c r="C354" s="199"/>
      <c r="D354" s="220" t="s">
        <v>716</v>
      </c>
      <c r="E354" s="221"/>
      <c r="F354" s="221"/>
      <c r="G354" s="221"/>
      <c r="H354" s="221"/>
      <c r="I354" s="222"/>
      <c r="J354" s="63"/>
      <c r="K354" s="226">
        <v>0.15</v>
      </c>
      <c r="L354" s="227"/>
      <c r="M354" s="226"/>
      <c r="N354" s="227"/>
      <c r="O354" s="226">
        <v>0.3</v>
      </c>
      <c r="P354" s="227"/>
      <c r="Q354" s="226"/>
      <c r="R354" s="227"/>
      <c r="S354" s="226">
        <v>3.4</v>
      </c>
      <c r="T354" s="227"/>
      <c r="U354" s="226"/>
      <c r="V354" s="227"/>
      <c r="W354" s="223">
        <f t="shared" si="29"/>
        <v>4.4999999999999998E-2</v>
      </c>
      <c r="X354" s="224"/>
      <c r="Y354" s="225"/>
      <c r="Z354" s="203">
        <f t="shared" si="30"/>
        <v>0.153</v>
      </c>
      <c r="AA354" s="204"/>
      <c r="AB354" s="205"/>
      <c r="AC354" s="51"/>
      <c r="AD354" s="52"/>
      <c r="AE354" s="53"/>
      <c r="AF354" s="51"/>
      <c r="AG354" s="52"/>
      <c r="AH354" s="54"/>
    </row>
    <row r="355" spans="1:34" ht="15.75" x14ac:dyDescent="0.25">
      <c r="A355" s="197"/>
      <c r="B355" s="198"/>
      <c r="C355" s="199"/>
      <c r="D355" s="220" t="s">
        <v>717</v>
      </c>
      <c r="E355" s="221"/>
      <c r="F355" s="221"/>
      <c r="G355" s="221"/>
      <c r="H355" s="221"/>
      <c r="I355" s="222"/>
      <c r="J355" s="63"/>
      <c r="K355" s="226">
        <v>0.15</v>
      </c>
      <c r="L355" s="227"/>
      <c r="M355" s="226"/>
      <c r="N355" s="227"/>
      <c r="O355" s="226">
        <v>0.3</v>
      </c>
      <c r="P355" s="227"/>
      <c r="Q355" s="226"/>
      <c r="R355" s="227"/>
      <c r="S355" s="226">
        <v>3.4</v>
      </c>
      <c r="T355" s="227"/>
      <c r="U355" s="226"/>
      <c r="V355" s="227"/>
      <c r="W355" s="223">
        <f t="shared" si="29"/>
        <v>4.4999999999999998E-2</v>
      </c>
      <c r="X355" s="224"/>
      <c r="Y355" s="225"/>
      <c r="Z355" s="203">
        <f t="shared" si="30"/>
        <v>0.153</v>
      </c>
      <c r="AA355" s="204"/>
      <c r="AB355" s="205"/>
      <c r="AC355" s="51"/>
      <c r="AD355" s="52"/>
      <c r="AE355" s="53"/>
      <c r="AF355" s="51"/>
      <c r="AG355" s="52"/>
      <c r="AH355" s="54"/>
    </row>
    <row r="356" spans="1:34" ht="15.75" x14ac:dyDescent="0.25">
      <c r="A356" s="197"/>
      <c r="B356" s="198"/>
      <c r="C356" s="199"/>
      <c r="D356" s="220" t="s">
        <v>718</v>
      </c>
      <c r="E356" s="221"/>
      <c r="F356" s="221"/>
      <c r="G356" s="221"/>
      <c r="H356" s="221"/>
      <c r="I356" s="222"/>
      <c r="J356" s="63"/>
      <c r="K356" s="226">
        <v>0.15</v>
      </c>
      <c r="L356" s="227"/>
      <c r="M356" s="226"/>
      <c r="N356" s="227"/>
      <c r="O356" s="226">
        <v>0.3</v>
      </c>
      <c r="P356" s="227"/>
      <c r="Q356" s="226"/>
      <c r="R356" s="227"/>
      <c r="S356" s="226">
        <v>3.4</v>
      </c>
      <c r="T356" s="227"/>
      <c r="U356" s="226"/>
      <c r="V356" s="227"/>
      <c r="W356" s="223">
        <f t="shared" si="29"/>
        <v>4.4999999999999998E-2</v>
      </c>
      <c r="X356" s="224"/>
      <c r="Y356" s="225"/>
      <c r="Z356" s="203">
        <f t="shared" si="30"/>
        <v>0.153</v>
      </c>
      <c r="AA356" s="204"/>
      <c r="AB356" s="205"/>
      <c r="AC356" s="51"/>
      <c r="AD356" s="52"/>
      <c r="AE356" s="53"/>
      <c r="AF356" s="51"/>
      <c r="AG356" s="52"/>
      <c r="AH356" s="54"/>
    </row>
    <row r="357" spans="1:34" ht="15.75" x14ac:dyDescent="0.25">
      <c r="A357" s="197"/>
      <c r="B357" s="198"/>
      <c r="C357" s="199"/>
      <c r="D357" s="220" t="s">
        <v>719</v>
      </c>
      <c r="E357" s="221"/>
      <c r="F357" s="221"/>
      <c r="G357" s="221"/>
      <c r="H357" s="221"/>
      <c r="I357" s="222"/>
      <c r="J357" s="63"/>
      <c r="K357" s="226">
        <v>0.15</v>
      </c>
      <c r="L357" s="227"/>
      <c r="M357" s="226"/>
      <c r="N357" s="227"/>
      <c r="O357" s="226">
        <v>0.3</v>
      </c>
      <c r="P357" s="227"/>
      <c r="Q357" s="226"/>
      <c r="R357" s="227"/>
      <c r="S357" s="226">
        <v>3.4</v>
      </c>
      <c r="T357" s="227"/>
      <c r="U357" s="202"/>
      <c r="V357" s="199"/>
      <c r="W357" s="223">
        <f t="shared" si="29"/>
        <v>4.4999999999999998E-2</v>
      </c>
      <c r="X357" s="224"/>
      <c r="Y357" s="225"/>
      <c r="Z357" s="203">
        <f t="shared" si="30"/>
        <v>0.153</v>
      </c>
      <c r="AA357" s="204"/>
      <c r="AB357" s="205"/>
      <c r="AC357" s="51"/>
      <c r="AD357" s="52"/>
      <c r="AE357" s="53"/>
      <c r="AF357" s="51"/>
      <c r="AG357" s="52"/>
      <c r="AH357" s="54"/>
    </row>
    <row r="358" spans="1:34" ht="15.75" x14ac:dyDescent="0.25">
      <c r="A358" s="197"/>
      <c r="B358" s="198"/>
      <c r="C358" s="199"/>
      <c r="D358" s="220" t="s">
        <v>720</v>
      </c>
      <c r="E358" s="221"/>
      <c r="F358" s="221"/>
      <c r="G358" s="221"/>
      <c r="H358" s="221"/>
      <c r="I358" s="222"/>
      <c r="J358" s="63"/>
      <c r="K358" s="226">
        <v>0.15</v>
      </c>
      <c r="L358" s="227"/>
      <c r="M358" s="226"/>
      <c r="N358" s="227"/>
      <c r="O358" s="226">
        <v>0.3</v>
      </c>
      <c r="P358" s="227"/>
      <c r="Q358" s="226"/>
      <c r="R358" s="227"/>
      <c r="S358" s="226">
        <v>3.4</v>
      </c>
      <c r="T358" s="227"/>
      <c r="U358" s="226"/>
      <c r="V358" s="227"/>
      <c r="W358" s="223">
        <f t="shared" si="29"/>
        <v>4.4999999999999998E-2</v>
      </c>
      <c r="X358" s="224"/>
      <c r="Y358" s="225"/>
      <c r="Z358" s="203">
        <f t="shared" si="30"/>
        <v>0.153</v>
      </c>
      <c r="AA358" s="204"/>
      <c r="AB358" s="205"/>
      <c r="AC358" s="51"/>
      <c r="AD358" s="52"/>
      <c r="AE358" s="53"/>
      <c r="AF358" s="51"/>
      <c r="AG358" s="52"/>
      <c r="AH358" s="54"/>
    </row>
    <row r="359" spans="1:34" ht="15.75" x14ac:dyDescent="0.25">
      <c r="A359" s="197"/>
      <c r="B359" s="198"/>
      <c r="C359" s="199"/>
      <c r="D359" s="220" t="s">
        <v>721</v>
      </c>
      <c r="E359" s="221"/>
      <c r="F359" s="221"/>
      <c r="G359" s="221"/>
      <c r="H359" s="221"/>
      <c r="I359" s="222"/>
      <c r="J359" s="63"/>
      <c r="K359" s="226">
        <v>0.15</v>
      </c>
      <c r="L359" s="227"/>
      <c r="M359" s="226"/>
      <c r="N359" s="227"/>
      <c r="O359" s="226">
        <v>0.3</v>
      </c>
      <c r="P359" s="227"/>
      <c r="Q359" s="226"/>
      <c r="R359" s="227"/>
      <c r="S359" s="226">
        <v>3.4</v>
      </c>
      <c r="T359" s="227"/>
      <c r="U359" s="226"/>
      <c r="V359" s="227"/>
      <c r="W359" s="223">
        <f t="shared" si="29"/>
        <v>4.4999999999999998E-2</v>
      </c>
      <c r="X359" s="224"/>
      <c r="Y359" s="225"/>
      <c r="Z359" s="203">
        <f t="shared" si="30"/>
        <v>0.153</v>
      </c>
      <c r="AA359" s="204"/>
      <c r="AB359" s="205"/>
      <c r="AC359" s="51"/>
      <c r="AD359" s="52"/>
      <c r="AE359" s="53"/>
      <c r="AF359" s="51"/>
      <c r="AG359" s="52"/>
      <c r="AH359" s="54"/>
    </row>
    <row r="360" spans="1:34" ht="15.75" x14ac:dyDescent="0.25">
      <c r="A360" s="197"/>
      <c r="B360" s="198"/>
      <c r="C360" s="199"/>
      <c r="D360" s="220" t="s">
        <v>722</v>
      </c>
      <c r="E360" s="221"/>
      <c r="F360" s="221"/>
      <c r="G360" s="221"/>
      <c r="H360" s="221"/>
      <c r="I360" s="222"/>
      <c r="J360" s="63"/>
      <c r="K360" s="226">
        <v>0.15</v>
      </c>
      <c r="L360" s="227"/>
      <c r="M360" s="226"/>
      <c r="N360" s="227"/>
      <c r="O360" s="226">
        <v>0.3</v>
      </c>
      <c r="P360" s="227"/>
      <c r="Q360" s="226"/>
      <c r="R360" s="227"/>
      <c r="S360" s="226">
        <v>4.9000000000000004</v>
      </c>
      <c r="T360" s="227"/>
      <c r="U360" s="226"/>
      <c r="V360" s="227"/>
      <c r="W360" s="223">
        <f t="shared" si="29"/>
        <v>4.4999999999999998E-2</v>
      </c>
      <c r="X360" s="224"/>
      <c r="Y360" s="225"/>
      <c r="Z360" s="203">
        <f t="shared" si="30"/>
        <v>0.2205</v>
      </c>
      <c r="AA360" s="204"/>
      <c r="AB360" s="205"/>
      <c r="AC360" s="51"/>
      <c r="AD360" s="52"/>
      <c r="AE360" s="53"/>
      <c r="AF360" s="51"/>
      <c r="AG360" s="52"/>
      <c r="AH360" s="54"/>
    </row>
    <row r="361" spans="1:34" ht="15.75" x14ac:dyDescent="0.25">
      <c r="A361" s="197"/>
      <c r="B361" s="198"/>
      <c r="C361" s="199"/>
      <c r="D361" s="220" t="s">
        <v>723</v>
      </c>
      <c r="E361" s="221"/>
      <c r="F361" s="221"/>
      <c r="G361" s="221"/>
      <c r="H361" s="221"/>
      <c r="I361" s="222"/>
      <c r="J361" s="63"/>
      <c r="K361" s="226">
        <v>0.15</v>
      </c>
      <c r="L361" s="227"/>
      <c r="M361" s="226"/>
      <c r="N361" s="227"/>
      <c r="O361" s="226">
        <v>0.3</v>
      </c>
      <c r="P361" s="227"/>
      <c r="Q361" s="226"/>
      <c r="R361" s="227"/>
      <c r="S361" s="226">
        <v>3.4</v>
      </c>
      <c r="T361" s="227"/>
      <c r="U361" s="226"/>
      <c r="V361" s="227"/>
      <c r="W361" s="223">
        <f t="shared" si="29"/>
        <v>4.4999999999999998E-2</v>
      </c>
      <c r="X361" s="224"/>
      <c r="Y361" s="225"/>
      <c r="Z361" s="203">
        <f t="shared" si="30"/>
        <v>0.153</v>
      </c>
      <c r="AA361" s="204"/>
      <c r="AB361" s="205"/>
      <c r="AC361" s="51"/>
      <c r="AD361" s="52"/>
      <c r="AE361" s="53"/>
      <c r="AF361" s="51"/>
      <c r="AG361" s="52"/>
      <c r="AH361" s="54"/>
    </row>
    <row r="362" spans="1:34" ht="15.75" x14ac:dyDescent="0.25">
      <c r="A362" s="197"/>
      <c r="B362" s="198"/>
      <c r="C362" s="199"/>
      <c r="D362" s="220" t="s">
        <v>724</v>
      </c>
      <c r="E362" s="221"/>
      <c r="F362" s="221"/>
      <c r="G362" s="221"/>
      <c r="H362" s="221"/>
      <c r="I362" s="222"/>
      <c r="J362" s="63"/>
      <c r="K362" s="226">
        <v>0.15</v>
      </c>
      <c r="L362" s="227"/>
      <c r="M362" s="226"/>
      <c r="N362" s="227"/>
      <c r="O362" s="226">
        <v>0.3</v>
      </c>
      <c r="P362" s="227"/>
      <c r="Q362" s="226"/>
      <c r="R362" s="227"/>
      <c r="S362" s="226">
        <v>4.9000000000000004</v>
      </c>
      <c r="T362" s="227"/>
      <c r="U362" s="226"/>
      <c r="V362" s="227"/>
      <c r="W362" s="223">
        <f t="shared" si="29"/>
        <v>4.4999999999999998E-2</v>
      </c>
      <c r="X362" s="224"/>
      <c r="Y362" s="225"/>
      <c r="Z362" s="203">
        <f t="shared" si="30"/>
        <v>0.2205</v>
      </c>
      <c r="AA362" s="204"/>
      <c r="AB362" s="205"/>
      <c r="AC362" s="51"/>
      <c r="AD362" s="52"/>
      <c r="AE362" s="53"/>
      <c r="AF362" s="51"/>
      <c r="AG362" s="52"/>
      <c r="AH362" s="54"/>
    </row>
    <row r="363" spans="1:34" ht="15.75" x14ac:dyDescent="0.25">
      <c r="A363" s="197"/>
      <c r="B363" s="198"/>
      <c r="C363" s="199"/>
      <c r="D363" s="220" t="s">
        <v>725</v>
      </c>
      <c r="E363" s="221"/>
      <c r="F363" s="221"/>
      <c r="G363" s="221"/>
      <c r="H363" s="221"/>
      <c r="I363" s="222"/>
      <c r="J363" s="63"/>
      <c r="K363" s="226">
        <v>0.15</v>
      </c>
      <c r="L363" s="227"/>
      <c r="M363" s="226"/>
      <c r="N363" s="227"/>
      <c r="O363" s="226">
        <v>0.3</v>
      </c>
      <c r="P363" s="227"/>
      <c r="Q363" s="226"/>
      <c r="R363" s="227"/>
      <c r="S363" s="226">
        <v>4.9000000000000004</v>
      </c>
      <c r="T363" s="227"/>
      <c r="U363" s="226"/>
      <c r="V363" s="227"/>
      <c r="W363" s="223">
        <f t="shared" si="29"/>
        <v>4.4999999999999998E-2</v>
      </c>
      <c r="X363" s="224"/>
      <c r="Y363" s="225"/>
      <c r="Z363" s="203">
        <f t="shared" si="30"/>
        <v>0.2205</v>
      </c>
      <c r="AA363" s="204"/>
      <c r="AB363" s="205"/>
      <c r="AC363" s="51"/>
      <c r="AD363" s="52"/>
      <c r="AE363" s="53"/>
      <c r="AF363" s="51"/>
      <c r="AG363" s="52"/>
      <c r="AH363" s="54"/>
    </row>
    <row r="364" spans="1:34" ht="15.75" x14ac:dyDescent="0.25">
      <c r="A364" s="197"/>
      <c r="B364" s="198"/>
      <c r="C364" s="199"/>
      <c r="D364" s="220" t="s">
        <v>726</v>
      </c>
      <c r="E364" s="221"/>
      <c r="F364" s="221"/>
      <c r="G364" s="221"/>
      <c r="H364" s="221"/>
      <c r="I364" s="222"/>
      <c r="J364" s="63"/>
      <c r="K364" s="226">
        <v>0.15</v>
      </c>
      <c r="L364" s="227"/>
      <c r="M364" s="226"/>
      <c r="N364" s="227"/>
      <c r="O364" s="226">
        <v>0.3</v>
      </c>
      <c r="P364" s="227"/>
      <c r="Q364" s="226"/>
      <c r="R364" s="227"/>
      <c r="S364" s="226">
        <v>3.4</v>
      </c>
      <c r="T364" s="227"/>
      <c r="U364" s="226"/>
      <c r="V364" s="227"/>
      <c r="W364" s="223">
        <f t="shared" si="29"/>
        <v>4.4999999999999998E-2</v>
      </c>
      <c r="X364" s="224"/>
      <c r="Y364" s="225"/>
      <c r="Z364" s="203">
        <f t="shared" si="30"/>
        <v>0.153</v>
      </c>
      <c r="AA364" s="204"/>
      <c r="AB364" s="205"/>
      <c r="AC364" s="51"/>
      <c r="AD364" s="52"/>
      <c r="AE364" s="53"/>
      <c r="AF364" s="51"/>
      <c r="AG364" s="52"/>
      <c r="AH364" s="54"/>
    </row>
    <row r="365" spans="1:34" ht="15.75" x14ac:dyDescent="0.25">
      <c r="A365" s="197"/>
      <c r="B365" s="198"/>
      <c r="C365" s="199"/>
      <c r="D365" s="220" t="s">
        <v>727</v>
      </c>
      <c r="E365" s="221"/>
      <c r="F365" s="221"/>
      <c r="G365" s="221"/>
      <c r="H365" s="221"/>
      <c r="I365" s="222"/>
      <c r="J365" s="63"/>
      <c r="K365" s="226">
        <v>0.15</v>
      </c>
      <c r="L365" s="227"/>
      <c r="M365" s="226"/>
      <c r="N365" s="227"/>
      <c r="O365" s="226">
        <v>0.3</v>
      </c>
      <c r="P365" s="227"/>
      <c r="Q365" s="226"/>
      <c r="R365" s="227"/>
      <c r="S365" s="226">
        <v>3.4</v>
      </c>
      <c r="T365" s="227"/>
      <c r="U365" s="202"/>
      <c r="V365" s="199"/>
      <c r="W365" s="223">
        <f t="shared" si="29"/>
        <v>4.4999999999999998E-2</v>
      </c>
      <c r="X365" s="224"/>
      <c r="Y365" s="225"/>
      <c r="Z365" s="203">
        <f t="shared" si="30"/>
        <v>0.153</v>
      </c>
      <c r="AA365" s="204"/>
      <c r="AB365" s="205"/>
      <c r="AC365" s="51"/>
      <c r="AD365" s="52"/>
      <c r="AE365" s="53"/>
      <c r="AF365" s="51"/>
      <c r="AG365" s="52"/>
      <c r="AH365" s="54"/>
    </row>
    <row r="366" spans="1:34" ht="15.75" x14ac:dyDescent="0.25">
      <c r="A366" s="197"/>
      <c r="B366" s="198"/>
      <c r="C366" s="199"/>
      <c r="D366" s="220" t="s">
        <v>728</v>
      </c>
      <c r="E366" s="221"/>
      <c r="F366" s="221"/>
      <c r="G366" s="221"/>
      <c r="H366" s="221"/>
      <c r="I366" s="222"/>
      <c r="J366" s="63"/>
      <c r="K366" s="226">
        <v>0.15</v>
      </c>
      <c r="L366" s="227"/>
      <c r="M366" s="226"/>
      <c r="N366" s="227"/>
      <c r="O366" s="226">
        <v>0.3</v>
      </c>
      <c r="P366" s="227"/>
      <c r="Q366" s="226"/>
      <c r="R366" s="227"/>
      <c r="S366" s="226">
        <v>3.4</v>
      </c>
      <c r="T366" s="227"/>
      <c r="U366" s="226"/>
      <c r="V366" s="227"/>
      <c r="W366" s="223">
        <f t="shared" si="29"/>
        <v>4.4999999999999998E-2</v>
      </c>
      <c r="X366" s="224"/>
      <c r="Y366" s="225"/>
      <c r="Z366" s="203">
        <f t="shared" si="30"/>
        <v>0.153</v>
      </c>
      <c r="AA366" s="204"/>
      <c r="AB366" s="205"/>
      <c r="AC366" s="51"/>
      <c r="AD366" s="52"/>
      <c r="AE366" s="53"/>
      <c r="AF366" s="51"/>
      <c r="AG366" s="52"/>
      <c r="AH366" s="54"/>
    </row>
    <row r="367" spans="1:34" ht="15.75" x14ac:dyDescent="0.25">
      <c r="A367" s="197"/>
      <c r="B367" s="198"/>
      <c r="C367" s="199"/>
      <c r="D367" s="220" t="s">
        <v>729</v>
      </c>
      <c r="E367" s="221"/>
      <c r="F367" s="221"/>
      <c r="G367" s="221"/>
      <c r="H367" s="221"/>
      <c r="I367" s="222"/>
      <c r="J367" s="63"/>
      <c r="K367" s="226">
        <v>0.15</v>
      </c>
      <c r="L367" s="227"/>
      <c r="M367" s="226"/>
      <c r="N367" s="227"/>
      <c r="O367" s="226">
        <v>0.3</v>
      </c>
      <c r="P367" s="227"/>
      <c r="Q367" s="226"/>
      <c r="R367" s="227"/>
      <c r="S367" s="226">
        <v>3.4</v>
      </c>
      <c r="T367" s="227"/>
      <c r="U367" s="226"/>
      <c r="V367" s="227"/>
      <c r="W367" s="223">
        <f t="shared" si="29"/>
        <v>4.4999999999999998E-2</v>
      </c>
      <c r="X367" s="224"/>
      <c r="Y367" s="225"/>
      <c r="Z367" s="203">
        <f t="shared" si="30"/>
        <v>0.153</v>
      </c>
      <c r="AA367" s="204"/>
      <c r="AB367" s="205"/>
      <c r="AC367" s="51"/>
      <c r="AD367" s="52"/>
      <c r="AE367" s="53"/>
      <c r="AF367" s="51"/>
      <c r="AG367" s="52"/>
      <c r="AH367" s="54"/>
    </row>
    <row r="368" spans="1:34" ht="15.75" x14ac:dyDescent="0.25">
      <c r="A368" s="197"/>
      <c r="B368" s="198"/>
      <c r="C368" s="199"/>
      <c r="D368" s="220" t="s">
        <v>730</v>
      </c>
      <c r="E368" s="221"/>
      <c r="F368" s="221"/>
      <c r="G368" s="221"/>
      <c r="H368" s="221"/>
      <c r="I368" s="222"/>
      <c r="J368" s="63"/>
      <c r="K368" s="226">
        <v>0.15</v>
      </c>
      <c r="L368" s="227"/>
      <c r="M368" s="226"/>
      <c r="N368" s="227"/>
      <c r="O368" s="226">
        <v>0.3</v>
      </c>
      <c r="P368" s="227"/>
      <c r="Q368" s="226"/>
      <c r="R368" s="227"/>
      <c r="S368" s="226">
        <v>3.4</v>
      </c>
      <c r="T368" s="227"/>
      <c r="U368" s="226"/>
      <c r="V368" s="227"/>
      <c r="W368" s="223">
        <f t="shared" si="29"/>
        <v>4.4999999999999998E-2</v>
      </c>
      <c r="X368" s="224"/>
      <c r="Y368" s="225"/>
      <c r="Z368" s="203">
        <f t="shared" si="30"/>
        <v>0.153</v>
      </c>
      <c r="AA368" s="204"/>
      <c r="AB368" s="205"/>
      <c r="AC368" s="51"/>
      <c r="AD368" s="52"/>
      <c r="AE368" s="53"/>
      <c r="AF368" s="51"/>
      <c r="AG368" s="52"/>
      <c r="AH368" s="54"/>
    </row>
    <row r="369" spans="1:34" ht="15.75" x14ac:dyDescent="0.25">
      <c r="A369" s="197"/>
      <c r="B369" s="198"/>
      <c r="C369" s="199"/>
      <c r="D369" s="220" t="s">
        <v>731</v>
      </c>
      <c r="E369" s="221"/>
      <c r="F369" s="221"/>
      <c r="G369" s="221"/>
      <c r="H369" s="221"/>
      <c r="I369" s="222"/>
      <c r="J369" s="63"/>
      <c r="K369" s="226">
        <v>0.2</v>
      </c>
      <c r="L369" s="227"/>
      <c r="M369" s="226"/>
      <c r="N369" s="227"/>
      <c r="O369" s="226">
        <v>0.3</v>
      </c>
      <c r="P369" s="227"/>
      <c r="Q369" s="226"/>
      <c r="R369" s="227"/>
      <c r="S369" s="226">
        <v>3.4</v>
      </c>
      <c r="T369" s="227"/>
      <c r="U369" s="226"/>
      <c r="V369" s="227"/>
      <c r="W369" s="223">
        <f t="shared" ref="W369:W397" si="31">K369*O369</f>
        <v>0.06</v>
      </c>
      <c r="X369" s="224"/>
      <c r="Y369" s="225"/>
      <c r="Z369" s="203">
        <f t="shared" si="30"/>
        <v>0.20399999999999999</v>
      </c>
      <c r="AA369" s="204"/>
      <c r="AB369" s="205"/>
      <c r="AC369" s="51"/>
      <c r="AD369" s="52"/>
      <c r="AE369" s="53"/>
      <c r="AF369" s="51"/>
      <c r="AG369" s="52"/>
      <c r="AH369" s="54"/>
    </row>
    <row r="370" spans="1:34" ht="15.75" x14ac:dyDescent="0.25">
      <c r="A370" s="197"/>
      <c r="B370" s="198"/>
      <c r="C370" s="199"/>
      <c r="D370" s="220" t="s">
        <v>732</v>
      </c>
      <c r="E370" s="221"/>
      <c r="F370" s="221"/>
      <c r="G370" s="221"/>
      <c r="H370" s="221"/>
      <c r="I370" s="222"/>
      <c r="J370" s="63"/>
      <c r="K370" s="226">
        <v>0.2</v>
      </c>
      <c r="L370" s="227"/>
      <c r="M370" s="226"/>
      <c r="N370" s="227"/>
      <c r="O370" s="226">
        <v>0.3</v>
      </c>
      <c r="P370" s="227"/>
      <c r="Q370" s="226"/>
      <c r="R370" s="227"/>
      <c r="S370" s="226">
        <v>4.9000000000000004</v>
      </c>
      <c r="T370" s="227"/>
      <c r="U370" s="226"/>
      <c r="V370" s="227"/>
      <c r="W370" s="223">
        <f t="shared" si="31"/>
        <v>0.06</v>
      </c>
      <c r="X370" s="224"/>
      <c r="Y370" s="225"/>
      <c r="Z370" s="203">
        <f t="shared" ref="Z370:Z397" si="32">W370*S370</f>
        <v>0.29399999999999998</v>
      </c>
      <c r="AA370" s="204"/>
      <c r="AB370" s="205"/>
      <c r="AC370" s="51"/>
      <c r="AD370" s="52"/>
      <c r="AE370" s="53"/>
      <c r="AF370" s="51"/>
      <c r="AG370" s="52"/>
      <c r="AH370" s="54"/>
    </row>
    <row r="371" spans="1:34" ht="15.75" x14ac:dyDescent="0.25">
      <c r="A371" s="197"/>
      <c r="B371" s="198"/>
      <c r="C371" s="199"/>
      <c r="D371" s="220" t="s">
        <v>733</v>
      </c>
      <c r="E371" s="221"/>
      <c r="F371" s="221"/>
      <c r="G371" s="221"/>
      <c r="H371" s="221"/>
      <c r="I371" s="222"/>
      <c r="J371" s="63"/>
      <c r="K371" s="226">
        <v>0.15</v>
      </c>
      <c r="L371" s="227"/>
      <c r="M371" s="226"/>
      <c r="N371" s="227"/>
      <c r="O371" s="226">
        <v>0.3</v>
      </c>
      <c r="P371" s="227"/>
      <c r="Q371" s="226"/>
      <c r="R371" s="227"/>
      <c r="S371" s="226">
        <v>4.9000000000000004</v>
      </c>
      <c r="T371" s="227"/>
      <c r="U371" s="226"/>
      <c r="V371" s="227"/>
      <c r="W371" s="223">
        <f t="shared" si="31"/>
        <v>4.4999999999999998E-2</v>
      </c>
      <c r="X371" s="224"/>
      <c r="Y371" s="225"/>
      <c r="Z371" s="203">
        <f t="shared" si="32"/>
        <v>0.2205</v>
      </c>
      <c r="AA371" s="204"/>
      <c r="AB371" s="205"/>
      <c r="AC371" s="51"/>
      <c r="AD371" s="52"/>
      <c r="AE371" s="53"/>
      <c r="AF371" s="51"/>
      <c r="AG371" s="52"/>
      <c r="AH371" s="54"/>
    </row>
    <row r="372" spans="1:34" ht="15.75" x14ac:dyDescent="0.25">
      <c r="A372" s="197"/>
      <c r="B372" s="198"/>
      <c r="C372" s="199"/>
      <c r="D372" s="220" t="s">
        <v>734</v>
      </c>
      <c r="E372" s="221"/>
      <c r="F372" s="221"/>
      <c r="G372" s="221"/>
      <c r="H372" s="221"/>
      <c r="I372" s="222"/>
      <c r="J372" s="63"/>
      <c r="K372" s="226">
        <v>0.15</v>
      </c>
      <c r="L372" s="227"/>
      <c r="M372" s="226"/>
      <c r="N372" s="227"/>
      <c r="O372" s="226">
        <v>0.3</v>
      </c>
      <c r="P372" s="227"/>
      <c r="Q372" s="226"/>
      <c r="R372" s="227"/>
      <c r="S372" s="226">
        <v>4.9000000000000004</v>
      </c>
      <c r="T372" s="227"/>
      <c r="U372" s="226"/>
      <c r="V372" s="227"/>
      <c r="W372" s="223">
        <f t="shared" si="31"/>
        <v>4.4999999999999998E-2</v>
      </c>
      <c r="X372" s="224"/>
      <c r="Y372" s="225"/>
      <c r="Z372" s="203">
        <f t="shared" si="32"/>
        <v>0.2205</v>
      </c>
      <c r="AA372" s="204"/>
      <c r="AB372" s="205"/>
      <c r="AC372" s="51"/>
      <c r="AD372" s="52"/>
      <c r="AE372" s="53"/>
      <c r="AF372" s="51"/>
      <c r="AG372" s="52"/>
      <c r="AH372" s="54"/>
    </row>
    <row r="373" spans="1:34" ht="15.75" x14ac:dyDescent="0.25">
      <c r="A373" s="197"/>
      <c r="B373" s="198"/>
      <c r="C373" s="199"/>
      <c r="D373" s="220" t="s">
        <v>735</v>
      </c>
      <c r="E373" s="221"/>
      <c r="F373" s="221"/>
      <c r="G373" s="221"/>
      <c r="H373" s="221"/>
      <c r="I373" s="222"/>
      <c r="J373" s="63"/>
      <c r="K373" s="226">
        <v>0.15</v>
      </c>
      <c r="L373" s="227"/>
      <c r="M373" s="226"/>
      <c r="N373" s="227"/>
      <c r="O373" s="226">
        <v>0.3</v>
      </c>
      <c r="P373" s="227"/>
      <c r="Q373" s="226"/>
      <c r="R373" s="227"/>
      <c r="S373" s="226">
        <v>3.4</v>
      </c>
      <c r="T373" s="227"/>
      <c r="U373" s="202"/>
      <c r="V373" s="199"/>
      <c r="W373" s="223">
        <f t="shared" si="31"/>
        <v>4.4999999999999998E-2</v>
      </c>
      <c r="X373" s="224"/>
      <c r="Y373" s="225"/>
      <c r="Z373" s="203">
        <f t="shared" si="32"/>
        <v>0.153</v>
      </c>
      <c r="AA373" s="204"/>
      <c r="AB373" s="205"/>
      <c r="AC373" s="51"/>
      <c r="AD373" s="52"/>
      <c r="AE373" s="53"/>
      <c r="AF373" s="51"/>
      <c r="AG373" s="52"/>
      <c r="AH373" s="54"/>
    </row>
    <row r="374" spans="1:34" ht="15.75" x14ac:dyDescent="0.25">
      <c r="A374" s="197"/>
      <c r="B374" s="198"/>
      <c r="C374" s="199"/>
      <c r="D374" s="220" t="s">
        <v>736</v>
      </c>
      <c r="E374" s="221"/>
      <c r="F374" s="221"/>
      <c r="G374" s="221"/>
      <c r="H374" s="221"/>
      <c r="I374" s="222"/>
      <c r="J374" s="63"/>
      <c r="K374" s="226">
        <v>0.15</v>
      </c>
      <c r="L374" s="227"/>
      <c r="M374" s="226"/>
      <c r="N374" s="227"/>
      <c r="O374" s="226">
        <v>0.3</v>
      </c>
      <c r="P374" s="227"/>
      <c r="Q374" s="226"/>
      <c r="R374" s="227"/>
      <c r="S374" s="226">
        <v>3.4</v>
      </c>
      <c r="T374" s="227"/>
      <c r="U374" s="226"/>
      <c r="V374" s="227"/>
      <c r="W374" s="223">
        <f t="shared" si="31"/>
        <v>4.4999999999999998E-2</v>
      </c>
      <c r="X374" s="224"/>
      <c r="Y374" s="225"/>
      <c r="Z374" s="203">
        <f t="shared" si="32"/>
        <v>0.153</v>
      </c>
      <c r="AA374" s="204"/>
      <c r="AB374" s="205"/>
      <c r="AC374" s="51"/>
      <c r="AD374" s="52"/>
      <c r="AE374" s="53"/>
      <c r="AF374" s="51"/>
      <c r="AG374" s="52"/>
      <c r="AH374" s="54"/>
    </row>
    <row r="375" spans="1:34" ht="15.75" x14ac:dyDescent="0.25">
      <c r="A375" s="197"/>
      <c r="B375" s="198"/>
      <c r="C375" s="199"/>
      <c r="D375" s="220" t="s">
        <v>737</v>
      </c>
      <c r="E375" s="221"/>
      <c r="F375" s="221"/>
      <c r="G375" s="221"/>
      <c r="H375" s="221"/>
      <c r="I375" s="222"/>
      <c r="J375" s="63"/>
      <c r="K375" s="226">
        <v>0.15</v>
      </c>
      <c r="L375" s="227"/>
      <c r="M375" s="226"/>
      <c r="N375" s="227"/>
      <c r="O375" s="226">
        <v>0.3</v>
      </c>
      <c r="P375" s="227"/>
      <c r="Q375" s="226"/>
      <c r="R375" s="227"/>
      <c r="S375" s="226">
        <v>4.9000000000000004</v>
      </c>
      <c r="T375" s="227"/>
      <c r="U375" s="226"/>
      <c r="V375" s="227"/>
      <c r="W375" s="223">
        <f t="shared" si="31"/>
        <v>4.4999999999999998E-2</v>
      </c>
      <c r="X375" s="224"/>
      <c r="Y375" s="225"/>
      <c r="Z375" s="203">
        <f t="shared" si="32"/>
        <v>0.2205</v>
      </c>
      <c r="AA375" s="204"/>
      <c r="AB375" s="205"/>
      <c r="AC375" s="51"/>
      <c r="AD375" s="52"/>
      <c r="AE375" s="53"/>
      <c r="AF375" s="51"/>
      <c r="AG375" s="52"/>
      <c r="AH375" s="54"/>
    </row>
    <row r="376" spans="1:34" ht="15.75" x14ac:dyDescent="0.25">
      <c r="A376" s="197"/>
      <c r="B376" s="198"/>
      <c r="C376" s="199"/>
      <c r="D376" s="220" t="s">
        <v>738</v>
      </c>
      <c r="E376" s="221"/>
      <c r="F376" s="221"/>
      <c r="G376" s="221"/>
      <c r="H376" s="221"/>
      <c r="I376" s="222"/>
      <c r="J376" s="63"/>
      <c r="K376" s="226">
        <v>0.15</v>
      </c>
      <c r="L376" s="227"/>
      <c r="M376" s="226"/>
      <c r="N376" s="227"/>
      <c r="O376" s="226">
        <v>0.3</v>
      </c>
      <c r="P376" s="227"/>
      <c r="Q376" s="226"/>
      <c r="R376" s="227"/>
      <c r="S376" s="226">
        <v>4.9000000000000004</v>
      </c>
      <c r="T376" s="227"/>
      <c r="U376" s="226"/>
      <c r="V376" s="227"/>
      <c r="W376" s="223">
        <f t="shared" si="31"/>
        <v>4.4999999999999998E-2</v>
      </c>
      <c r="X376" s="224"/>
      <c r="Y376" s="225"/>
      <c r="Z376" s="203">
        <f t="shared" si="32"/>
        <v>0.2205</v>
      </c>
      <c r="AA376" s="204"/>
      <c r="AB376" s="205"/>
      <c r="AC376" s="51"/>
      <c r="AD376" s="52"/>
      <c r="AE376" s="53"/>
      <c r="AF376" s="51"/>
      <c r="AG376" s="52"/>
      <c r="AH376" s="54"/>
    </row>
    <row r="377" spans="1:34" ht="15.75" x14ac:dyDescent="0.25">
      <c r="A377" s="197"/>
      <c r="B377" s="198"/>
      <c r="C377" s="199"/>
      <c r="D377" s="220" t="s">
        <v>739</v>
      </c>
      <c r="E377" s="221"/>
      <c r="F377" s="221"/>
      <c r="G377" s="221"/>
      <c r="H377" s="221"/>
      <c r="I377" s="222"/>
      <c r="J377" s="63"/>
      <c r="K377" s="226">
        <v>0.15</v>
      </c>
      <c r="L377" s="227"/>
      <c r="M377" s="226"/>
      <c r="N377" s="227"/>
      <c r="O377" s="226">
        <v>0.3</v>
      </c>
      <c r="P377" s="227"/>
      <c r="Q377" s="226"/>
      <c r="R377" s="227"/>
      <c r="S377" s="226">
        <v>3.4</v>
      </c>
      <c r="T377" s="227"/>
      <c r="U377" s="226"/>
      <c r="V377" s="227"/>
      <c r="W377" s="223">
        <f t="shared" si="31"/>
        <v>4.4999999999999998E-2</v>
      </c>
      <c r="X377" s="224"/>
      <c r="Y377" s="225"/>
      <c r="Z377" s="203">
        <f t="shared" si="32"/>
        <v>0.153</v>
      </c>
      <c r="AA377" s="204"/>
      <c r="AB377" s="205"/>
      <c r="AC377" s="51"/>
      <c r="AD377" s="52"/>
      <c r="AE377" s="53"/>
      <c r="AF377" s="51"/>
      <c r="AG377" s="52"/>
      <c r="AH377" s="54"/>
    </row>
    <row r="378" spans="1:34" ht="15.75" x14ac:dyDescent="0.25">
      <c r="A378" s="197"/>
      <c r="B378" s="198"/>
      <c r="C378" s="199"/>
      <c r="D378" s="220" t="s">
        <v>740</v>
      </c>
      <c r="E378" s="221"/>
      <c r="F378" s="221"/>
      <c r="G378" s="221"/>
      <c r="H378" s="221"/>
      <c r="I378" s="222"/>
      <c r="J378" s="63"/>
      <c r="K378" s="226">
        <v>0.15</v>
      </c>
      <c r="L378" s="227"/>
      <c r="M378" s="226"/>
      <c r="N378" s="227"/>
      <c r="O378" s="226">
        <v>0.3</v>
      </c>
      <c r="P378" s="227"/>
      <c r="Q378" s="226"/>
      <c r="R378" s="227"/>
      <c r="S378" s="226">
        <v>3.4</v>
      </c>
      <c r="T378" s="227"/>
      <c r="U378" s="226"/>
      <c r="V378" s="227"/>
      <c r="W378" s="223">
        <f t="shared" si="31"/>
        <v>4.4999999999999998E-2</v>
      </c>
      <c r="X378" s="224"/>
      <c r="Y378" s="225"/>
      <c r="Z378" s="203">
        <f t="shared" si="32"/>
        <v>0.153</v>
      </c>
      <c r="AA378" s="204"/>
      <c r="AB378" s="205"/>
      <c r="AC378" s="51"/>
      <c r="AD378" s="52"/>
      <c r="AE378" s="53"/>
      <c r="AF378" s="51"/>
      <c r="AG378" s="52"/>
      <c r="AH378" s="54"/>
    </row>
    <row r="379" spans="1:34" ht="15.75" x14ac:dyDescent="0.25">
      <c r="A379" s="197"/>
      <c r="B379" s="198"/>
      <c r="C379" s="199"/>
      <c r="D379" s="220" t="s">
        <v>741</v>
      </c>
      <c r="E379" s="221"/>
      <c r="F379" s="221"/>
      <c r="G379" s="221"/>
      <c r="H379" s="221"/>
      <c r="I379" s="222"/>
      <c r="J379" s="63"/>
      <c r="K379" s="226">
        <v>0.15</v>
      </c>
      <c r="L379" s="227"/>
      <c r="M379" s="226"/>
      <c r="N379" s="227"/>
      <c r="O379" s="226">
        <v>0.3</v>
      </c>
      <c r="P379" s="227"/>
      <c r="Q379" s="226"/>
      <c r="R379" s="227"/>
      <c r="S379" s="226">
        <v>3.4</v>
      </c>
      <c r="T379" s="227"/>
      <c r="U379" s="226"/>
      <c r="V379" s="227"/>
      <c r="W379" s="223">
        <f t="shared" si="31"/>
        <v>4.4999999999999998E-2</v>
      </c>
      <c r="X379" s="224"/>
      <c r="Y379" s="225"/>
      <c r="Z379" s="203">
        <f t="shared" si="32"/>
        <v>0.153</v>
      </c>
      <c r="AA379" s="204"/>
      <c r="AB379" s="205"/>
      <c r="AC379" s="51"/>
      <c r="AD379" s="52"/>
      <c r="AE379" s="53"/>
      <c r="AF379" s="51"/>
      <c r="AG379" s="52"/>
      <c r="AH379" s="54"/>
    </row>
    <row r="380" spans="1:34" ht="15.75" x14ac:dyDescent="0.25">
      <c r="A380" s="197"/>
      <c r="B380" s="198"/>
      <c r="C380" s="199"/>
      <c r="D380" s="220" t="s">
        <v>742</v>
      </c>
      <c r="E380" s="221"/>
      <c r="F380" s="221"/>
      <c r="G380" s="221"/>
      <c r="H380" s="221"/>
      <c r="I380" s="222"/>
      <c r="J380" s="63"/>
      <c r="K380" s="226">
        <v>0.15</v>
      </c>
      <c r="L380" s="227"/>
      <c r="M380" s="226"/>
      <c r="N380" s="227"/>
      <c r="O380" s="226">
        <v>0.3</v>
      </c>
      <c r="P380" s="227"/>
      <c r="Q380" s="226"/>
      <c r="R380" s="227"/>
      <c r="S380" s="226">
        <v>3.4</v>
      </c>
      <c r="T380" s="227"/>
      <c r="U380" s="226"/>
      <c r="V380" s="227"/>
      <c r="W380" s="223">
        <f t="shared" si="31"/>
        <v>4.4999999999999998E-2</v>
      </c>
      <c r="X380" s="224"/>
      <c r="Y380" s="225"/>
      <c r="Z380" s="203">
        <f t="shared" si="32"/>
        <v>0.153</v>
      </c>
      <c r="AA380" s="204"/>
      <c r="AB380" s="205"/>
      <c r="AC380" s="51"/>
      <c r="AD380" s="52"/>
      <c r="AE380" s="53"/>
      <c r="AF380" s="51"/>
      <c r="AG380" s="52"/>
      <c r="AH380" s="54"/>
    </row>
    <row r="381" spans="1:34" ht="15.75" x14ac:dyDescent="0.25">
      <c r="A381" s="197"/>
      <c r="B381" s="198"/>
      <c r="C381" s="199"/>
      <c r="D381" s="220" t="s">
        <v>743</v>
      </c>
      <c r="E381" s="221"/>
      <c r="F381" s="221"/>
      <c r="G381" s="221"/>
      <c r="H381" s="221"/>
      <c r="I381" s="222"/>
      <c r="J381" s="63"/>
      <c r="K381" s="226">
        <v>0.15</v>
      </c>
      <c r="L381" s="227"/>
      <c r="M381" s="226"/>
      <c r="N381" s="227"/>
      <c r="O381" s="226">
        <v>0.3</v>
      </c>
      <c r="P381" s="227"/>
      <c r="Q381" s="226"/>
      <c r="R381" s="227"/>
      <c r="S381" s="226">
        <v>3.4</v>
      </c>
      <c r="T381" s="227"/>
      <c r="U381" s="202"/>
      <c r="V381" s="199"/>
      <c r="W381" s="223">
        <f t="shared" si="31"/>
        <v>4.4999999999999998E-2</v>
      </c>
      <c r="X381" s="224"/>
      <c r="Y381" s="225"/>
      <c r="Z381" s="203">
        <f t="shared" si="32"/>
        <v>0.153</v>
      </c>
      <c r="AA381" s="204"/>
      <c r="AB381" s="205"/>
      <c r="AC381" s="51"/>
      <c r="AD381" s="52"/>
      <c r="AE381" s="53"/>
      <c r="AF381" s="51"/>
      <c r="AG381" s="52"/>
      <c r="AH381" s="54"/>
    </row>
    <row r="382" spans="1:34" ht="15.75" x14ac:dyDescent="0.25">
      <c r="A382" s="197"/>
      <c r="B382" s="198"/>
      <c r="C382" s="199"/>
      <c r="D382" s="220" t="s">
        <v>744</v>
      </c>
      <c r="E382" s="221"/>
      <c r="F382" s="221"/>
      <c r="G382" s="221"/>
      <c r="H382" s="221"/>
      <c r="I382" s="222"/>
      <c r="J382" s="63"/>
      <c r="K382" s="226">
        <v>0.15</v>
      </c>
      <c r="L382" s="227"/>
      <c r="M382" s="226"/>
      <c r="N382" s="227"/>
      <c r="O382" s="226">
        <v>0.3</v>
      </c>
      <c r="P382" s="227"/>
      <c r="Q382" s="226"/>
      <c r="R382" s="227"/>
      <c r="S382" s="226">
        <v>4.9000000000000004</v>
      </c>
      <c r="T382" s="227"/>
      <c r="U382" s="226"/>
      <c r="V382" s="227"/>
      <c r="W382" s="223">
        <f t="shared" si="31"/>
        <v>4.4999999999999998E-2</v>
      </c>
      <c r="X382" s="224"/>
      <c r="Y382" s="225"/>
      <c r="Z382" s="203">
        <f t="shared" si="32"/>
        <v>0.2205</v>
      </c>
      <c r="AA382" s="204"/>
      <c r="AB382" s="205"/>
      <c r="AC382" s="51"/>
      <c r="AD382" s="52"/>
      <c r="AE382" s="53"/>
      <c r="AF382" s="51"/>
      <c r="AG382" s="52"/>
      <c r="AH382" s="54"/>
    </row>
    <row r="383" spans="1:34" ht="15.75" x14ac:dyDescent="0.25">
      <c r="A383" s="197"/>
      <c r="B383" s="198"/>
      <c r="C383" s="199"/>
      <c r="D383" s="220" t="s">
        <v>745</v>
      </c>
      <c r="E383" s="221"/>
      <c r="F383" s="221"/>
      <c r="G383" s="221"/>
      <c r="H383" s="221"/>
      <c r="I383" s="222"/>
      <c r="J383" s="63"/>
      <c r="K383" s="226">
        <v>0.15</v>
      </c>
      <c r="L383" s="227"/>
      <c r="M383" s="226"/>
      <c r="N383" s="227"/>
      <c r="O383" s="226">
        <v>0.3</v>
      </c>
      <c r="P383" s="227"/>
      <c r="Q383" s="226"/>
      <c r="R383" s="227"/>
      <c r="S383" s="226">
        <v>3.4</v>
      </c>
      <c r="T383" s="227"/>
      <c r="U383" s="226"/>
      <c r="V383" s="227"/>
      <c r="W383" s="223">
        <f t="shared" si="31"/>
        <v>4.4999999999999998E-2</v>
      </c>
      <c r="X383" s="224"/>
      <c r="Y383" s="225"/>
      <c r="Z383" s="203">
        <f t="shared" si="32"/>
        <v>0.153</v>
      </c>
      <c r="AA383" s="204"/>
      <c r="AB383" s="205"/>
      <c r="AC383" s="51"/>
      <c r="AD383" s="52"/>
      <c r="AE383" s="53"/>
      <c r="AF383" s="51"/>
      <c r="AG383" s="52"/>
      <c r="AH383" s="54"/>
    </row>
    <row r="384" spans="1:34" ht="15.75" x14ac:dyDescent="0.25">
      <c r="A384" s="197"/>
      <c r="B384" s="198"/>
      <c r="C384" s="199"/>
      <c r="D384" s="220" t="s">
        <v>746</v>
      </c>
      <c r="E384" s="221"/>
      <c r="F384" s="221"/>
      <c r="G384" s="221"/>
      <c r="H384" s="221"/>
      <c r="I384" s="222"/>
      <c r="J384" s="63"/>
      <c r="K384" s="226">
        <v>0.15</v>
      </c>
      <c r="L384" s="227"/>
      <c r="M384" s="226"/>
      <c r="N384" s="227"/>
      <c r="O384" s="226">
        <v>0.3</v>
      </c>
      <c r="P384" s="227"/>
      <c r="Q384" s="226"/>
      <c r="R384" s="227"/>
      <c r="S384" s="226">
        <v>3.4</v>
      </c>
      <c r="T384" s="227"/>
      <c r="U384" s="226"/>
      <c r="V384" s="227"/>
      <c r="W384" s="223">
        <f t="shared" si="31"/>
        <v>4.4999999999999998E-2</v>
      </c>
      <c r="X384" s="224"/>
      <c r="Y384" s="225"/>
      <c r="Z384" s="203">
        <f t="shared" si="32"/>
        <v>0.153</v>
      </c>
      <c r="AA384" s="204"/>
      <c r="AB384" s="205"/>
      <c r="AC384" s="51"/>
      <c r="AD384" s="52"/>
      <c r="AE384" s="53"/>
      <c r="AF384" s="51"/>
      <c r="AG384" s="52"/>
      <c r="AH384" s="54"/>
    </row>
    <row r="385" spans="1:35" ht="15.75" x14ac:dyDescent="0.25">
      <c r="A385" s="197"/>
      <c r="B385" s="198"/>
      <c r="C385" s="199"/>
      <c r="D385" s="220" t="s">
        <v>747</v>
      </c>
      <c r="E385" s="221"/>
      <c r="F385" s="221"/>
      <c r="G385" s="221"/>
      <c r="H385" s="221"/>
      <c r="I385" s="222"/>
      <c r="J385" s="63"/>
      <c r="K385" s="226">
        <v>0.15</v>
      </c>
      <c r="L385" s="227"/>
      <c r="M385" s="226"/>
      <c r="N385" s="227"/>
      <c r="O385" s="226">
        <v>0.3</v>
      </c>
      <c r="P385" s="227"/>
      <c r="Q385" s="226"/>
      <c r="R385" s="227"/>
      <c r="S385" s="226">
        <v>3.4</v>
      </c>
      <c r="T385" s="227"/>
      <c r="U385" s="226"/>
      <c r="V385" s="227"/>
      <c r="W385" s="223">
        <f t="shared" si="31"/>
        <v>4.4999999999999998E-2</v>
      </c>
      <c r="X385" s="224"/>
      <c r="Y385" s="225"/>
      <c r="Z385" s="203">
        <f t="shared" si="32"/>
        <v>0.153</v>
      </c>
      <c r="AA385" s="204"/>
      <c r="AB385" s="205"/>
      <c r="AC385" s="51"/>
      <c r="AD385" s="52"/>
      <c r="AE385" s="53"/>
      <c r="AF385" s="51"/>
      <c r="AG385" s="52"/>
      <c r="AH385" s="54"/>
    </row>
    <row r="386" spans="1:35" ht="15.75" x14ac:dyDescent="0.25">
      <c r="A386" s="197"/>
      <c r="B386" s="198"/>
      <c r="C386" s="199"/>
      <c r="D386" s="220" t="s">
        <v>748</v>
      </c>
      <c r="E386" s="221"/>
      <c r="F386" s="221"/>
      <c r="G386" s="221"/>
      <c r="H386" s="221"/>
      <c r="I386" s="222"/>
      <c r="J386" s="63"/>
      <c r="K386" s="226">
        <v>0.15</v>
      </c>
      <c r="L386" s="227"/>
      <c r="M386" s="226"/>
      <c r="N386" s="227"/>
      <c r="O386" s="226">
        <v>0.3</v>
      </c>
      <c r="P386" s="227"/>
      <c r="Q386" s="226"/>
      <c r="R386" s="227"/>
      <c r="S386" s="226">
        <v>4.9000000000000004</v>
      </c>
      <c r="T386" s="227"/>
      <c r="U386" s="226"/>
      <c r="V386" s="227"/>
      <c r="W386" s="223">
        <f t="shared" si="31"/>
        <v>4.4999999999999998E-2</v>
      </c>
      <c r="X386" s="224"/>
      <c r="Y386" s="225"/>
      <c r="Z386" s="203">
        <f t="shared" si="32"/>
        <v>0.2205</v>
      </c>
      <c r="AA386" s="204"/>
      <c r="AB386" s="205"/>
      <c r="AC386" s="51"/>
      <c r="AD386" s="52"/>
      <c r="AE386" s="53"/>
      <c r="AF386" s="51"/>
      <c r="AG386" s="52"/>
      <c r="AH386" s="54"/>
    </row>
    <row r="387" spans="1:35" ht="15.75" x14ac:dyDescent="0.25">
      <c r="A387" s="197"/>
      <c r="B387" s="198"/>
      <c r="C387" s="199"/>
      <c r="D387" s="220" t="s">
        <v>749</v>
      </c>
      <c r="E387" s="221"/>
      <c r="F387" s="221"/>
      <c r="G387" s="221"/>
      <c r="H387" s="221"/>
      <c r="I387" s="222"/>
      <c r="J387" s="63"/>
      <c r="K387" s="226">
        <v>0.15</v>
      </c>
      <c r="L387" s="227"/>
      <c r="M387" s="226"/>
      <c r="N387" s="227"/>
      <c r="O387" s="226">
        <v>0.3</v>
      </c>
      <c r="P387" s="227"/>
      <c r="Q387" s="226"/>
      <c r="R387" s="227"/>
      <c r="S387" s="226">
        <v>4.9000000000000004</v>
      </c>
      <c r="T387" s="227"/>
      <c r="U387" s="226"/>
      <c r="V387" s="227"/>
      <c r="W387" s="223">
        <f t="shared" si="31"/>
        <v>4.4999999999999998E-2</v>
      </c>
      <c r="X387" s="224"/>
      <c r="Y387" s="225"/>
      <c r="Z387" s="203">
        <f t="shared" si="32"/>
        <v>0.2205</v>
      </c>
      <c r="AA387" s="204"/>
      <c r="AB387" s="205"/>
      <c r="AC387" s="51"/>
      <c r="AD387" s="52"/>
      <c r="AE387" s="53"/>
      <c r="AF387" s="51"/>
      <c r="AG387" s="52"/>
      <c r="AH387" s="54"/>
    </row>
    <row r="388" spans="1:35" ht="15.75" x14ac:dyDescent="0.25">
      <c r="A388" s="197"/>
      <c r="B388" s="198"/>
      <c r="C388" s="199"/>
      <c r="D388" s="220" t="s">
        <v>750</v>
      </c>
      <c r="E388" s="221"/>
      <c r="F388" s="221"/>
      <c r="G388" s="221"/>
      <c r="H388" s="221"/>
      <c r="I388" s="222"/>
      <c r="J388" s="63"/>
      <c r="K388" s="226">
        <v>0.15</v>
      </c>
      <c r="L388" s="227"/>
      <c r="M388" s="226"/>
      <c r="N388" s="227"/>
      <c r="O388" s="226">
        <v>0.3</v>
      </c>
      <c r="P388" s="227"/>
      <c r="Q388" s="226"/>
      <c r="R388" s="227"/>
      <c r="S388" s="226">
        <v>4.9000000000000004</v>
      </c>
      <c r="T388" s="227"/>
      <c r="U388" s="226"/>
      <c r="V388" s="227"/>
      <c r="W388" s="223">
        <f t="shared" si="31"/>
        <v>4.4999999999999998E-2</v>
      </c>
      <c r="X388" s="224"/>
      <c r="Y388" s="225"/>
      <c r="Z388" s="203">
        <f t="shared" si="32"/>
        <v>0.2205</v>
      </c>
      <c r="AA388" s="204"/>
      <c r="AB388" s="205"/>
      <c r="AC388" s="51"/>
      <c r="AD388" s="52"/>
      <c r="AE388" s="53"/>
      <c r="AF388" s="51"/>
      <c r="AG388" s="52"/>
      <c r="AH388" s="54"/>
    </row>
    <row r="389" spans="1:35" ht="15.75" x14ac:dyDescent="0.25">
      <c r="A389" s="197"/>
      <c r="B389" s="198"/>
      <c r="C389" s="199"/>
      <c r="D389" s="220" t="s">
        <v>751</v>
      </c>
      <c r="E389" s="221"/>
      <c r="F389" s="221"/>
      <c r="G389" s="221"/>
      <c r="H389" s="221"/>
      <c r="I389" s="222"/>
      <c r="J389" s="63"/>
      <c r="K389" s="226">
        <v>0.15</v>
      </c>
      <c r="L389" s="227"/>
      <c r="M389" s="226"/>
      <c r="N389" s="227"/>
      <c r="O389" s="226">
        <v>0.3</v>
      </c>
      <c r="P389" s="227"/>
      <c r="Q389" s="226"/>
      <c r="R389" s="227"/>
      <c r="S389" s="226">
        <v>4.9000000000000004</v>
      </c>
      <c r="T389" s="227"/>
      <c r="U389" s="202"/>
      <c r="V389" s="199"/>
      <c r="W389" s="223">
        <f t="shared" si="31"/>
        <v>4.4999999999999998E-2</v>
      </c>
      <c r="X389" s="224"/>
      <c r="Y389" s="225"/>
      <c r="Z389" s="203">
        <f t="shared" si="32"/>
        <v>0.2205</v>
      </c>
      <c r="AA389" s="204"/>
      <c r="AB389" s="205"/>
      <c r="AC389" s="51"/>
      <c r="AD389" s="52"/>
      <c r="AE389" s="53"/>
      <c r="AF389" s="51"/>
      <c r="AG389" s="52"/>
      <c r="AH389" s="54"/>
    </row>
    <row r="390" spans="1:35" ht="15.75" x14ac:dyDescent="0.25">
      <c r="A390" s="197"/>
      <c r="B390" s="198"/>
      <c r="C390" s="199"/>
      <c r="D390" s="220" t="s">
        <v>752</v>
      </c>
      <c r="E390" s="221"/>
      <c r="F390" s="221"/>
      <c r="G390" s="221"/>
      <c r="H390" s="221"/>
      <c r="I390" s="222"/>
      <c r="J390" s="63"/>
      <c r="K390" s="226">
        <v>0.15</v>
      </c>
      <c r="L390" s="227"/>
      <c r="M390" s="226"/>
      <c r="N390" s="227"/>
      <c r="O390" s="226">
        <v>0.3</v>
      </c>
      <c r="P390" s="227"/>
      <c r="Q390" s="226"/>
      <c r="R390" s="227"/>
      <c r="S390" s="226">
        <v>4.9000000000000004</v>
      </c>
      <c r="T390" s="227"/>
      <c r="U390" s="226"/>
      <c r="V390" s="227"/>
      <c r="W390" s="223">
        <f t="shared" si="31"/>
        <v>4.4999999999999998E-2</v>
      </c>
      <c r="X390" s="224"/>
      <c r="Y390" s="225"/>
      <c r="Z390" s="203">
        <f t="shared" si="32"/>
        <v>0.2205</v>
      </c>
      <c r="AA390" s="204"/>
      <c r="AB390" s="205"/>
      <c r="AC390" s="51"/>
      <c r="AD390" s="52"/>
      <c r="AE390" s="53"/>
      <c r="AF390" s="51"/>
      <c r="AG390" s="52"/>
      <c r="AH390" s="54"/>
    </row>
    <row r="391" spans="1:35" ht="15.75" x14ac:dyDescent="0.25">
      <c r="A391" s="197"/>
      <c r="B391" s="198"/>
      <c r="C391" s="199"/>
      <c r="D391" s="220" t="s">
        <v>753</v>
      </c>
      <c r="E391" s="221"/>
      <c r="F391" s="221"/>
      <c r="G391" s="221"/>
      <c r="H391" s="221"/>
      <c r="I391" s="222"/>
      <c r="J391" s="63"/>
      <c r="K391" s="226">
        <v>0.15</v>
      </c>
      <c r="L391" s="227"/>
      <c r="M391" s="226"/>
      <c r="N391" s="227"/>
      <c r="O391" s="226">
        <v>0.3</v>
      </c>
      <c r="P391" s="227"/>
      <c r="Q391" s="226"/>
      <c r="R391" s="227"/>
      <c r="S391" s="226">
        <v>4.9000000000000004</v>
      </c>
      <c r="T391" s="227"/>
      <c r="U391" s="226"/>
      <c r="V391" s="227"/>
      <c r="W391" s="223">
        <f t="shared" si="31"/>
        <v>4.4999999999999998E-2</v>
      </c>
      <c r="X391" s="224"/>
      <c r="Y391" s="225"/>
      <c r="Z391" s="203">
        <f t="shared" si="32"/>
        <v>0.2205</v>
      </c>
      <c r="AA391" s="204"/>
      <c r="AB391" s="205"/>
      <c r="AC391" s="51"/>
      <c r="AD391" s="52"/>
      <c r="AE391" s="53"/>
      <c r="AF391" s="51"/>
      <c r="AG391" s="52"/>
      <c r="AH391" s="54"/>
    </row>
    <row r="392" spans="1:35" ht="15.75" x14ac:dyDescent="0.25">
      <c r="A392" s="197"/>
      <c r="B392" s="198"/>
      <c r="C392" s="199"/>
      <c r="D392" s="220" t="s">
        <v>754</v>
      </c>
      <c r="E392" s="221"/>
      <c r="F392" s="221"/>
      <c r="G392" s="221"/>
      <c r="H392" s="221"/>
      <c r="I392" s="222"/>
      <c r="J392" s="63"/>
      <c r="K392" s="226">
        <v>0.2</v>
      </c>
      <c r="L392" s="227"/>
      <c r="M392" s="226"/>
      <c r="N392" s="227"/>
      <c r="O392" s="226">
        <v>0.3</v>
      </c>
      <c r="P392" s="227"/>
      <c r="Q392" s="226"/>
      <c r="R392" s="227"/>
      <c r="S392" s="226">
        <v>4.9000000000000004</v>
      </c>
      <c r="T392" s="227"/>
      <c r="U392" s="226"/>
      <c r="V392" s="227"/>
      <c r="W392" s="223">
        <f t="shared" si="31"/>
        <v>0.06</v>
      </c>
      <c r="X392" s="224"/>
      <c r="Y392" s="225"/>
      <c r="Z392" s="203">
        <f t="shared" si="32"/>
        <v>0.29399999999999998</v>
      </c>
      <c r="AA392" s="204"/>
      <c r="AB392" s="205"/>
      <c r="AC392" s="51"/>
      <c r="AD392" s="52"/>
      <c r="AE392" s="53"/>
      <c r="AF392" s="51"/>
      <c r="AG392" s="52"/>
      <c r="AH392" s="54"/>
    </row>
    <row r="393" spans="1:35" ht="15.75" x14ac:dyDescent="0.25">
      <c r="A393" s="197"/>
      <c r="B393" s="198"/>
      <c r="C393" s="199"/>
      <c r="D393" s="220" t="s">
        <v>755</v>
      </c>
      <c r="E393" s="221"/>
      <c r="F393" s="221"/>
      <c r="G393" s="221"/>
      <c r="H393" s="221"/>
      <c r="I393" s="222"/>
      <c r="J393" s="63"/>
      <c r="K393" s="226">
        <v>0.2</v>
      </c>
      <c r="L393" s="227"/>
      <c r="M393" s="226"/>
      <c r="N393" s="227"/>
      <c r="O393" s="226">
        <v>0.3</v>
      </c>
      <c r="P393" s="227"/>
      <c r="Q393" s="226"/>
      <c r="R393" s="227"/>
      <c r="S393" s="226">
        <v>4.9000000000000004</v>
      </c>
      <c r="T393" s="227"/>
      <c r="U393" s="226"/>
      <c r="V393" s="227"/>
      <c r="W393" s="223">
        <f t="shared" si="31"/>
        <v>0.06</v>
      </c>
      <c r="X393" s="224"/>
      <c r="Y393" s="225"/>
      <c r="Z393" s="203">
        <f t="shared" si="32"/>
        <v>0.29399999999999998</v>
      </c>
      <c r="AA393" s="204"/>
      <c r="AB393" s="205"/>
      <c r="AC393" s="51"/>
      <c r="AD393" s="52"/>
      <c r="AE393" s="53"/>
      <c r="AF393" s="51"/>
      <c r="AG393" s="52"/>
      <c r="AH393" s="54"/>
    </row>
    <row r="394" spans="1:35" ht="15.75" x14ac:dyDescent="0.25">
      <c r="A394" s="197"/>
      <c r="B394" s="198"/>
      <c r="C394" s="199"/>
      <c r="D394" s="220" t="s">
        <v>756</v>
      </c>
      <c r="E394" s="221"/>
      <c r="F394" s="221"/>
      <c r="G394" s="221"/>
      <c r="H394" s="221"/>
      <c r="I394" s="222"/>
      <c r="J394" s="63"/>
      <c r="K394" s="226">
        <v>0.15</v>
      </c>
      <c r="L394" s="227"/>
      <c r="M394" s="226"/>
      <c r="N394" s="227"/>
      <c r="O394" s="226">
        <v>0.3</v>
      </c>
      <c r="P394" s="227"/>
      <c r="Q394" s="226"/>
      <c r="R394" s="227"/>
      <c r="S394" s="226">
        <v>4.9000000000000004</v>
      </c>
      <c r="T394" s="227"/>
      <c r="U394" s="226"/>
      <c r="V394" s="227"/>
      <c r="W394" s="223">
        <f t="shared" si="31"/>
        <v>4.4999999999999998E-2</v>
      </c>
      <c r="X394" s="224"/>
      <c r="Y394" s="225"/>
      <c r="Z394" s="203">
        <f t="shared" si="32"/>
        <v>0.2205</v>
      </c>
      <c r="AA394" s="204"/>
      <c r="AB394" s="205"/>
      <c r="AC394" s="51"/>
      <c r="AD394" s="52"/>
      <c r="AE394" s="53"/>
      <c r="AF394" s="51"/>
      <c r="AG394" s="52"/>
      <c r="AH394" s="54"/>
    </row>
    <row r="395" spans="1:35" ht="15.75" x14ac:dyDescent="0.25">
      <c r="A395" s="197"/>
      <c r="B395" s="198"/>
      <c r="C395" s="199"/>
      <c r="D395" s="220" t="s">
        <v>757</v>
      </c>
      <c r="E395" s="221"/>
      <c r="F395" s="221"/>
      <c r="G395" s="221"/>
      <c r="H395" s="221"/>
      <c r="I395" s="222"/>
      <c r="J395" s="63"/>
      <c r="K395" s="226">
        <v>0.15</v>
      </c>
      <c r="L395" s="227"/>
      <c r="M395" s="226"/>
      <c r="N395" s="227"/>
      <c r="O395" s="226">
        <v>0.3</v>
      </c>
      <c r="P395" s="227"/>
      <c r="Q395" s="226"/>
      <c r="R395" s="227"/>
      <c r="S395" s="226">
        <v>4.9000000000000004</v>
      </c>
      <c r="T395" s="227"/>
      <c r="U395" s="226"/>
      <c r="V395" s="227"/>
      <c r="W395" s="223">
        <f t="shared" si="31"/>
        <v>4.4999999999999998E-2</v>
      </c>
      <c r="X395" s="224"/>
      <c r="Y395" s="225"/>
      <c r="Z395" s="203">
        <f t="shared" si="32"/>
        <v>0.2205</v>
      </c>
      <c r="AA395" s="204"/>
      <c r="AB395" s="205"/>
      <c r="AC395" s="51"/>
      <c r="AD395" s="52"/>
      <c r="AE395" s="53"/>
      <c r="AF395" s="51"/>
      <c r="AG395" s="52"/>
      <c r="AH395" s="54"/>
    </row>
    <row r="396" spans="1:35" ht="15.75" x14ac:dyDescent="0.25">
      <c r="A396" s="197"/>
      <c r="B396" s="198"/>
      <c r="C396" s="199"/>
      <c r="D396" s="220" t="s">
        <v>758</v>
      </c>
      <c r="E396" s="221"/>
      <c r="F396" s="221"/>
      <c r="G396" s="221"/>
      <c r="H396" s="221"/>
      <c r="I396" s="222"/>
      <c r="J396" s="63"/>
      <c r="K396" s="226">
        <v>0.15</v>
      </c>
      <c r="L396" s="227"/>
      <c r="M396" s="226"/>
      <c r="N396" s="227"/>
      <c r="O396" s="226">
        <v>0.3</v>
      </c>
      <c r="P396" s="227"/>
      <c r="Q396" s="226"/>
      <c r="R396" s="227"/>
      <c r="S396" s="226">
        <v>4.9000000000000004</v>
      </c>
      <c r="T396" s="227"/>
      <c r="U396" s="226"/>
      <c r="V396" s="227"/>
      <c r="W396" s="223">
        <f t="shared" si="31"/>
        <v>4.4999999999999998E-2</v>
      </c>
      <c r="X396" s="224"/>
      <c r="Y396" s="225"/>
      <c r="Z396" s="203">
        <f t="shared" si="32"/>
        <v>0.2205</v>
      </c>
      <c r="AA396" s="204"/>
      <c r="AB396" s="205"/>
      <c r="AC396" s="51"/>
      <c r="AD396" s="52"/>
      <c r="AE396" s="53"/>
      <c r="AF396" s="51"/>
      <c r="AG396" s="52"/>
      <c r="AH396" s="54"/>
    </row>
    <row r="397" spans="1:35" ht="15.75" x14ac:dyDescent="0.25">
      <c r="A397" s="197"/>
      <c r="B397" s="198"/>
      <c r="C397" s="199"/>
      <c r="D397" s="220" t="s">
        <v>759</v>
      </c>
      <c r="E397" s="221"/>
      <c r="F397" s="221"/>
      <c r="G397" s="221"/>
      <c r="H397" s="221"/>
      <c r="I397" s="222"/>
      <c r="J397" s="63"/>
      <c r="K397" s="226">
        <v>0.15</v>
      </c>
      <c r="L397" s="227"/>
      <c r="M397" s="226"/>
      <c r="N397" s="227"/>
      <c r="O397" s="226">
        <v>0.3</v>
      </c>
      <c r="P397" s="227"/>
      <c r="Q397" s="226"/>
      <c r="R397" s="227"/>
      <c r="S397" s="226">
        <v>4.9000000000000004</v>
      </c>
      <c r="T397" s="227"/>
      <c r="U397" s="202"/>
      <c r="V397" s="199"/>
      <c r="W397" s="223">
        <f t="shared" si="31"/>
        <v>4.4999999999999998E-2</v>
      </c>
      <c r="X397" s="224"/>
      <c r="Y397" s="225"/>
      <c r="Z397" s="203">
        <f t="shared" si="32"/>
        <v>0.2205</v>
      </c>
      <c r="AA397" s="204"/>
      <c r="AB397" s="205"/>
      <c r="AC397" s="51"/>
      <c r="AD397" s="52"/>
      <c r="AE397" s="53"/>
      <c r="AF397" s="51"/>
      <c r="AG397" s="52"/>
      <c r="AH397" s="54"/>
    </row>
    <row r="398" spans="1:35" ht="15.75" x14ac:dyDescent="0.25">
      <c r="A398" s="189" t="str">
        <f>'MEMORIA BM 04'!A39</f>
        <v>5.7</v>
      </c>
      <c r="B398" s="190"/>
      <c r="C398" s="191"/>
      <c r="D398" s="228" t="str">
        <f>'MEMORIA BM 04'!B39</f>
        <v>LANÇAMENTO COM USO DE BOMBA, ADENSAMENTO E ACABAMENTO DE CONCRETO EM ESTRUTURAS. AF_12/2015</v>
      </c>
      <c r="E398" s="229"/>
      <c r="F398" s="229"/>
      <c r="G398" s="229"/>
      <c r="H398" s="229"/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30"/>
      <c r="AC398" s="195">
        <f>SUM(Z399:AB491)</f>
        <v>18.993500000000022</v>
      </c>
      <c r="AD398" s="190"/>
      <c r="AE398" s="191"/>
      <c r="AF398" s="195" t="str">
        <f>'MEMORIA BM 04'!C39</f>
        <v>M3</v>
      </c>
      <c r="AG398" s="190"/>
      <c r="AH398" s="196"/>
      <c r="AI398">
        <v>18.989999999999998</v>
      </c>
    </row>
    <row r="399" spans="1:35" ht="15.75" x14ac:dyDescent="0.25">
      <c r="A399" s="197"/>
      <c r="B399" s="198"/>
      <c r="C399" s="199"/>
      <c r="D399" s="218" t="s">
        <v>667</v>
      </c>
      <c r="E399" s="219"/>
      <c r="F399" s="219"/>
      <c r="G399" s="219"/>
      <c r="H399" s="219"/>
      <c r="I399" s="219"/>
      <c r="J399" s="63"/>
      <c r="K399" s="226">
        <v>0.15</v>
      </c>
      <c r="L399" s="227"/>
      <c r="M399" s="226"/>
      <c r="N399" s="227"/>
      <c r="O399" s="226">
        <v>0.3</v>
      </c>
      <c r="P399" s="227"/>
      <c r="Q399" s="226"/>
      <c r="R399" s="227"/>
      <c r="S399" s="226">
        <f t="shared" ref="S399:S406" si="33">3.4+1.5</f>
        <v>4.9000000000000004</v>
      </c>
      <c r="T399" s="227"/>
      <c r="U399" s="226"/>
      <c r="V399" s="227"/>
      <c r="W399" s="203">
        <f>K399*O399</f>
        <v>4.4999999999999998E-2</v>
      </c>
      <c r="X399" s="204"/>
      <c r="Y399" s="205"/>
      <c r="Z399" s="203">
        <f>W399*S399</f>
        <v>0.2205</v>
      </c>
      <c r="AA399" s="204"/>
      <c r="AB399" s="205"/>
      <c r="AC399" s="51"/>
      <c r="AD399" s="52"/>
      <c r="AE399" s="53"/>
      <c r="AF399" s="51"/>
      <c r="AG399" s="52"/>
      <c r="AH399" s="54"/>
    </row>
    <row r="400" spans="1:35" ht="15.75" x14ac:dyDescent="0.25">
      <c r="A400" s="197"/>
      <c r="B400" s="198"/>
      <c r="C400" s="199"/>
      <c r="D400" s="218" t="s">
        <v>668</v>
      </c>
      <c r="E400" s="219"/>
      <c r="F400" s="219"/>
      <c r="G400" s="219"/>
      <c r="H400" s="219"/>
      <c r="I400" s="219"/>
      <c r="J400" s="63"/>
      <c r="K400" s="226">
        <v>0.2</v>
      </c>
      <c r="L400" s="227"/>
      <c r="M400" s="226"/>
      <c r="N400" s="227"/>
      <c r="O400" s="226">
        <v>0.3</v>
      </c>
      <c r="P400" s="227"/>
      <c r="Q400" s="226"/>
      <c r="R400" s="227"/>
      <c r="S400" s="226">
        <f t="shared" si="33"/>
        <v>4.9000000000000004</v>
      </c>
      <c r="T400" s="227"/>
      <c r="U400" s="226"/>
      <c r="V400" s="227"/>
      <c r="W400" s="223">
        <f t="shared" ref="W400:W463" si="34">K400*O400</f>
        <v>0.06</v>
      </c>
      <c r="X400" s="224"/>
      <c r="Y400" s="225"/>
      <c r="Z400" s="203">
        <f t="shared" ref="Z400:Z463" si="35">W400*S400</f>
        <v>0.29399999999999998</v>
      </c>
      <c r="AA400" s="204"/>
      <c r="AB400" s="205"/>
      <c r="AC400" s="51"/>
      <c r="AD400" s="52"/>
      <c r="AE400" s="53"/>
      <c r="AF400" s="51"/>
      <c r="AG400" s="52"/>
      <c r="AH400" s="54"/>
    </row>
    <row r="401" spans="1:34" ht="15.75" x14ac:dyDescent="0.25">
      <c r="A401" s="197"/>
      <c r="B401" s="198"/>
      <c r="C401" s="199"/>
      <c r="D401" s="218" t="s">
        <v>669</v>
      </c>
      <c r="E401" s="219"/>
      <c r="F401" s="219"/>
      <c r="G401" s="219"/>
      <c r="H401" s="219"/>
      <c r="I401" s="219"/>
      <c r="J401" s="63"/>
      <c r="K401" s="226">
        <v>0.2</v>
      </c>
      <c r="L401" s="227"/>
      <c r="M401" s="226"/>
      <c r="N401" s="227"/>
      <c r="O401" s="226">
        <v>0.3</v>
      </c>
      <c r="P401" s="227"/>
      <c r="Q401" s="226"/>
      <c r="R401" s="227"/>
      <c r="S401" s="226">
        <f t="shared" si="33"/>
        <v>4.9000000000000004</v>
      </c>
      <c r="T401" s="227"/>
      <c r="U401" s="226"/>
      <c r="V401" s="227"/>
      <c r="W401" s="223">
        <f t="shared" si="34"/>
        <v>0.06</v>
      </c>
      <c r="X401" s="224"/>
      <c r="Y401" s="225"/>
      <c r="Z401" s="203">
        <f t="shared" si="35"/>
        <v>0.29399999999999998</v>
      </c>
      <c r="AA401" s="204"/>
      <c r="AB401" s="205"/>
      <c r="AC401" s="51"/>
      <c r="AD401" s="52"/>
      <c r="AE401" s="53"/>
      <c r="AF401" s="51"/>
      <c r="AG401" s="52"/>
      <c r="AH401" s="54"/>
    </row>
    <row r="402" spans="1:34" ht="15.75" x14ac:dyDescent="0.25">
      <c r="A402" s="197"/>
      <c r="B402" s="198"/>
      <c r="C402" s="199"/>
      <c r="D402" s="218" t="s">
        <v>670</v>
      </c>
      <c r="E402" s="219"/>
      <c r="F402" s="219"/>
      <c r="G402" s="219"/>
      <c r="H402" s="219"/>
      <c r="I402" s="219"/>
      <c r="J402" s="63"/>
      <c r="K402" s="226">
        <v>0.2</v>
      </c>
      <c r="L402" s="227"/>
      <c r="M402" s="226"/>
      <c r="N402" s="227"/>
      <c r="O402" s="226">
        <v>0.3</v>
      </c>
      <c r="P402" s="227"/>
      <c r="Q402" s="226"/>
      <c r="R402" s="227"/>
      <c r="S402" s="226">
        <f t="shared" si="33"/>
        <v>4.9000000000000004</v>
      </c>
      <c r="T402" s="227"/>
      <c r="U402" s="226"/>
      <c r="V402" s="227"/>
      <c r="W402" s="223">
        <f t="shared" si="34"/>
        <v>0.06</v>
      </c>
      <c r="X402" s="224"/>
      <c r="Y402" s="225"/>
      <c r="Z402" s="203">
        <f t="shared" si="35"/>
        <v>0.29399999999999998</v>
      </c>
      <c r="AA402" s="204"/>
      <c r="AB402" s="205"/>
      <c r="AC402" s="51"/>
      <c r="AD402" s="52"/>
      <c r="AE402" s="53"/>
      <c r="AF402" s="51"/>
      <c r="AG402" s="52"/>
      <c r="AH402" s="54"/>
    </row>
    <row r="403" spans="1:34" ht="15.75" x14ac:dyDescent="0.25">
      <c r="A403" s="197"/>
      <c r="B403" s="198"/>
      <c r="C403" s="199"/>
      <c r="D403" s="218" t="s">
        <v>671</v>
      </c>
      <c r="E403" s="219"/>
      <c r="F403" s="219"/>
      <c r="G403" s="219"/>
      <c r="H403" s="219"/>
      <c r="I403" s="219"/>
      <c r="J403" s="63"/>
      <c r="K403" s="226">
        <v>0.15</v>
      </c>
      <c r="L403" s="227"/>
      <c r="M403" s="226"/>
      <c r="N403" s="227"/>
      <c r="O403" s="226">
        <v>0.3</v>
      </c>
      <c r="P403" s="227"/>
      <c r="Q403" s="226"/>
      <c r="R403" s="227"/>
      <c r="S403" s="226">
        <f t="shared" si="33"/>
        <v>4.9000000000000004</v>
      </c>
      <c r="T403" s="227"/>
      <c r="U403" s="202"/>
      <c r="V403" s="199"/>
      <c r="W403" s="223">
        <f t="shared" si="34"/>
        <v>4.4999999999999998E-2</v>
      </c>
      <c r="X403" s="224"/>
      <c r="Y403" s="225"/>
      <c r="Z403" s="203">
        <f t="shared" si="35"/>
        <v>0.2205</v>
      </c>
      <c r="AA403" s="204"/>
      <c r="AB403" s="205"/>
      <c r="AC403" s="51"/>
      <c r="AD403" s="52"/>
      <c r="AE403" s="53"/>
      <c r="AF403" s="51"/>
      <c r="AG403" s="52"/>
      <c r="AH403" s="54"/>
    </row>
    <row r="404" spans="1:34" ht="15.75" x14ac:dyDescent="0.25">
      <c r="A404" s="197"/>
      <c r="B404" s="198"/>
      <c r="C404" s="199"/>
      <c r="D404" s="218" t="s">
        <v>672</v>
      </c>
      <c r="E404" s="219"/>
      <c r="F404" s="219"/>
      <c r="G404" s="219"/>
      <c r="H404" s="219"/>
      <c r="I404" s="219"/>
      <c r="J404" s="63"/>
      <c r="K404" s="226">
        <v>0.15</v>
      </c>
      <c r="L404" s="227"/>
      <c r="M404" s="226"/>
      <c r="N404" s="227"/>
      <c r="O404" s="226">
        <v>0.3</v>
      </c>
      <c r="P404" s="227"/>
      <c r="Q404" s="226"/>
      <c r="R404" s="227"/>
      <c r="S404" s="226">
        <f t="shared" si="33"/>
        <v>4.9000000000000004</v>
      </c>
      <c r="T404" s="227"/>
      <c r="U404" s="226"/>
      <c r="V404" s="227"/>
      <c r="W404" s="223">
        <f t="shared" si="34"/>
        <v>4.4999999999999998E-2</v>
      </c>
      <c r="X404" s="224"/>
      <c r="Y404" s="225"/>
      <c r="Z404" s="203">
        <f t="shared" si="35"/>
        <v>0.2205</v>
      </c>
      <c r="AA404" s="204"/>
      <c r="AB404" s="205"/>
      <c r="AC404" s="51"/>
      <c r="AD404" s="52"/>
      <c r="AE404" s="53"/>
      <c r="AF404" s="51"/>
      <c r="AG404" s="52"/>
      <c r="AH404" s="54"/>
    </row>
    <row r="405" spans="1:34" ht="15.75" x14ac:dyDescent="0.25">
      <c r="A405" s="197"/>
      <c r="B405" s="198"/>
      <c r="C405" s="199"/>
      <c r="D405" s="218" t="s">
        <v>673</v>
      </c>
      <c r="E405" s="219"/>
      <c r="F405" s="219"/>
      <c r="G405" s="219"/>
      <c r="H405" s="219"/>
      <c r="I405" s="219"/>
      <c r="J405" s="63"/>
      <c r="K405" s="226">
        <v>0.15</v>
      </c>
      <c r="L405" s="227"/>
      <c r="M405" s="226"/>
      <c r="N405" s="227"/>
      <c r="O405" s="226">
        <v>0.3</v>
      </c>
      <c r="P405" s="227"/>
      <c r="Q405" s="226"/>
      <c r="R405" s="227"/>
      <c r="S405" s="226">
        <f t="shared" si="33"/>
        <v>4.9000000000000004</v>
      </c>
      <c r="T405" s="227"/>
      <c r="U405" s="226"/>
      <c r="V405" s="227"/>
      <c r="W405" s="223">
        <f t="shared" si="34"/>
        <v>4.4999999999999998E-2</v>
      </c>
      <c r="X405" s="224"/>
      <c r="Y405" s="225"/>
      <c r="Z405" s="203">
        <f t="shared" si="35"/>
        <v>0.2205</v>
      </c>
      <c r="AA405" s="204"/>
      <c r="AB405" s="205"/>
      <c r="AC405" s="51"/>
      <c r="AD405" s="52"/>
      <c r="AE405" s="53"/>
      <c r="AF405" s="51"/>
      <c r="AG405" s="52"/>
      <c r="AH405" s="54"/>
    </row>
    <row r="406" spans="1:34" ht="15.75" x14ac:dyDescent="0.25">
      <c r="A406" s="197"/>
      <c r="B406" s="198"/>
      <c r="C406" s="199"/>
      <c r="D406" s="218" t="s">
        <v>674</v>
      </c>
      <c r="E406" s="219"/>
      <c r="F406" s="219"/>
      <c r="G406" s="219"/>
      <c r="H406" s="219"/>
      <c r="I406" s="219"/>
      <c r="J406" s="63"/>
      <c r="K406" s="226">
        <v>0.15</v>
      </c>
      <c r="L406" s="227"/>
      <c r="M406" s="226"/>
      <c r="N406" s="227"/>
      <c r="O406" s="226">
        <v>0.3</v>
      </c>
      <c r="P406" s="227"/>
      <c r="Q406" s="226"/>
      <c r="R406" s="227"/>
      <c r="S406" s="226">
        <f t="shared" si="33"/>
        <v>4.9000000000000004</v>
      </c>
      <c r="T406" s="227"/>
      <c r="U406" s="226"/>
      <c r="V406" s="227"/>
      <c r="W406" s="223">
        <f t="shared" si="34"/>
        <v>4.4999999999999998E-2</v>
      </c>
      <c r="X406" s="224"/>
      <c r="Y406" s="225"/>
      <c r="Z406" s="203">
        <f t="shared" si="35"/>
        <v>0.2205</v>
      </c>
      <c r="AA406" s="204"/>
      <c r="AB406" s="205"/>
      <c r="AC406" s="51"/>
      <c r="AD406" s="52"/>
      <c r="AE406" s="53"/>
      <c r="AF406" s="51"/>
      <c r="AG406" s="52"/>
      <c r="AH406" s="54"/>
    </row>
    <row r="407" spans="1:34" ht="15.75" x14ac:dyDescent="0.25">
      <c r="A407" s="197"/>
      <c r="B407" s="198"/>
      <c r="C407" s="199"/>
      <c r="D407" s="218" t="s">
        <v>675</v>
      </c>
      <c r="E407" s="219"/>
      <c r="F407" s="219"/>
      <c r="G407" s="219"/>
      <c r="H407" s="219"/>
      <c r="I407" s="219"/>
      <c r="J407" s="63"/>
      <c r="K407" s="226">
        <v>0.15</v>
      </c>
      <c r="L407" s="227"/>
      <c r="M407" s="226"/>
      <c r="N407" s="227"/>
      <c r="O407" s="226">
        <v>0.3</v>
      </c>
      <c r="P407" s="227"/>
      <c r="Q407" s="226"/>
      <c r="R407" s="227"/>
      <c r="S407" s="226">
        <v>3.4</v>
      </c>
      <c r="T407" s="227"/>
      <c r="U407" s="226"/>
      <c r="V407" s="227"/>
      <c r="W407" s="223">
        <f t="shared" si="34"/>
        <v>4.4999999999999998E-2</v>
      </c>
      <c r="X407" s="224"/>
      <c r="Y407" s="225"/>
      <c r="Z407" s="203">
        <f t="shared" si="35"/>
        <v>0.153</v>
      </c>
      <c r="AA407" s="204"/>
      <c r="AB407" s="205"/>
      <c r="AC407" s="51"/>
      <c r="AD407" s="52"/>
      <c r="AE407" s="53"/>
      <c r="AF407" s="51"/>
      <c r="AG407" s="52"/>
      <c r="AH407" s="54"/>
    </row>
    <row r="408" spans="1:34" ht="15.75" x14ac:dyDescent="0.25">
      <c r="A408" s="197"/>
      <c r="B408" s="198"/>
      <c r="C408" s="199"/>
      <c r="D408" s="218" t="s">
        <v>676</v>
      </c>
      <c r="E408" s="219"/>
      <c r="F408" s="219"/>
      <c r="G408" s="219"/>
      <c r="H408" s="219"/>
      <c r="I408" s="219"/>
      <c r="J408" s="63"/>
      <c r="K408" s="226">
        <v>0.15</v>
      </c>
      <c r="L408" s="227"/>
      <c r="M408" s="226"/>
      <c r="N408" s="227"/>
      <c r="O408" s="226">
        <v>0.3</v>
      </c>
      <c r="P408" s="227"/>
      <c r="Q408" s="226"/>
      <c r="R408" s="227"/>
      <c r="S408" s="226">
        <v>4.9000000000000004</v>
      </c>
      <c r="T408" s="227"/>
      <c r="U408" s="226"/>
      <c r="V408" s="227"/>
      <c r="W408" s="223">
        <f t="shared" si="34"/>
        <v>4.4999999999999998E-2</v>
      </c>
      <c r="X408" s="224"/>
      <c r="Y408" s="225"/>
      <c r="Z408" s="203">
        <f t="shared" si="35"/>
        <v>0.2205</v>
      </c>
      <c r="AA408" s="204"/>
      <c r="AB408" s="205"/>
      <c r="AC408" s="51"/>
      <c r="AD408" s="52"/>
      <c r="AE408" s="53"/>
      <c r="AF408" s="51"/>
      <c r="AG408" s="52"/>
      <c r="AH408" s="54"/>
    </row>
    <row r="409" spans="1:34" ht="15.75" x14ac:dyDescent="0.25">
      <c r="A409" s="197"/>
      <c r="B409" s="198"/>
      <c r="C409" s="199"/>
      <c r="D409" s="218" t="s">
        <v>677</v>
      </c>
      <c r="E409" s="219"/>
      <c r="F409" s="219"/>
      <c r="G409" s="219"/>
      <c r="H409" s="219"/>
      <c r="I409" s="219"/>
      <c r="J409" s="63"/>
      <c r="K409" s="226">
        <v>0.15</v>
      </c>
      <c r="L409" s="227"/>
      <c r="M409" s="226"/>
      <c r="N409" s="227"/>
      <c r="O409" s="226">
        <v>0.3</v>
      </c>
      <c r="P409" s="227"/>
      <c r="Q409" s="226"/>
      <c r="R409" s="227"/>
      <c r="S409" s="226">
        <v>4.9000000000000004</v>
      </c>
      <c r="T409" s="227"/>
      <c r="U409" s="226"/>
      <c r="V409" s="227"/>
      <c r="W409" s="223">
        <f t="shared" si="34"/>
        <v>4.4999999999999998E-2</v>
      </c>
      <c r="X409" s="224"/>
      <c r="Y409" s="225"/>
      <c r="Z409" s="203">
        <f t="shared" si="35"/>
        <v>0.2205</v>
      </c>
      <c r="AA409" s="204"/>
      <c r="AB409" s="205"/>
      <c r="AC409" s="51"/>
      <c r="AD409" s="52"/>
      <c r="AE409" s="53"/>
      <c r="AF409" s="51"/>
      <c r="AG409" s="52"/>
      <c r="AH409" s="54"/>
    </row>
    <row r="410" spans="1:34" ht="15.75" x14ac:dyDescent="0.25">
      <c r="A410" s="197"/>
      <c r="B410" s="198"/>
      <c r="C410" s="199"/>
      <c r="D410" s="218" t="s">
        <v>678</v>
      </c>
      <c r="E410" s="219"/>
      <c r="F410" s="219"/>
      <c r="G410" s="219"/>
      <c r="H410" s="219"/>
      <c r="I410" s="219"/>
      <c r="J410" s="63"/>
      <c r="K410" s="226">
        <v>0.15</v>
      </c>
      <c r="L410" s="227"/>
      <c r="M410" s="226"/>
      <c r="N410" s="227"/>
      <c r="O410" s="226">
        <v>0.3</v>
      </c>
      <c r="P410" s="227"/>
      <c r="Q410" s="226"/>
      <c r="R410" s="227"/>
      <c r="S410" s="226">
        <v>3.4</v>
      </c>
      <c r="T410" s="227"/>
      <c r="U410" s="226"/>
      <c r="V410" s="227"/>
      <c r="W410" s="223">
        <f t="shared" si="34"/>
        <v>4.4999999999999998E-2</v>
      </c>
      <c r="X410" s="224"/>
      <c r="Y410" s="225"/>
      <c r="Z410" s="203">
        <f t="shared" si="35"/>
        <v>0.153</v>
      </c>
      <c r="AA410" s="204"/>
      <c r="AB410" s="205"/>
      <c r="AC410" s="51"/>
      <c r="AD410" s="52"/>
      <c r="AE410" s="53"/>
      <c r="AF410" s="51"/>
      <c r="AG410" s="52"/>
      <c r="AH410" s="54"/>
    </row>
    <row r="411" spans="1:34" ht="15.75" x14ac:dyDescent="0.25">
      <c r="A411" s="197"/>
      <c r="B411" s="198"/>
      <c r="C411" s="199"/>
      <c r="D411" s="218" t="s">
        <v>679</v>
      </c>
      <c r="E411" s="219"/>
      <c r="F411" s="219"/>
      <c r="G411" s="219"/>
      <c r="H411" s="219"/>
      <c r="I411" s="219"/>
      <c r="J411" s="63"/>
      <c r="K411" s="202">
        <v>0.2</v>
      </c>
      <c r="L411" s="199"/>
      <c r="M411" s="202"/>
      <c r="N411" s="199"/>
      <c r="O411" s="226">
        <v>0.3</v>
      </c>
      <c r="P411" s="227"/>
      <c r="Q411" s="202"/>
      <c r="R411" s="199"/>
      <c r="S411" s="202">
        <v>3.4</v>
      </c>
      <c r="T411" s="199"/>
      <c r="U411" s="202"/>
      <c r="V411" s="199"/>
      <c r="W411" s="223">
        <f t="shared" si="34"/>
        <v>0.06</v>
      </c>
      <c r="X411" s="224"/>
      <c r="Y411" s="225"/>
      <c r="Z411" s="203">
        <f t="shared" si="35"/>
        <v>0.20399999999999999</v>
      </c>
      <c r="AA411" s="204"/>
      <c r="AB411" s="205"/>
      <c r="AC411" s="51"/>
      <c r="AD411" s="52"/>
      <c r="AE411" s="53"/>
      <c r="AF411" s="51"/>
      <c r="AG411" s="52"/>
      <c r="AH411" s="54"/>
    </row>
    <row r="412" spans="1:34" ht="15.75" x14ac:dyDescent="0.25">
      <c r="A412" s="197"/>
      <c r="B412" s="198"/>
      <c r="C412" s="199"/>
      <c r="D412" s="220" t="s">
        <v>680</v>
      </c>
      <c r="E412" s="221"/>
      <c r="F412" s="221"/>
      <c r="G412" s="221"/>
      <c r="H412" s="221"/>
      <c r="I412" s="222"/>
      <c r="J412" s="63"/>
      <c r="K412" s="226">
        <v>0.15</v>
      </c>
      <c r="L412" s="227"/>
      <c r="M412" s="226"/>
      <c r="N412" s="227"/>
      <c r="O412" s="226">
        <v>0.3</v>
      </c>
      <c r="P412" s="227"/>
      <c r="Q412" s="226"/>
      <c r="R412" s="227"/>
      <c r="S412" s="226">
        <v>3.4</v>
      </c>
      <c r="T412" s="227"/>
      <c r="U412" s="226"/>
      <c r="V412" s="227"/>
      <c r="W412" s="223">
        <f t="shared" si="34"/>
        <v>4.4999999999999998E-2</v>
      </c>
      <c r="X412" s="224"/>
      <c r="Y412" s="225"/>
      <c r="Z412" s="203">
        <f t="shared" si="35"/>
        <v>0.153</v>
      </c>
      <c r="AA412" s="204"/>
      <c r="AB412" s="205"/>
      <c r="AC412" s="51"/>
      <c r="AD412" s="52"/>
      <c r="AE412" s="53"/>
      <c r="AF412" s="51"/>
      <c r="AG412" s="52"/>
      <c r="AH412" s="54"/>
    </row>
    <row r="413" spans="1:34" ht="15.75" x14ac:dyDescent="0.25">
      <c r="A413" s="197"/>
      <c r="B413" s="198"/>
      <c r="C413" s="199"/>
      <c r="D413" s="220" t="s">
        <v>682</v>
      </c>
      <c r="E413" s="221"/>
      <c r="F413" s="221"/>
      <c r="G413" s="221"/>
      <c r="H413" s="221"/>
      <c r="I413" s="222"/>
      <c r="J413" s="63"/>
      <c r="K413" s="226">
        <v>0.15</v>
      </c>
      <c r="L413" s="227"/>
      <c r="M413" s="226"/>
      <c r="N413" s="227"/>
      <c r="O413" s="226">
        <v>0.3</v>
      </c>
      <c r="P413" s="227"/>
      <c r="Q413" s="226"/>
      <c r="R413" s="227"/>
      <c r="S413" s="226">
        <v>3.4</v>
      </c>
      <c r="T413" s="227"/>
      <c r="U413" s="226"/>
      <c r="V413" s="227"/>
      <c r="W413" s="223">
        <f t="shared" si="34"/>
        <v>4.4999999999999998E-2</v>
      </c>
      <c r="X413" s="224"/>
      <c r="Y413" s="225"/>
      <c r="Z413" s="203">
        <f t="shared" si="35"/>
        <v>0.153</v>
      </c>
      <c r="AA413" s="204"/>
      <c r="AB413" s="205"/>
      <c r="AC413" s="51"/>
      <c r="AD413" s="52"/>
      <c r="AE413" s="53"/>
      <c r="AF413" s="51"/>
      <c r="AG413" s="52"/>
      <c r="AH413" s="54"/>
    </row>
    <row r="414" spans="1:34" ht="15.75" x14ac:dyDescent="0.25">
      <c r="A414" s="197"/>
      <c r="B414" s="198"/>
      <c r="C414" s="199"/>
      <c r="D414" s="220" t="s">
        <v>683</v>
      </c>
      <c r="E414" s="221"/>
      <c r="F414" s="221"/>
      <c r="G414" s="221"/>
      <c r="H414" s="221"/>
      <c r="I414" s="222"/>
      <c r="J414" s="63"/>
      <c r="K414" s="226">
        <v>0.15</v>
      </c>
      <c r="L414" s="227"/>
      <c r="M414" s="226"/>
      <c r="N414" s="227"/>
      <c r="O414" s="226">
        <v>0.3</v>
      </c>
      <c r="P414" s="227"/>
      <c r="Q414" s="226"/>
      <c r="R414" s="227"/>
      <c r="S414" s="226">
        <v>4.9000000000000004</v>
      </c>
      <c r="T414" s="227"/>
      <c r="U414" s="226"/>
      <c r="V414" s="227"/>
      <c r="W414" s="223">
        <f t="shared" si="34"/>
        <v>4.4999999999999998E-2</v>
      </c>
      <c r="X414" s="224"/>
      <c r="Y414" s="225"/>
      <c r="Z414" s="203">
        <f t="shared" si="35"/>
        <v>0.2205</v>
      </c>
      <c r="AA414" s="204"/>
      <c r="AB414" s="205"/>
      <c r="AC414" s="51"/>
      <c r="AD414" s="52"/>
      <c r="AE414" s="53"/>
      <c r="AF414" s="51"/>
      <c r="AG414" s="52"/>
      <c r="AH414" s="54"/>
    </row>
    <row r="415" spans="1:34" ht="15.75" x14ac:dyDescent="0.25">
      <c r="A415" s="197"/>
      <c r="B415" s="198"/>
      <c r="C415" s="199"/>
      <c r="D415" s="220" t="s">
        <v>684</v>
      </c>
      <c r="E415" s="221"/>
      <c r="F415" s="221"/>
      <c r="G415" s="221"/>
      <c r="H415" s="221"/>
      <c r="I415" s="222"/>
      <c r="J415" s="63"/>
      <c r="K415" s="226">
        <v>0.15</v>
      </c>
      <c r="L415" s="227"/>
      <c r="M415" s="226"/>
      <c r="N415" s="227"/>
      <c r="O415" s="226">
        <v>0.3</v>
      </c>
      <c r="P415" s="227"/>
      <c r="Q415" s="226"/>
      <c r="R415" s="227"/>
      <c r="S415" s="226">
        <v>3.4</v>
      </c>
      <c r="T415" s="227"/>
      <c r="U415" s="226"/>
      <c r="V415" s="227"/>
      <c r="W415" s="223">
        <f t="shared" si="34"/>
        <v>4.4999999999999998E-2</v>
      </c>
      <c r="X415" s="224"/>
      <c r="Y415" s="225"/>
      <c r="Z415" s="203">
        <f t="shared" si="35"/>
        <v>0.153</v>
      </c>
      <c r="AA415" s="204"/>
      <c r="AB415" s="205"/>
      <c r="AC415" s="51"/>
      <c r="AD415" s="52"/>
      <c r="AE415" s="53"/>
      <c r="AF415" s="51"/>
      <c r="AG415" s="52"/>
      <c r="AH415" s="54"/>
    </row>
    <row r="416" spans="1:34" ht="15.75" x14ac:dyDescent="0.25">
      <c r="A416" s="197"/>
      <c r="B416" s="198"/>
      <c r="C416" s="199"/>
      <c r="D416" s="220" t="s">
        <v>685</v>
      </c>
      <c r="E416" s="221"/>
      <c r="F416" s="221"/>
      <c r="G416" s="221"/>
      <c r="H416" s="221"/>
      <c r="I416" s="222"/>
      <c r="J416" s="63"/>
      <c r="K416" s="226">
        <v>0.15</v>
      </c>
      <c r="L416" s="227"/>
      <c r="M416" s="226"/>
      <c r="N416" s="227"/>
      <c r="O416" s="226">
        <v>0.3</v>
      </c>
      <c r="P416" s="227"/>
      <c r="Q416" s="226"/>
      <c r="R416" s="227"/>
      <c r="S416" s="226">
        <v>4.9000000000000004</v>
      </c>
      <c r="T416" s="227"/>
      <c r="U416" s="226"/>
      <c r="V416" s="227"/>
      <c r="W416" s="223">
        <f t="shared" si="34"/>
        <v>4.4999999999999998E-2</v>
      </c>
      <c r="X416" s="224"/>
      <c r="Y416" s="225"/>
      <c r="Z416" s="203">
        <f t="shared" si="35"/>
        <v>0.2205</v>
      </c>
      <c r="AA416" s="204"/>
      <c r="AB416" s="205"/>
      <c r="AC416" s="51"/>
      <c r="AD416" s="52"/>
      <c r="AE416" s="53"/>
      <c r="AF416" s="51"/>
      <c r="AG416" s="52"/>
      <c r="AH416" s="54"/>
    </row>
    <row r="417" spans="1:34" ht="15.75" x14ac:dyDescent="0.25">
      <c r="A417" s="197"/>
      <c r="B417" s="198"/>
      <c r="C417" s="199"/>
      <c r="D417" s="220" t="s">
        <v>681</v>
      </c>
      <c r="E417" s="221"/>
      <c r="F417" s="221"/>
      <c r="G417" s="221"/>
      <c r="H417" s="221"/>
      <c r="I417" s="222"/>
      <c r="J417" s="63"/>
      <c r="K417" s="226">
        <v>0.15</v>
      </c>
      <c r="L417" s="227"/>
      <c r="M417" s="226"/>
      <c r="N417" s="227"/>
      <c r="O417" s="226">
        <v>0.3</v>
      </c>
      <c r="P417" s="227"/>
      <c r="Q417" s="226"/>
      <c r="R417" s="227"/>
      <c r="S417" s="226">
        <v>3.4</v>
      </c>
      <c r="T417" s="227"/>
      <c r="U417" s="226"/>
      <c r="V417" s="227"/>
      <c r="W417" s="223">
        <f t="shared" si="34"/>
        <v>4.4999999999999998E-2</v>
      </c>
      <c r="X417" s="224"/>
      <c r="Y417" s="225"/>
      <c r="Z417" s="203">
        <f t="shared" si="35"/>
        <v>0.153</v>
      </c>
      <c r="AA417" s="204"/>
      <c r="AB417" s="205"/>
      <c r="AC417" s="51"/>
      <c r="AD417" s="52"/>
      <c r="AE417" s="53"/>
      <c r="AF417" s="51"/>
      <c r="AG417" s="52"/>
      <c r="AH417" s="54"/>
    </row>
    <row r="418" spans="1:34" ht="15.75" x14ac:dyDescent="0.25">
      <c r="A418" s="197"/>
      <c r="B418" s="198"/>
      <c r="C418" s="199"/>
      <c r="D418" s="220" t="s">
        <v>686</v>
      </c>
      <c r="E418" s="221"/>
      <c r="F418" s="221"/>
      <c r="G418" s="221"/>
      <c r="H418" s="221"/>
      <c r="I418" s="222"/>
      <c r="J418" s="63"/>
      <c r="K418" s="226">
        <v>0.15</v>
      </c>
      <c r="L418" s="227"/>
      <c r="M418" s="226"/>
      <c r="N418" s="227"/>
      <c r="O418" s="226">
        <v>0.3</v>
      </c>
      <c r="P418" s="227"/>
      <c r="Q418" s="226"/>
      <c r="R418" s="227"/>
      <c r="S418" s="226">
        <v>4.9000000000000004</v>
      </c>
      <c r="T418" s="227"/>
      <c r="U418" s="226"/>
      <c r="V418" s="227"/>
      <c r="W418" s="223">
        <f t="shared" si="34"/>
        <v>4.4999999999999998E-2</v>
      </c>
      <c r="X418" s="224"/>
      <c r="Y418" s="225"/>
      <c r="Z418" s="203">
        <f t="shared" si="35"/>
        <v>0.2205</v>
      </c>
      <c r="AA418" s="204"/>
      <c r="AB418" s="205"/>
      <c r="AC418" s="51"/>
      <c r="AD418" s="52"/>
      <c r="AE418" s="53"/>
      <c r="AF418" s="51"/>
      <c r="AG418" s="52"/>
      <c r="AH418" s="54"/>
    </row>
    <row r="419" spans="1:34" ht="15.75" x14ac:dyDescent="0.25">
      <c r="A419" s="197"/>
      <c r="B419" s="198"/>
      <c r="C419" s="199"/>
      <c r="D419" s="220" t="s">
        <v>687</v>
      </c>
      <c r="E419" s="221"/>
      <c r="F419" s="221"/>
      <c r="G419" s="221"/>
      <c r="H419" s="221"/>
      <c r="I419" s="222"/>
      <c r="J419" s="63"/>
      <c r="K419" s="202">
        <v>0.15</v>
      </c>
      <c r="L419" s="199"/>
      <c r="M419" s="202"/>
      <c r="N419" s="199"/>
      <c r="O419" s="226">
        <v>0.4</v>
      </c>
      <c r="P419" s="227"/>
      <c r="Q419" s="202"/>
      <c r="R419" s="199"/>
      <c r="S419" s="202">
        <v>4.9000000000000004</v>
      </c>
      <c r="T419" s="199"/>
      <c r="U419" s="202"/>
      <c r="V419" s="199"/>
      <c r="W419" s="223">
        <f t="shared" si="34"/>
        <v>0.06</v>
      </c>
      <c r="X419" s="224"/>
      <c r="Y419" s="225"/>
      <c r="Z419" s="203">
        <f t="shared" si="35"/>
        <v>0.29399999999999998</v>
      </c>
      <c r="AA419" s="204"/>
      <c r="AB419" s="205"/>
      <c r="AC419" s="51"/>
      <c r="AD419" s="52"/>
      <c r="AE419" s="53"/>
      <c r="AF419" s="51"/>
      <c r="AG419" s="52"/>
      <c r="AH419" s="54"/>
    </row>
    <row r="420" spans="1:34" ht="15.75" x14ac:dyDescent="0.25">
      <c r="A420" s="197"/>
      <c r="B420" s="198"/>
      <c r="C420" s="199"/>
      <c r="D420" s="220" t="s">
        <v>688</v>
      </c>
      <c r="E420" s="221"/>
      <c r="F420" s="221"/>
      <c r="G420" s="221"/>
      <c r="H420" s="221"/>
      <c r="I420" s="222"/>
      <c r="J420" s="63"/>
      <c r="K420" s="226">
        <v>0.2</v>
      </c>
      <c r="L420" s="227"/>
      <c r="M420" s="226"/>
      <c r="N420" s="227"/>
      <c r="O420" s="226">
        <v>0.4</v>
      </c>
      <c r="P420" s="227"/>
      <c r="Q420" s="226"/>
      <c r="R420" s="227"/>
      <c r="S420" s="226">
        <v>3.4</v>
      </c>
      <c r="T420" s="227"/>
      <c r="U420" s="226"/>
      <c r="V420" s="227"/>
      <c r="W420" s="223">
        <f t="shared" si="34"/>
        <v>8.0000000000000016E-2</v>
      </c>
      <c r="X420" s="224"/>
      <c r="Y420" s="225"/>
      <c r="Z420" s="203">
        <f t="shared" si="35"/>
        <v>0.27200000000000002</v>
      </c>
      <c r="AA420" s="204"/>
      <c r="AB420" s="205"/>
      <c r="AC420" s="51"/>
      <c r="AD420" s="52"/>
      <c r="AE420" s="53"/>
      <c r="AF420" s="51"/>
      <c r="AG420" s="52"/>
      <c r="AH420" s="54"/>
    </row>
    <row r="421" spans="1:34" ht="15.75" x14ac:dyDescent="0.25">
      <c r="A421" s="197"/>
      <c r="B421" s="198"/>
      <c r="C421" s="199"/>
      <c r="D421" s="220" t="s">
        <v>689</v>
      </c>
      <c r="E421" s="221"/>
      <c r="F421" s="221"/>
      <c r="G421" s="221"/>
      <c r="H421" s="221"/>
      <c r="I421" s="222"/>
      <c r="J421" s="63"/>
      <c r="K421" s="226">
        <v>0.15</v>
      </c>
      <c r="L421" s="227"/>
      <c r="M421" s="226"/>
      <c r="N421" s="227"/>
      <c r="O421" s="226">
        <v>0.3</v>
      </c>
      <c r="P421" s="227"/>
      <c r="Q421" s="226"/>
      <c r="R421" s="227"/>
      <c r="S421" s="226">
        <v>4.9000000000000004</v>
      </c>
      <c r="T421" s="227"/>
      <c r="U421" s="226"/>
      <c r="V421" s="227"/>
      <c r="W421" s="223">
        <f t="shared" si="34"/>
        <v>4.4999999999999998E-2</v>
      </c>
      <c r="X421" s="224"/>
      <c r="Y421" s="225"/>
      <c r="Z421" s="203">
        <f t="shared" si="35"/>
        <v>0.2205</v>
      </c>
      <c r="AA421" s="204"/>
      <c r="AB421" s="205"/>
      <c r="AC421" s="51"/>
      <c r="AD421" s="52"/>
      <c r="AE421" s="53"/>
      <c r="AF421" s="51"/>
      <c r="AG421" s="52"/>
      <c r="AH421" s="54"/>
    </row>
    <row r="422" spans="1:34" ht="15.75" x14ac:dyDescent="0.25">
      <c r="A422" s="197"/>
      <c r="B422" s="198"/>
      <c r="C422" s="199"/>
      <c r="D422" s="220" t="s">
        <v>690</v>
      </c>
      <c r="E422" s="221"/>
      <c r="F422" s="221"/>
      <c r="G422" s="221"/>
      <c r="H422" s="221"/>
      <c r="I422" s="222"/>
      <c r="J422" s="63"/>
      <c r="K422" s="226">
        <v>0.15</v>
      </c>
      <c r="L422" s="227"/>
      <c r="M422" s="226"/>
      <c r="N422" s="227"/>
      <c r="O422" s="226">
        <v>0.3</v>
      </c>
      <c r="P422" s="227"/>
      <c r="Q422" s="226"/>
      <c r="R422" s="227"/>
      <c r="S422" s="226">
        <v>4.9000000000000004</v>
      </c>
      <c r="T422" s="227"/>
      <c r="U422" s="226"/>
      <c r="V422" s="227"/>
      <c r="W422" s="223">
        <f t="shared" si="34"/>
        <v>4.4999999999999998E-2</v>
      </c>
      <c r="X422" s="224"/>
      <c r="Y422" s="225"/>
      <c r="Z422" s="203">
        <f t="shared" si="35"/>
        <v>0.2205</v>
      </c>
      <c r="AA422" s="204"/>
      <c r="AB422" s="205"/>
      <c r="AC422" s="51"/>
      <c r="AD422" s="52"/>
      <c r="AE422" s="53"/>
      <c r="AF422" s="51"/>
      <c r="AG422" s="52"/>
      <c r="AH422" s="54"/>
    </row>
    <row r="423" spans="1:34" ht="15.75" x14ac:dyDescent="0.25">
      <c r="A423" s="197"/>
      <c r="B423" s="198"/>
      <c r="C423" s="199"/>
      <c r="D423" s="220" t="s">
        <v>691</v>
      </c>
      <c r="E423" s="221"/>
      <c r="F423" s="221"/>
      <c r="G423" s="221"/>
      <c r="H423" s="221"/>
      <c r="I423" s="222"/>
      <c r="J423" s="63"/>
      <c r="K423" s="226">
        <v>0.15</v>
      </c>
      <c r="L423" s="227"/>
      <c r="M423" s="226"/>
      <c r="N423" s="227"/>
      <c r="O423" s="226">
        <v>0.3</v>
      </c>
      <c r="P423" s="227"/>
      <c r="Q423" s="226"/>
      <c r="R423" s="227"/>
      <c r="S423" s="226">
        <v>4.9000000000000004</v>
      </c>
      <c r="T423" s="227"/>
      <c r="U423" s="226"/>
      <c r="V423" s="227"/>
      <c r="W423" s="223">
        <f t="shared" si="34"/>
        <v>4.4999999999999998E-2</v>
      </c>
      <c r="X423" s="224"/>
      <c r="Y423" s="225"/>
      <c r="Z423" s="203">
        <f t="shared" si="35"/>
        <v>0.2205</v>
      </c>
      <c r="AA423" s="204"/>
      <c r="AB423" s="205"/>
      <c r="AC423" s="51"/>
      <c r="AD423" s="52"/>
      <c r="AE423" s="53"/>
      <c r="AF423" s="51"/>
      <c r="AG423" s="52"/>
      <c r="AH423" s="54"/>
    </row>
    <row r="424" spans="1:34" ht="15.75" x14ac:dyDescent="0.25">
      <c r="A424" s="197"/>
      <c r="B424" s="198"/>
      <c r="C424" s="199"/>
      <c r="D424" s="220" t="s">
        <v>692</v>
      </c>
      <c r="E424" s="221"/>
      <c r="F424" s="221"/>
      <c r="G424" s="221"/>
      <c r="H424" s="221"/>
      <c r="I424" s="222"/>
      <c r="J424" s="63"/>
      <c r="K424" s="226">
        <v>0.15</v>
      </c>
      <c r="L424" s="227"/>
      <c r="M424" s="226"/>
      <c r="N424" s="227"/>
      <c r="O424" s="226">
        <v>0.3</v>
      </c>
      <c r="P424" s="227"/>
      <c r="Q424" s="226"/>
      <c r="R424" s="227"/>
      <c r="S424" s="226">
        <v>4.9000000000000004</v>
      </c>
      <c r="T424" s="227"/>
      <c r="U424" s="226"/>
      <c r="V424" s="227"/>
      <c r="W424" s="223">
        <f t="shared" si="34"/>
        <v>4.4999999999999998E-2</v>
      </c>
      <c r="X424" s="224"/>
      <c r="Y424" s="225"/>
      <c r="Z424" s="203">
        <f t="shared" si="35"/>
        <v>0.2205</v>
      </c>
      <c r="AA424" s="204"/>
      <c r="AB424" s="205"/>
      <c r="AC424" s="51"/>
      <c r="AD424" s="52"/>
      <c r="AE424" s="53"/>
      <c r="AF424" s="51"/>
      <c r="AG424" s="52"/>
      <c r="AH424" s="54"/>
    </row>
    <row r="425" spans="1:34" ht="15.75" x14ac:dyDescent="0.25">
      <c r="A425" s="197"/>
      <c r="B425" s="198"/>
      <c r="C425" s="199"/>
      <c r="D425" s="220" t="s">
        <v>693</v>
      </c>
      <c r="E425" s="221"/>
      <c r="F425" s="221"/>
      <c r="G425" s="221"/>
      <c r="H425" s="221"/>
      <c r="I425" s="222"/>
      <c r="J425" s="63"/>
      <c r="K425" s="226">
        <v>0.15</v>
      </c>
      <c r="L425" s="227"/>
      <c r="M425" s="226"/>
      <c r="N425" s="227"/>
      <c r="O425" s="226">
        <v>0.3</v>
      </c>
      <c r="P425" s="227"/>
      <c r="Q425" s="226"/>
      <c r="R425" s="227"/>
      <c r="S425" s="226">
        <v>4.9000000000000004</v>
      </c>
      <c r="T425" s="227"/>
      <c r="U425" s="226"/>
      <c r="V425" s="227"/>
      <c r="W425" s="223">
        <f t="shared" si="34"/>
        <v>4.4999999999999998E-2</v>
      </c>
      <c r="X425" s="224"/>
      <c r="Y425" s="225"/>
      <c r="Z425" s="203">
        <f t="shared" si="35"/>
        <v>0.2205</v>
      </c>
      <c r="AA425" s="204"/>
      <c r="AB425" s="205"/>
      <c r="AC425" s="51"/>
      <c r="AD425" s="52"/>
      <c r="AE425" s="53"/>
      <c r="AF425" s="51"/>
      <c r="AG425" s="52"/>
      <c r="AH425" s="54"/>
    </row>
    <row r="426" spans="1:34" ht="15.75" x14ac:dyDescent="0.25">
      <c r="A426" s="197"/>
      <c r="B426" s="198"/>
      <c r="C426" s="199"/>
      <c r="D426" s="220" t="s">
        <v>694</v>
      </c>
      <c r="E426" s="221"/>
      <c r="F426" s="221"/>
      <c r="G426" s="221"/>
      <c r="H426" s="221"/>
      <c r="I426" s="222"/>
      <c r="J426" s="63"/>
      <c r="K426" s="226">
        <v>0.15</v>
      </c>
      <c r="L426" s="227"/>
      <c r="M426" s="226"/>
      <c r="N426" s="227"/>
      <c r="O426" s="226">
        <v>0.3</v>
      </c>
      <c r="P426" s="227"/>
      <c r="Q426" s="226"/>
      <c r="R426" s="227"/>
      <c r="S426" s="226">
        <v>4.9000000000000004</v>
      </c>
      <c r="T426" s="227"/>
      <c r="U426" s="226"/>
      <c r="V426" s="227"/>
      <c r="W426" s="223">
        <f t="shared" si="34"/>
        <v>4.4999999999999998E-2</v>
      </c>
      <c r="X426" s="224"/>
      <c r="Y426" s="225"/>
      <c r="Z426" s="203">
        <f t="shared" si="35"/>
        <v>0.2205</v>
      </c>
      <c r="AA426" s="204"/>
      <c r="AB426" s="205"/>
      <c r="AC426" s="51"/>
      <c r="AD426" s="52"/>
      <c r="AE426" s="53"/>
      <c r="AF426" s="51"/>
      <c r="AG426" s="52"/>
      <c r="AH426" s="54"/>
    </row>
    <row r="427" spans="1:34" ht="15.75" x14ac:dyDescent="0.25">
      <c r="A427" s="197"/>
      <c r="B427" s="198"/>
      <c r="C427" s="199"/>
      <c r="D427" s="220" t="s">
        <v>695</v>
      </c>
      <c r="E427" s="221"/>
      <c r="F427" s="221"/>
      <c r="G427" s="221"/>
      <c r="H427" s="221"/>
      <c r="I427" s="222"/>
      <c r="J427" s="63"/>
      <c r="K427" s="226">
        <v>0.15</v>
      </c>
      <c r="L427" s="227"/>
      <c r="M427" s="226"/>
      <c r="N427" s="227"/>
      <c r="O427" s="226">
        <v>0.3</v>
      </c>
      <c r="P427" s="227"/>
      <c r="Q427" s="226"/>
      <c r="R427" s="227"/>
      <c r="S427" s="226">
        <v>4.9000000000000004</v>
      </c>
      <c r="T427" s="227"/>
      <c r="U427" s="202"/>
      <c r="V427" s="199"/>
      <c r="W427" s="223">
        <f t="shared" si="34"/>
        <v>4.4999999999999998E-2</v>
      </c>
      <c r="X427" s="224"/>
      <c r="Y427" s="225"/>
      <c r="Z427" s="203">
        <f t="shared" si="35"/>
        <v>0.2205</v>
      </c>
      <c r="AA427" s="204"/>
      <c r="AB427" s="205"/>
      <c r="AC427" s="51"/>
      <c r="AD427" s="52"/>
      <c r="AE427" s="53"/>
      <c r="AF427" s="51"/>
      <c r="AG427" s="52"/>
      <c r="AH427" s="54"/>
    </row>
    <row r="428" spans="1:34" ht="15.75" x14ac:dyDescent="0.25">
      <c r="A428" s="197"/>
      <c r="B428" s="198"/>
      <c r="C428" s="199"/>
      <c r="D428" s="220" t="s">
        <v>696</v>
      </c>
      <c r="E428" s="221"/>
      <c r="F428" s="221"/>
      <c r="G428" s="221"/>
      <c r="H428" s="221"/>
      <c r="I428" s="222"/>
      <c r="J428" s="63"/>
      <c r="K428" s="226">
        <v>0.15</v>
      </c>
      <c r="L428" s="227"/>
      <c r="M428" s="226"/>
      <c r="N428" s="227"/>
      <c r="O428" s="226">
        <v>0.3</v>
      </c>
      <c r="P428" s="227"/>
      <c r="Q428" s="226"/>
      <c r="R428" s="227"/>
      <c r="S428" s="226">
        <v>4.9000000000000004</v>
      </c>
      <c r="T428" s="227"/>
      <c r="U428" s="226"/>
      <c r="V428" s="227"/>
      <c r="W428" s="223">
        <f t="shared" si="34"/>
        <v>4.4999999999999998E-2</v>
      </c>
      <c r="X428" s="224"/>
      <c r="Y428" s="225"/>
      <c r="Z428" s="203">
        <f t="shared" si="35"/>
        <v>0.2205</v>
      </c>
      <c r="AA428" s="204"/>
      <c r="AB428" s="205"/>
      <c r="AC428" s="51"/>
      <c r="AD428" s="52"/>
      <c r="AE428" s="53"/>
      <c r="AF428" s="51"/>
      <c r="AG428" s="52"/>
      <c r="AH428" s="54"/>
    </row>
    <row r="429" spans="1:34" ht="15.75" x14ac:dyDescent="0.25">
      <c r="A429" s="197"/>
      <c r="B429" s="198"/>
      <c r="C429" s="199"/>
      <c r="D429" s="220" t="s">
        <v>697</v>
      </c>
      <c r="E429" s="221"/>
      <c r="F429" s="221"/>
      <c r="G429" s="221"/>
      <c r="H429" s="221"/>
      <c r="I429" s="222"/>
      <c r="J429" s="63"/>
      <c r="K429" s="226">
        <v>0.15</v>
      </c>
      <c r="L429" s="227"/>
      <c r="M429" s="226"/>
      <c r="N429" s="227"/>
      <c r="O429" s="226">
        <v>0.3</v>
      </c>
      <c r="P429" s="227"/>
      <c r="Q429" s="226"/>
      <c r="R429" s="227"/>
      <c r="S429" s="226">
        <v>4.9000000000000004</v>
      </c>
      <c r="T429" s="227"/>
      <c r="U429" s="226"/>
      <c r="V429" s="227"/>
      <c r="W429" s="223">
        <f t="shared" si="34"/>
        <v>4.4999999999999998E-2</v>
      </c>
      <c r="X429" s="224"/>
      <c r="Y429" s="225"/>
      <c r="Z429" s="203">
        <f t="shared" si="35"/>
        <v>0.2205</v>
      </c>
      <c r="AA429" s="204"/>
      <c r="AB429" s="205"/>
      <c r="AC429" s="51"/>
      <c r="AD429" s="52"/>
      <c r="AE429" s="53"/>
      <c r="AF429" s="51"/>
      <c r="AG429" s="52"/>
      <c r="AH429" s="54"/>
    </row>
    <row r="430" spans="1:34" ht="15.75" x14ac:dyDescent="0.25">
      <c r="A430" s="197"/>
      <c r="B430" s="198"/>
      <c r="C430" s="199"/>
      <c r="D430" s="220" t="s">
        <v>698</v>
      </c>
      <c r="E430" s="221"/>
      <c r="F430" s="221"/>
      <c r="G430" s="221"/>
      <c r="H430" s="221"/>
      <c r="I430" s="222"/>
      <c r="J430" s="63"/>
      <c r="K430" s="226">
        <v>0.15</v>
      </c>
      <c r="L430" s="227"/>
      <c r="M430" s="226"/>
      <c r="N430" s="227"/>
      <c r="O430" s="226">
        <v>0.3</v>
      </c>
      <c r="P430" s="227"/>
      <c r="Q430" s="226"/>
      <c r="R430" s="227"/>
      <c r="S430" s="226">
        <v>4.9000000000000004</v>
      </c>
      <c r="T430" s="227"/>
      <c r="U430" s="226"/>
      <c r="V430" s="227"/>
      <c r="W430" s="223">
        <f t="shared" si="34"/>
        <v>4.4999999999999998E-2</v>
      </c>
      <c r="X430" s="224"/>
      <c r="Y430" s="225"/>
      <c r="Z430" s="203">
        <f t="shared" si="35"/>
        <v>0.2205</v>
      </c>
      <c r="AA430" s="204"/>
      <c r="AB430" s="205"/>
      <c r="AC430" s="51"/>
      <c r="AD430" s="52"/>
      <c r="AE430" s="53"/>
      <c r="AF430" s="51"/>
      <c r="AG430" s="52"/>
      <c r="AH430" s="54"/>
    </row>
    <row r="431" spans="1:34" ht="15.75" x14ac:dyDescent="0.25">
      <c r="A431" s="197"/>
      <c r="B431" s="198"/>
      <c r="C431" s="199"/>
      <c r="D431" s="220" t="s">
        <v>699</v>
      </c>
      <c r="E431" s="221"/>
      <c r="F431" s="221"/>
      <c r="G431" s="221"/>
      <c r="H431" s="221"/>
      <c r="I431" s="222"/>
      <c r="J431" s="63"/>
      <c r="K431" s="226">
        <v>0.15</v>
      </c>
      <c r="L431" s="227"/>
      <c r="M431" s="226"/>
      <c r="N431" s="227"/>
      <c r="O431" s="226">
        <v>0.3</v>
      </c>
      <c r="P431" s="227"/>
      <c r="Q431" s="226"/>
      <c r="R431" s="227"/>
      <c r="S431" s="226">
        <v>4.9000000000000004</v>
      </c>
      <c r="T431" s="227"/>
      <c r="U431" s="226"/>
      <c r="V431" s="227"/>
      <c r="W431" s="223">
        <f t="shared" si="34"/>
        <v>4.4999999999999998E-2</v>
      </c>
      <c r="X431" s="224"/>
      <c r="Y431" s="225"/>
      <c r="Z431" s="203">
        <f t="shared" si="35"/>
        <v>0.2205</v>
      </c>
      <c r="AA431" s="204"/>
      <c r="AB431" s="205"/>
      <c r="AC431" s="51"/>
      <c r="AD431" s="52"/>
      <c r="AE431" s="53"/>
      <c r="AF431" s="51"/>
      <c r="AG431" s="52"/>
      <c r="AH431" s="54"/>
    </row>
    <row r="432" spans="1:34" ht="15.75" x14ac:dyDescent="0.25">
      <c r="A432" s="197"/>
      <c r="B432" s="198"/>
      <c r="C432" s="199"/>
      <c r="D432" s="220" t="s">
        <v>700</v>
      </c>
      <c r="E432" s="221"/>
      <c r="F432" s="221"/>
      <c r="G432" s="221"/>
      <c r="H432" s="221"/>
      <c r="I432" s="222"/>
      <c r="J432" s="63"/>
      <c r="K432" s="226">
        <v>0.15</v>
      </c>
      <c r="L432" s="227"/>
      <c r="M432" s="226"/>
      <c r="N432" s="227"/>
      <c r="O432" s="226">
        <v>0.3</v>
      </c>
      <c r="P432" s="227"/>
      <c r="Q432" s="226"/>
      <c r="R432" s="227"/>
      <c r="S432" s="226">
        <v>4.9000000000000004</v>
      </c>
      <c r="T432" s="227"/>
      <c r="U432" s="226"/>
      <c r="V432" s="227"/>
      <c r="W432" s="223">
        <f t="shared" si="34"/>
        <v>4.4999999999999998E-2</v>
      </c>
      <c r="X432" s="224"/>
      <c r="Y432" s="225"/>
      <c r="Z432" s="203">
        <f t="shared" si="35"/>
        <v>0.2205</v>
      </c>
      <c r="AA432" s="204"/>
      <c r="AB432" s="205"/>
      <c r="AC432" s="51"/>
      <c r="AD432" s="52"/>
      <c r="AE432" s="53"/>
      <c r="AF432" s="51"/>
      <c r="AG432" s="52"/>
      <c r="AH432" s="54"/>
    </row>
    <row r="433" spans="1:34" ht="15.75" x14ac:dyDescent="0.25">
      <c r="A433" s="197"/>
      <c r="B433" s="198"/>
      <c r="C433" s="199"/>
      <c r="D433" s="220" t="s">
        <v>701</v>
      </c>
      <c r="E433" s="221"/>
      <c r="F433" s="221"/>
      <c r="G433" s="221"/>
      <c r="H433" s="221"/>
      <c r="I433" s="222"/>
      <c r="J433" s="63"/>
      <c r="K433" s="226">
        <v>0.15</v>
      </c>
      <c r="L433" s="227"/>
      <c r="M433" s="226"/>
      <c r="N433" s="227"/>
      <c r="O433" s="226">
        <v>0.3</v>
      </c>
      <c r="P433" s="227"/>
      <c r="Q433" s="226"/>
      <c r="R433" s="227"/>
      <c r="S433" s="226">
        <v>4.9000000000000004</v>
      </c>
      <c r="T433" s="227"/>
      <c r="U433" s="226"/>
      <c r="V433" s="227"/>
      <c r="W433" s="223">
        <f t="shared" si="34"/>
        <v>4.4999999999999998E-2</v>
      </c>
      <c r="X433" s="224"/>
      <c r="Y433" s="225"/>
      <c r="Z433" s="203">
        <f t="shared" si="35"/>
        <v>0.2205</v>
      </c>
      <c r="AA433" s="204"/>
      <c r="AB433" s="205"/>
      <c r="AC433" s="51"/>
      <c r="AD433" s="52"/>
      <c r="AE433" s="53"/>
      <c r="AF433" s="51"/>
      <c r="AG433" s="52"/>
      <c r="AH433" s="54"/>
    </row>
    <row r="434" spans="1:34" ht="15.75" x14ac:dyDescent="0.25">
      <c r="A434" s="197"/>
      <c r="B434" s="198"/>
      <c r="C434" s="199"/>
      <c r="D434" s="220" t="s">
        <v>702</v>
      </c>
      <c r="E434" s="221"/>
      <c r="F434" s="221"/>
      <c r="G434" s="221"/>
      <c r="H434" s="221"/>
      <c r="I434" s="222"/>
      <c r="J434" s="63"/>
      <c r="K434" s="226">
        <v>0.15</v>
      </c>
      <c r="L434" s="227"/>
      <c r="M434" s="226"/>
      <c r="N434" s="227"/>
      <c r="O434" s="226">
        <v>0.3</v>
      </c>
      <c r="P434" s="227"/>
      <c r="Q434" s="226"/>
      <c r="R434" s="227"/>
      <c r="S434" s="226">
        <v>4.9000000000000004</v>
      </c>
      <c r="T434" s="227"/>
      <c r="U434" s="226"/>
      <c r="V434" s="227"/>
      <c r="W434" s="223">
        <f t="shared" si="34"/>
        <v>4.4999999999999998E-2</v>
      </c>
      <c r="X434" s="224"/>
      <c r="Y434" s="225"/>
      <c r="Z434" s="203">
        <f t="shared" si="35"/>
        <v>0.2205</v>
      </c>
      <c r="AA434" s="204"/>
      <c r="AB434" s="205"/>
      <c r="AC434" s="51"/>
      <c r="AD434" s="52"/>
      <c r="AE434" s="53"/>
      <c r="AF434" s="51"/>
      <c r="AG434" s="52"/>
      <c r="AH434" s="54"/>
    </row>
    <row r="435" spans="1:34" ht="15.75" x14ac:dyDescent="0.25">
      <c r="A435" s="197"/>
      <c r="B435" s="198"/>
      <c r="C435" s="199"/>
      <c r="D435" s="220" t="s">
        <v>703</v>
      </c>
      <c r="E435" s="221"/>
      <c r="F435" s="221"/>
      <c r="G435" s="221"/>
      <c r="H435" s="221"/>
      <c r="I435" s="222"/>
      <c r="J435" s="63"/>
      <c r="K435" s="226">
        <v>0.15</v>
      </c>
      <c r="L435" s="227"/>
      <c r="M435" s="226"/>
      <c r="N435" s="227"/>
      <c r="O435" s="226">
        <v>0.3</v>
      </c>
      <c r="P435" s="227"/>
      <c r="Q435" s="226"/>
      <c r="R435" s="227"/>
      <c r="S435" s="226">
        <v>4.9000000000000004</v>
      </c>
      <c r="T435" s="227"/>
      <c r="U435" s="202"/>
      <c r="V435" s="199"/>
      <c r="W435" s="223">
        <f t="shared" si="34"/>
        <v>4.4999999999999998E-2</v>
      </c>
      <c r="X435" s="224"/>
      <c r="Y435" s="225"/>
      <c r="Z435" s="203">
        <f t="shared" si="35"/>
        <v>0.2205</v>
      </c>
      <c r="AA435" s="204"/>
      <c r="AB435" s="205"/>
      <c r="AC435" s="51"/>
      <c r="AD435" s="52"/>
      <c r="AE435" s="53"/>
      <c r="AF435" s="51"/>
      <c r="AG435" s="52"/>
      <c r="AH435" s="54"/>
    </row>
    <row r="436" spans="1:34" ht="15.75" x14ac:dyDescent="0.25">
      <c r="A436" s="197"/>
      <c r="B436" s="198"/>
      <c r="C436" s="199"/>
      <c r="D436" s="220" t="s">
        <v>704</v>
      </c>
      <c r="E436" s="221"/>
      <c r="F436" s="221"/>
      <c r="G436" s="221"/>
      <c r="H436" s="221"/>
      <c r="I436" s="222"/>
      <c r="J436" s="63"/>
      <c r="K436" s="226">
        <v>0.15</v>
      </c>
      <c r="L436" s="227"/>
      <c r="M436" s="226"/>
      <c r="N436" s="227"/>
      <c r="O436" s="226">
        <v>0.3</v>
      </c>
      <c r="P436" s="227"/>
      <c r="Q436" s="226"/>
      <c r="R436" s="227"/>
      <c r="S436" s="226">
        <v>4.9000000000000004</v>
      </c>
      <c r="T436" s="227"/>
      <c r="U436" s="226"/>
      <c r="V436" s="227"/>
      <c r="W436" s="223">
        <f t="shared" si="34"/>
        <v>4.4999999999999998E-2</v>
      </c>
      <c r="X436" s="224"/>
      <c r="Y436" s="225"/>
      <c r="Z436" s="203">
        <f t="shared" si="35"/>
        <v>0.2205</v>
      </c>
      <c r="AA436" s="204"/>
      <c r="AB436" s="205"/>
      <c r="AC436" s="51"/>
      <c r="AD436" s="52"/>
      <c r="AE436" s="53"/>
      <c r="AF436" s="51"/>
      <c r="AG436" s="52"/>
      <c r="AH436" s="54"/>
    </row>
    <row r="437" spans="1:34" ht="15.75" x14ac:dyDescent="0.25">
      <c r="A437" s="197"/>
      <c r="B437" s="198"/>
      <c r="C437" s="199"/>
      <c r="D437" s="220" t="s">
        <v>705</v>
      </c>
      <c r="E437" s="221"/>
      <c r="F437" s="221"/>
      <c r="G437" s="221"/>
      <c r="H437" s="221"/>
      <c r="I437" s="222"/>
      <c r="J437" s="63"/>
      <c r="K437" s="226">
        <v>0.15</v>
      </c>
      <c r="L437" s="227"/>
      <c r="M437" s="226"/>
      <c r="N437" s="227"/>
      <c r="O437" s="226">
        <v>0.3</v>
      </c>
      <c r="P437" s="227"/>
      <c r="Q437" s="226"/>
      <c r="R437" s="227"/>
      <c r="S437" s="226">
        <v>4.9000000000000004</v>
      </c>
      <c r="T437" s="227"/>
      <c r="U437" s="226"/>
      <c r="V437" s="227"/>
      <c r="W437" s="223">
        <f t="shared" si="34"/>
        <v>4.4999999999999998E-2</v>
      </c>
      <c r="X437" s="224"/>
      <c r="Y437" s="225"/>
      <c r="Z437" s="203">
        <f t="shared" si="35"/>
        <v>0.2205</v>
      </c>
      <c r="AA437" s="204"/>
      <c r="AB437" s="205"/>
      <c r="AC437" s="51"/>
      <c r="AD437" s="52"/>
      <c r="AE437" s="53"/>
      <c r="AF437" s="51"/>
      <c r="AG437" s="52"/>
      <c r="AH437" s="54"/>
    </row>
    <row r="438" spans="1:34" ht="15.75" x14ac:dyDescent="0.25">
      <c r="A438" s="197"/>
      <c r="B438" s="198"/>
      <c r="C438" s="199"/>
      <c r="D438" s="220" t="s">
        <v>706</v>
      </c>
      <c r="E438" s="221"/>
      <c r="F438" s="221"/>
      <c r="G438" s="221"/>
      <c r="H438" s="221"/>
      <c r="I438" s="222"/>
      <c r="J438" s="63"/>
      <c r="K438" s="226">
        <v>0.15</v>
      </c>
      <c r="L438" s="227"/>
      <c r="M438" s="226"/>
      <c r="N438" s="227"/>
      <c r="O438" s="226">
        <v>0.3</v>
      </c>
      <c r="P438" s="227"/>
      <c r="Q438" s="226"/>
      <c r="R438" s="227"/>
      <c r="S438" s="226">
        <v>3.4</v>
      </c>
      <c r="T438" s="227"/>
      <c r="U438" s="226"/>
      <c r="V438" s="227"/>
      <c r="W438" s="223">
        <f t="shared" si="34"/>
        <v>4.4999999999999998E-2</v>
      </c>
      <c r="X438" s="224"/>
      <c r="Y438" s="225"/>
      <c r="Z438" s="203">
        <f t="shared" si="35"/>
        <v>0.153</v>
      </c>
      <c r="AA438" s="204"/>
      <c r="AB438" s="205"/>
      <c r="AC438" s="51"/>
      <c r="AD438" s="52"/>
      <c r="AE438" s="53"/>
      <c r="AF438" s="51"/>
      <c r="AG438" s="52"/>
      <c r="AH438" s="54"/>
    </row>
    <row r="439" spans="1:34" ht="15.75" x14ac:dyDescent="0.25">
      <c r="A439" s="197"/>
      <c r="B439" s="198"/>
      <c r="C439" s="199"/>
      <c r="D439" s="220" t="s">
        <v>707</v>
      </c>
      <c r="E439" s="221"/>
      <c r="F439" s="221"/>
      <c r="G439" s="221"/>
      <c r="H439" s="221"/>
      <c r="I439" s="222"/>
      <c r="J439" s="63"/>
      <c r="K439" s="226">
        <v>0.15</v>
      </c>
      <c r="L439" s="227"/>
      <c r="M439" s="226"/>
      <c r="N439" s="227"/>
      <c r="O439" s="226">
        <v>0.3</v>
      </c>
      <c r="P439" s="227"/>
      <c r="Q439" s="226"/>
      <c r="R439" s="227"/>
      <c r="S439" s="226">
        <v>3.4</v>
      </c>
      <c r="T439" s="227"/>
      <c r="U439" s="226"/>
      <c r="V439" s="227"/>
      <c r="W439" s="223">
        <f t="shared" si="34"/>
        <v>4.4999999999999998E-2</v>
      </c>
      <c r="X439" s="224"/>
      <c r="Y439" s="225"/>
      <c r="Z439" s="203">
        <f t="shared" si="35"/>
        <v>0.153</v>
      </c>
      <c r="AA439" s="204"/>
      <c r="AB439" s="205"/>
      <c r="AC439" s="51"/>
      <c r="AD439" s="52"/>
      <c r="AE439" s="53"/>
      <c r="AF439" s="51"/>
      <c r="AG439" s="52"/>
      <c r="AH439" s="54"/>
    </row>
    <row r="440" spans="1:34" ht="15.75" x14ac:dyDescent="0.25">
      <c r="A440" s="197"/>
      <c r="B440" s="198"/>
      <c r="C440" s="199"/>
      <c r="D440" s="220" t="s">
        <v>708</v>
      </c>
      <c r="E440" s="221"/>
      <c r="F440" s="221"/>
      <c r="G440" s="221"/>
      <c r="H440" s="221"/>
      <c r="I440" s="222"/>
      <c r="J440" s="63"/>
      <c r="K440" s="226">
        <v>0.15</v>
      </c>
      <c r="L440" s="227"/>
      <c r="M440" s="226"/>
      <c r="N440" s="227"/>
      <c r="O440" s="226">
        <v>0.3</v>
      </c>
      <c r="P440" s="227"/>
      <c r="Q440" s="226"/>
      <c r="R440" s="227"/>
      <c r="S440" s="226">
        <v>3.4</v>
      </c>
      <c r="T440" s="227"/>
      <c r="U440" s="226"/>
      <c r="V440" s="227"/>
      <c r="W440" s="223">
        <f t="shared" si="34"/>
        <v>4.4999999999999998E-2</v>
      </c>
      <c r="X440" s="224"/>
      <c r="Y440" s="225"/>
      <c r="Z440" s="203">
        <f t="shared" si="35"/>
        <v>0.153</v>
      </c>
      <c r="AA440" s="204"/>
      <c r="AB440" s="205"/>
      <c r="AC440" s="51"/>
      <c r="AD440" s="52"/>
      <c r="AE440" s="53"/>
      <c r="AF440" s="51"/>
      <c r="AG440" s="52"/>
      <c r="AH440" s="54"/>
    </row>
    <row r="441" spans="1:34" ht="15.75" x14ac:dyDescent="0.25">
      <c r="A441" s="197"/>
      <c r="B441" s="198"/>
      <c r="C441" s="199"/>
      <c r="D441" s="220" t="s">
        <v>709</v>
      </c>
      <c r="E441" s="221"/>
      <c r="F441" s="221"/>
      <c r="G441" s="221"/>
      <c r="H441" s="221"/>
      <c r="I441" s="222"/>
      <c r="J441" s="63"/>
      <c r="K441" s="226">
        <v>0.15</v>
      </c>
      <c r="L441" s="227"/>
      <c r="M441" s="226"/>
      <c r="N441" s="227"/>
      <c r="O441" s="226">
        <v>0.3</v>
      </c>
      <c r="P441" s="227"/>
      <c r="Q441" s="226"/>
      <c r="R441" s="227"/>
      <c r="S441" s="226">
        <v>3.4</v>
      </c>
      <c r="T441" s="227"/>
      <c r="U441" s="226"/>
      <c r="V441" s="227"/>
      <c r="W441" s="223">
        <f t="shared" si="34"/>
        <v>4.4999999999999998E-2</v>
      </c>
      <c r="X441" s="224"/>
      <c r="Y441" s="225"/>
      <c r="Z441" s="203">
        <f t="shared" si="35"/>
        <v>0.153</v>
      </c>
      <c r="AA441" s="204"/>
      <c r="AB441" s="205"/>
      <c r="AC441" s="51"/>
      <c r="AD441" s="52"/>
      <c r="AE441" s="53"/>
      <c r="AF441" s="51"/>
      <c r="AG441" s="52"/>
      <c r="AH441" s="54"/>
    </row>
    <row r="442" spans="1:34" ht="15.75" x14ac:dyDescent="0.25">
      <c r="A442" s="197"/>
      <c r="B442" s="198"/>
      <c r="C442" s="199"/>
      <c r="D442" s="220" t="s">
        <v>710</v>
      </c>
      <c r="E442" s="221"/>
      <c r="F442" s="221"/>
      <c r="G442" s="221"/>
      <c r="H442" s="221"/>
      <c r="I442" s="222"/>
      <c r="J442" s="63"/>
      <c r="K442" s="226">
        <v>0.15</v>
      </c>
      <c r="L442" s="227"/>
      <c r="M442" s="226"/>
      <c r="N442" s="227"/>
      <c r="O442" s="226">
        <v>0.3</v>
      </c>
      <c r="P442" s="227"/>
      <c r="Q442" s="226"/>
      <c r="R442" s="227"/>
      <c r="S442" s="226">
        <v>3.4</v>
      </c>
      <c r="T442" s="227"/>
      <c r="U442" s="226"/>
      <c r="V442" s="227"/>
      <c r="W442" s="223">
        <f t="shared" si="34"/>
        <v>4.4999999999999998E-2</v>
      </c>
      <c r="X442" s="224"/>
      <c r="Y442" s="225"/>
      <c r="Z442" s="203">
        <f t="shared" si="35"/>
        <v>0.153</v>
      </c>
      <c r="AA442" s="204"/>
      <c r="AB442" s="205"/>
      <c r="AC442" s="51"/>
      <c r="AD442" s="52"/>
      <c r="AE442" s="53"/>
      <c r="AF442" s="51"/>
      <c r="AG442" s="52"/>
      <c r="AH442" s="54"/>
    </row>
    <row r="443" spans="1:34" ht="15.75" x14ac:dyDescent="0.25">
      <c r="A443" s="197"/>
      <c r="B443" s="198"/>
      <c r="C443" s="199"/>
      <c r="D443" s="220" t="s">
        <v>711</v>
      </c>
      <c r="E443" s="221"/>
      <c r="F443" s="221"/>
      <c r="G443" s="221"/>
      <c r="H443" s="221"/>
      <c r="I443" s="222"/>
      <c r="J443" s="63"/>
      <c r="K443" s="226">
        <v>0.25</v>
      </c>
      <c r="L443" s="227"/>
      <c r="M443" s="226"/>
      <c r="N443" s="227"/>
      <c r="O443" s="226">
        <v>0.3</v>
      </c>
      <c r="P443" s="227"/>
      <c r="Q443" s="202"/>
      <c r="R443" s="199"/>
      <c r="S443" s="202">
        <v>3.4</v>
      </c>
      <c r="T443" s="199"/>
      <c r="U443" s="202"/>
      <c r="V443" s="199"/>
      <c r="W443" s="223">
        <f t="shared" si="34"/>
        <v>7.4999999999999997E-2</v>
      </c>
      <c r="X443" s="224"/>
      <c r="Y443" s="225"/>
      <c r="Z443" s="203">
        <f t="shared" si="35"/>
        <v>0.255</v>
      </c>
      <c r="AA443" s="204"/>
      <c r="AB443" s="205"/>
      <c r="AC443" s="51"/>
      <c r="AD443" s="52"/>
      <c r="AE443" s="53"/>
      <c r="AF443" s="51"/>
      <c r="AG443" s="52"/>
      <c r="AH443" s="54"/>
    </row>
    <row r="444" spans="1:34" ht="15.75" x14ac:dyDescent="0.25">
      <c r="A444" s="197"/>
      <c r="B444" s="198"/>
      <c r="C444" s="199"/>
      <c r="D444" s="220" t="s">
        <v>712</v>
      </c>
      <c r="E444" s="221"/>
      <c r="F444" s="221"/>
      <c r="G444" s="221"/>
      <c r="H444" s="221"/>
      <c r="I444" s="222"/>
      <c r="J444" s="63"/>
      <c r="K444" s="226">
        <v>0.25</v>
      </c>
      <c r="L444" s="227"/>
      <c r="M444" s="226"/>
      <c r="N444" s="227"/>
      <c r="O444" s="226">
        <v>0.3</v>
      </c>
      <c r="P444" s="227"/>
      <c r="Q444" s="226"/>
      <c r="R444" s="227"/>
      <c r="S444" s="226">
        <v>4.9000000000000004</v>
      </c>
      <c r="T444" s="227"/>
      <c r="U444" s="226"/>
      <c r="V444" s="227"/>
      <c r="W444" s="223">
        <f t="shared" si="34"/>
        <v>7.4999999999999997E-2</v>
      </c>
      <c r="X444" s="224"/>
      <c r="Y444" s="225"/>
      <c r="Z444" s="203">
        <f t="shared" si="35"/>
        <v>0.36749999999999999</v>
      </c>
      <c r="AA444" s="204"/>
      <c r="AB444" s="205"/>
      <c r="AC444" s="51"/>
      <c r="AD444" s="52"/>
      <c r="AE444" s="53"/>
      <c r="AF444" s="51"/>
      <c r="AG444" s="52"/>
      <c r="AH444" s="54"/>
    </row>
    <row r="445" spans="1:34" ht="15.75" x14ac:dyDescent="0.25">
      <c r="A445" s="197"/>
      <c r="B445" s="198"/>
      <c r="C445" s="199"/>
      <c r="D445" s="220" t="s">
        <v>713</v>
      </c>
      <c r="E445" s="221"/>
      <c r="F445" s="221"/>
      <c r="G445" s="221"/>
      <c r="H445" s="221"/>
      <c r="I445" s="222"/>
      <c r="J445" s="63"/>
      <c r="K445" s="226">
        <v>0.15</v>
      </c>
      <c r="L445" s="227"/>
      <c r="M445" s="226"/>
      <c r="N445" s="227"/>
      <c r="O445" s="226">
        <v>0.3</v>
      </c>
      <c r="P445" s="227"/>
      <c r="Q445" s="226"/>
      <c r="R445" s="227"/>
      <c r="S445" s="226">
        <v>4.9000000000000004</v>
      </c>
      <c r="T445" s="227"/>
      <c r="U445" s="226"/>
      <c r="V445" s="227"/>
      <c r="W445" s="223">
        <f t="shared" si="34"/>
        <v>4.4999999999999998E-2</v>
      </c>
      <c r="X445" s="224"/>
      <c r="Y445" s="225"/>
      <c r="Z445" s="203">
        <f t="shared" si="35"/>
        <v>0.2205</v>
      </c>
      <c r="AA445" s="204"/>
      <c r="AB445" s="205"/>
      <c r="AC445" s="51"/>
      <c r="AD445" s="52"/>
      <c r="AE445" s="53"/>
      <c r="AF445" s="51"/>
      <c r="AG445" s="52"/>
      <c r="AH445" s="54"/>
    </row>
    <row r="446" spans="1:34" ht="15.75" x14ac:dyDescent="0.25">
      <c r="A446" s="197"/>
      <c r="B446" s="198"/>
      <c r="C446" s="199"/>
      <c r="D446" s="220" t="s">
        <v>714</v>
      </c>
      <c r="E446" s="221"/>
      <c r="F446" s="221"/>
      <c r="G446" s="221"/>
      <c r="H446" s="221"/>
      <c r="I446" s="222"/>
      <c r="J446" s="63"/>
      <c r="K446" s="226">
        <v>0.15</v>
      </c>
      <c r="L446" s="227"/>
      <c r="M446" s="226"/>
      <c r="N446" s="227"/>
      <c r="O446" s="226">
        <v>0.3</v>
      </c>
      <c r="P446" s="227"/>
      <c r="Q446" s="226"/>
      <c r="R446" s="227"/>
      <c r="S446" s="226">
        <v>4.9000000000000004</v>
      </c>
      <c r="T446" s="227"/>
      <c r="U446" s="226"/>
      <c r="V446" s="227"/>
      <c r="W446" s="223">
        <f t="shared" si="34"/>
        <v>4.4999999999999998E-2</v>
      </c>
      <c r="X446" s="224"/>
      <c r="Y446" s="225"/>
      <c r="Z446" s="203">
        <f t="shared" si="35"/>
        <v>0.2205</v>
      </c>
      <c r="AA446" s="204"/>
      <c r="AB446" s="205"/>
      <c r="AC446" s="51"/>
      <c r="AD446" s="52"/>
      <c r="AE446" s="53"/>
      <c r="AF446" s="51"/>
      <c r="AG446" s="52"/>
      <c r="AH446" s="54"/>
    </row>
    <row r="447" spans="1:34" ht="15.75" x14ac:dyDescent="0.25">
      <c r="A447" s="197"/>
      <c r="B447" s="198"/>
      <c r="C447" s="199"/>
      <c r="D447" s="220" t="s">
        <v>715</v>
      </c>
      <c r="E447" s="221"/>
      <c r="F447" s="221"/>
      <c r="G447" s="221"/>
      <c r="H447" s="221"/>
      <c r="I447" s="222"/>
      <c r="J447" s="63"/>
      <c r="K447" s="226">
        <v>0.15</v>
      </c>
      <c r="L447" s="227"/>
      <c r="M447" s="226"/>
      <c r="N447" s="227"/>
      <c r="O447" s="226">
        <v>0.3</v>
      </c>
      <c r="P447" s="227"/>
      <c r="Q447" s="226"/>
      <c r="R447" s="227"/>
      <c r="S447" s="226">
        <v>4.9000000000000004</v>
      </c>
      <c r="T447" s="227"/>
      <c r="U447" s="226"/>
      <c r="V447" s="227"/>
      <c r="W447" s="223">
        <f t="shared" si="34"/>
        <v>4.4999999999999998E-2</v>
      </c>
      <c r="X447" s="224"/>
      <c r="Y447" s="225"/>
      <c r="Z447" s="203">
        <f t="shared" si="35"/>
        <v>0.2205</v>
      </c>
      <c r="AA447" s="204"/>
      <c r="AB447" s="205"/>
      <c r="AC447" s="51"/>
      <c r="AD447" s="52"/>
      <c r="AE447" s="53"/>
      <c r="AF447" s="51"/>
      <c r="AG447" s="52"/>
      <c r="AH447" s="54"/>
    </row>
    <row r="448" spans="1:34" ht="15.75" x14ac:dyDescent="0.25">
      <c r="A448" s="197"/>
      <c r="B448" s="198"/>
      <c r="C448" s="199"/>
      <c r="D448" s="220" t="s">
        <v>716</v>
      </c>
      <c r="E448" s="221"/>
      <c r="F448" s="221"/>
      <c r="G448" s="221"/>
      <c r="H448" s="221"/>
      <c r="I448" s="222"/>
      <c r="J448" s="63"/>
      <c r="K448" s="226">
        <v>0.15</v>
      </c>
      <c r="L448" s="227"/>
      <c r="M448" s="226"/>
      <c r="N448" s="227"/>
      <c r="O448" s="226">
        <v>0.3</v>
      </c>
      <c r="P448" s="227"/>
      <c r="Q448" s="226"/>
      <c r="R448" s="227"/>
      <c r="S448" s="226">
        <v>3.4</v>
      </c>
      <c r="T448" s="227"/>
      <c r="U448" s="226"/>
      <c r="V448" s="227"/>
      <c r="W448" s="223">
        <f t="shared" si="34"/>
        <v>4.4999999999999998E-2</v>
      </c>
      <c r="X448" s="224"/>
      <c r="Y448" s="225"/>
      <c r="Z448" s="203">
        <f t="shared" si="35"/>
        <v>0.153</v>
      </c>
      <c r="AA448" s="204"/>
      <c r="AB448" s="205"/>
      <c r="AC448" s="51"/>
      <c r="AD448" s="52"/>
      <c r="AE448" s="53"/>
      <c r="AF448" s="51"/>
      <c r="AG448" s="52"/>
      <c r="AH448" s="54"/>
    </row>
    <row r="449" spans="1:34" ht="15.75" x14ac:dyDescent="0.25">
      <c r="A449" s="197"/>
      <c r="B449" s="198"/>
      <c r="C449" s="199"/>
      <c r="D449" s="220" t="s">
        <v>717</v>
      </c>
      <c r="E449" s="221"/>
      <c r="F449" s="221"/>
      <c r="G449" s="221"/>
      <c r="H449" s="221"/>
      <c r="I449" s="222"/>
      <c r="J449" s="63"/>
      <c r="K449" s="226">
        <v>0.15</v>
      </c>
      <c r="L449" s="227"/>
      <c r="M449" s="226"/>
      <c r="N449" s="227"/>
      <c r="O449" s="226">
        <v>0.3</v>
      </c>
      <c r="P449" s="227"/>
      <c r="Q449" s="226"/>
      <c r="R449" s="227"/>
      <c r="S449" s="226">
        <v>3.4</v>
      </c>
      <c r="T449" s="227"/>
      <c r="U449" s="226"/>
      <c r="V449" s="227"/>
      <c r="W449" s="223">
        <f t="shared" si="34"/>
        <v>4.4999999999999998E-2</v>
      </c>
      <c r="X449" s="224"/>
      <c r="Y449" s="225"/>
      <c r="Z449" s="203">
        <f t="shared" si="35"/>
        <v>0.153</v>
      </c>
      <c r="AA449" s="204"/>
      <c r="AB449" s="205"/>
      <c r="AC449" s="51"/>
      <c r="AD449" s="52"/>
      <c r="AE449" s="53"/>
      <c r="AF449" s="51"/>
      <c r="AG449" s="52"/>
      <c r="AH449" s="54"/>
    </row>
    <row r="450" spans="1:34" ht="15.75" x14ac:dyDescent="0.25">
      <c r="A450" s="197"/>
      <c r="B450" s="198"/>
      <c r="C450" s="199"/>
      <c r="D450" s="220" t="s">
        <v>718</v>
      </c>
      <c r="E450" s="221"/>
      <c r="F450" s="221"/>
      <c r="G450" s="221"/>
      <c r="H450" s="221"/>
      <c r="I450" s="222"/>
      <c r="J450" s="63"/>
      <c r="K450" s="226">
        <v>0.15</v>
      </c>
      <c r="L450" s="227"/>
      <c r="M450" s="226"/>
      <c r="N450" s="227"/>
      <c r="O450" s="226">
        <v>0.3</v>
      </c>
      <c r="P450" s="227"/>
      <c r="Q450" s="226"/>
      <c r="R450" s="227"/>
      <c r="S450" s="226">
        <v>3.4</v>
      </c>
      <c r="T450" s="227"/>
      <c r="U450" s="226"/>
      <c r="V450" s="227"/>
      <c r="W450" s="223">
        <f t="shared" si="34"/>
        <v>4.4999999999999998E-2</v>
      </c>
      <c r="X450" s="224"/>
      <c r="Y450" s="225"/>
      <c r="Z450" s="203">
        <f t="shared" si="35"/>
        <v>0.153</v>
      </c>
      <c r="AA450" s="204"/>
      <c r="AB450" s="205"/>
      <c r="AC450" s="51"/>
      <c r="AD450" s="52"/>
      <c r="AE450" s="53"/>
      <c r="AF450" s="51"/>
      <c r="AG450" s="52"/>
      <c r="AH450" s="54"/>
    </row>
    <row r="451" spans="1:34" ht="15.75" x14ac:dyDescent="0.25">
      <c r="A451" s="197"/>
      <c r="B451" s="198"/>
      <c r="C451" s="199"/>
      <c r="D451" s="220" t="s">
        <v>719</v>
      </c>
      <c r="E451" s="221"/>
      <c r="F451" s="221"/>
      <c r="G451" s="221"/>
      <c r="H451" s="221"/>
      <c r="I451" s="222"/>
      <c r="J451" s="63"/>
      <c r="K451" s="226">
        <v>0.15</v>
      </c>
      <c r="L451" s="227"/>
      <c r="M451" s="226"/>
      <c r="N451" s="227"/>
      <c r="O451" s="226">
        <v>0.3</v>
      </c>
      <c r="P451" s="227"/>
      <c r="Q451" s="226"/>
      <c r="R451" s="227"/>
      <c r="S451" s="226">
        <v>3.4</v>
      </c>
      <c r="T451" s="227"/>
      <c r="U451" s="202"/>
      <c r="V451" s="199"/>
      <c r="W451" s="223">
        <f t="shared" si="34"/>
        <v>4.4999999999999998E-2</v>
      </c>
      <c r="X451" s="224"/>
      <c r="Y451" s="225"/>
      <c r="Z451" s="203">
        <f t="shared" si="35"/>
        <v>0.153</v>
      </c>
      <c r="AA451" s="204"/>
      <c r="AB451" s="205"/>
      <c r="AC451" s="51"/>
      <c r="AD451" s="52"/>
      <c r="AE451" s="53"/>
      <c r="AF451" s="51"/>
      <c r="AG451" s="52"/>
      <c r="AH451" s="54"/>
    </row>
    <row r="452" spans="1:34" ht="15.75" x14ac:dyDescent="0.25">
      <c r="A452" s="197"/>
      <c r="B452" s="198"/>
      <c r="C452" s="199"/>
      <c r="D452" s="220" t="s">
        <v>720</v>
      </c>
      <c r="E452" s="221"/>
      <c r="F452" s="221"/>
      <c r="G452" s="221"/>
      <c r="H452" s="221"/>
      <c r="I452" s="222"/>
      <c r="J452" s="63"/>
      <c r="K452" s="226">
        <v>0.15</v>
      </c>
      <c r="L452" s="227"/>
      <c r="M452" s="226"/>
      <c r="N452" s="227"/>
      <c r="O452" s="226">
        <v>0.3</v>
      </c>
      <c r="P452" s="227"/>
      <c r="Q452" s="226"/>
      <c r="R452" s="227"/>
      <c r="S452" s="226">
        <v>3.4</v>
      </c>
      <c r="T452" s="227"/>
      <c r="U452" s="226"/>
      <c r="V452" s="227"/>
      <c r="W452" s="223">
        <f t="shared" si="34"/>
        <v>4.4999999999999998E-2</v>
      </c>
      <c r="X452" s="224"/>
      <c r="Y452" s="225"/>
      <c r="Z452" s="203">
        <f t="shared" si="35"/>
        <v>0.153</v>
      </c>
      <c r="AA452" s="204"/>
      <c r="AB452" s="205"/>
      <c r="AC452" s="51"/>
      <c r="AD452" s="52"/>
      <c r="AE452" s="53"/>
      <c r="AF452" s="51"/>
      <c r="AG452" s="52"/>
      <c r="AH452" s="54"/>
    </row>
    <row r="453" spans="1:34" ht="15.75" x14ac:dyDescent="0.25">
      <c r="A453" s="197"/>
      <c r="B453" s="198"/>
      <c r="C453" s="199"/>
      <c r="D453" s="220" t="s">
        <v>721</v>
      </c>
      <c r="E453" s="221"/>
      <c r="F453" s="221"/>
      <c r="G453" s="221"/>
      <c r="H453" s="221"/>
      <c r="I453" s="222"/>
      <c r="J453" s="63"/>
      <c r="K453" s="226">
        <v>0.15</v>
      </c>
      <c r="L453" s="227"/>
      <c r="M453" s="226"/>
      <c r="N453" s="227"/>
      <c r="O453" s="226">
        <v>0.3</v>
      </c>
      <c r="P453" s="227"/>
      <c r="Q453" s="226"/>
      <c r="R453" s="227"/>
      <c r="S453" s="226">
        <v>3.4</v>
      </c>
      <c r="T453" s="227"/>
      <c r="U453" s="226"/>
      <c r="V453" s="227"/>
      <c r="W453" s="223">
        <f t="shared" si="34"/>
        <v>4.4999999999999998E-2</v>
      </c>
      <c r="X453" s="224"/>
      <c r="Y453" s="225"/>
      <c r="Z453" s="203">
        <f t="shared" si="35"/>
        <v>0.153</v>
      </c>
      <c r="AA453" s="204"/>
      <c r="AB453" s="205"/>
      <c r="AC453" s="51"/>
      <c r="AD453" s="52"/>
      <c r="AE453" s="53"/>
      <c r="AF453" s="51"/>
      <c r="AG453" s="52"/>
      <c r="AH453" s="54"/>
    </row>
    <row r="454" spans="1:34" ht="15.75" x14ac:dyDescent="0.25">
      <c r="A454" s="197"/>
      <c r="B454" s="198"/>
      <c r="C454" s="199"/>
      <c r="D454" s="220" t="s">
        <v>722</v>
      </c>
      <c r="E454" s="221"/>
      <c r="F454" s="221"/>
      <c r="G454" s="221"/>
      <c r="H454" s="221"/>
      <c r="I454" s="222"/>
      <c r="J454" s="63"/>
      <c r="K454" s="226">
        <v>0.15</v>
      </c>
      <c r="L454" s="227"/>
      <c r="M454" s="226"/>
      <c r="N454" s="227"/>
      <c r="O454" s="226">
        <v>0.3</v>
      </c>
      <c r="P454" s="227"/>
      <c r="Q454" s="226"/>
      <c r="R454" s="227"/>
      <c r="S454" s="226">
        <v>4.9000000000000004</v>
      </c>
      <c r="T454" s="227"/>
      <c r="U454" s="226"/>
      <c r="V454" s="227"/>
      <c r="W454" s="223">
        <f t="shared" si="34"/>
        <v>4.4999999999999998E-2</v>
      </c>
      <c r="X454" s="224"/>
      <c r="Y454" s="225"/>
      <c r="Z454" s="203">
        <f t="shared" si="35"/>
        <v>0.2205</v>
      </c>
      <c r="AA454" s="204"/>
      <c r="AB454" s="205"/>
      <c r="AC454" s="51"/>
      <c r="AD454" s="52"/>
      <c r="AE454" s="53"/>
      <c r="AF454" s="51"/>
      <c r="AG454" s="52"/>
      <c r="AH454" s="54"/>
    </row>
    <row r="455" spans="1:34" ht="15.75" x14ac:dyDescent="0.25">
      <c r="A455" s="197"/>
      <c r="B455" s="198"/>
      <c r="C455" s="199"/>
      <c r="D455" s="220" t="s">
        <v>723</v>
      </c>
      <c r="E455" s="221"/>
      <c r="F455" s="221"/>
      <c r="G455" s="221"/>
      <c r="H455" s="221"/>
      <c r="I455" s="222"/>
      <c r="J455" s="63"/>
      <c r="K455" s="226">
        <v>0.15</v>
      </c>
      <c r="L455" s="227"/>
      <c r="M455" s="226"/>
      <c r="N455" s="227"/>
      <c r="O455" s="226">
        <v>0.3</v>
      </c>
      <c r="P455" s="227"/>
      <c r="Q455" s="226"/>
      <c r="R455" s="227"/>
      <c r="S455" s="226">
        <v>3.4</v>
      </c>
      <c r="T455" s="227"/>
      <c r="U455" s="226"/>
      <c r="V455" s="227"/>
      <c r="W455" s="223">
        <f t="shared" si="34"/>
        <v>4.4999999999999998E-2</v>
      </c>
      <c r="X455" s="224"/>
      <c r="Y455" s="225"/>
      <c r="Z455" s="203">
        <f t="shared" si="35"/>
        <v>0.153</v>
      </c>
      <c r="AA455" s="204"/>
      <c r="AB455" s="205"/>
      <c r="AC455" s="51"/>
      <c r="AD455" s="52"/>
      <c r="AE455" s="53"/>
      <c r="AF455" s="51"/>
      <c r="AG455" s="52"/>
      <c r="AH455" s="54"/>
    </row>
    <row r="456" spans="1:34" ht="15.75" x14ac:dyDescent="0.25">
      <c r="A456" s="197"/>
      <c r="B456" s="198"/>
      <c r="C456" s="199"/>
      <c r="D456" s="220" t="s">
        <v>724</v>
      </c>
      <c r="E456" s="221"/>
      <c r="F456" s="221"/>
      <c r="G456" s="221"/>
      <c r="H456" s="221"/>
      <c r="I456" s="222"/>
      <c r="J456" s="63"/>
      <c r="K456" s="226">
        <v>0.15</v>
      </c>
      <c r="L456" s="227"/>
      <c r="M456" s="226"/>
      <c r="N456" s="227"/>
      <c r="O456" s="226">
        <v>0.3</v>
      </c>
      <c r="P456" s="227"/>
      <c r="Q456" s="226"/>
      <c r="R456" s="227"/>
      <c r="S456" s="226">
        <v>4.9000000000000004</v>
      </c>
      <c r="T456" s="227"/>
      <c r="U456" s="226"/>
      <c r="V456" s="227"/>
      <c r="W456" s="223">
        <f t="shared" si="34"/>
        <v>4.4999999999999998E-2</v>
      </c>
      <c r="X456" s="224"/>
      <c r="Y456" s="225"/>
      <c r="Z456" s="203">
        <f t="shared" si="35"/>
        <v>0.2205</v>
      </c>
      <c r="AA456" s="204"/>
      <c r="AB456" s="205"/>
      <c r="AC456" s="51"/>
      <c r="AD456" s="52"/>
      <c r="AE456" s="53"/>
      <c r="AF456" s="51"/>
      <c r="AG456" s="52"/>
      <c r="AH456" s="54"/>
    </row>
    <row r="457" spans="1:34" ht="15.75" x14ac:dyDescent="0.25">
      <c r="A457" s="197"/>
      <c r="B457" s="198"/>
      <c r="C457" s="199"/>
      <c r="D457" s="220" t="s">
        <v>725</v>
      </c>
      <c r="E457" s="221"/>
      <c r="F457" s="221"/>
      <c r="G457" s="221"/>
      <c r="H457" s="221"/>
      <c r="I457" s="222"/>
      <c r="J457" s="63"/>
      <c r="K457" s="226">
        <v>0.15</v>
      </c>
      <c r="L457" s="227"/>
      <c r="M457" s="226"/>
      <c r="N457" s="227"/>
      <c r="O457" s="226">
        <v>0.3</v>
      </c>
      <c r="P457" s="227"/>
      <c r="Q457" s="226"/>
      <c r="R457" s="227"/>
      <c r="S457" s="226">
        <v>4.9000000000000004</v>
      </c>
      <c r="T457" s="227"/>
      <c r="U457" s="226"/>
      <c r="V457" s="227"/>
      <c r="W457" s="223">
        <f t="shared" si="34"/>
        <v>4.4999999999999998E-2</v>
      </c>
      <c r="X457" s="224"/>
      <c r="Y457" s="225"/>
      <c r="Z457" s="203">
        <f t="shared" si="35"/>
        <v>0.2205</v>
      </c>
      <c r="AA457" s="204"/>
      <c r="AB457" s="205"/>
      <c r="AC457" s="51"/>
      <c r="AD457" s="52"/>
      <c r="AE457" s="53"/>
      <c r="AF457" s="51"/>
      <c r="AG457" s="52"/>
      <c r="AH457" s="54"/>
    </row>
    <row r="458" spans="1:34" ht="15.75" x14ac:dyDescent="0.25">
      <c r="A458" s="197"/>
      <c r="B458" s="198"/>
      <c r="C458" s="199"/>
      <c r="D458" s="220" t="s">
        <v>726</v>
      </c>
      <c r="E458" s="221"/>
      <c r="F458" s="221"/>
      <c r="G458" s="221"/>
      <c r="H458" s="221"/>
      <c r="I458" s="222"/>
      <c r="J458" s="63"/>
      <c r="K458" s="226">
        <v>0.15</v>
      </c>
      <c r="L458" s="227"/>
      <c r="M458" s="226"/>
      <c r="N458" s="227"/>
      <c r="O458" s="226">
        <v>0.3</v>
      </c>
      <c r="P458" s="227"/>
      <c r="Q458" s="226"/>
      <c r="R458" s="227"/>
      <c r="S458" s="226">
        <v>3.4</v>
      </c>
      <c r="T458" s="227"/>
      <c r="U458" s="226"/>
      <c r="V458" s="227"/>
      <c r="W458" s="223">
        <f t="shared" si="34"/>
        <v>4.4999999999999998E-2</v>
      </c>
      <c r="X458" s="224"/>
      <c r="Y458" s="225"/>
      <c r="Z458" s="203">
        <f t="shared" si="35"/>
        <v>0.153</v>
      </c>
      <c r="AA458" s="204"/>
      <c r="AB458" s="205"/>
      <c r="AC458" s="51"/>
      <c r="AD458" s="52"/>
      <c r="AE458" s="53"/>
      <c r="AF458" s="51"/>
      <c r="AG458" s="52"/>
      <c r="AH458" s="54"/>
    </row>
    <row r="459" spans="1:34" ht="15.75" x14ac:dyDescent="0.25">
      <c r="A459" s="197"/>
      <c r="B459" s="198"/>
      <c r="C459" s="199"/>
      <c r="D459" s="220" t="s">
        <v>727</v>
      </c>
      <c r="E459" s="221"/>
      <c r="F459" s="221"/>
      <c r="G459" s="221"/>
      <c r="H459" s="221"/>
      <c r="I459" s="222"/>
      <c r="J459" s="63"/>
      <c r="K459" s="226">
        <v>0.15</v>
      </c>
      <c r="L459" s="227"/>
      <c r="M459" s="226"/>
      <c r="N459" s="227"/>
      <c r="O459" s="226">
        <v>0.3</v>
      </c>
      <c r="P459" s="227"/>
      <c r="Q459" s="226"/>
      <c r="R459" s="227"/>
      <c r="S459" s="226">
        <v>3.4</v>
      </c>
      <c r="T459" s="227"/>
      <c r="U459" s="202"/>
      <c r="V459" s="199"/>
      <c r="W459" s="223">
        <f t="shared" si="34"/>
        <v>4.4999999999999998E-2</v>
      </c>
      <c r="X459" s="224"/>
      <c r="Y459" s="225"/>
      <c r="Z459" s="203">
        <f t="shared" si="35"/>
        <v>0.153</v>
      </c>
      <c r="AA459" s="204"/>
      <c r="AB459" s="205"/>
      <c r="AC459" s="51"/>
      <c r="AD459" s="52"/>
      <c r="AE459" s="53"/>
      <c r="AF459" s="51"/>
      <c r="AG459" s="52"/>
      <c r="AH459" s="54"/>
    </row>
    <row r="460" spans="1:34" ht="15.75" x14ac:dyDescent="0.25">
      <c r="A460" s="197"/>
      <c r="B460" s="198"/>
      <c r="C460" s="199"/>
      <c r="D460" s="220" t="s">
        <v>728</v>
      </c>
      <c r="E460" s="221"/>
      <c r="F460" s="221"/>
      <c r="G460" s="221"/>
      <c r="H460" s="221"/>
      <c r="I460" s="222"/>
      <c r="J460" s="63"/>
      <c r="K460" s="226">
        <v>0.15</v>
      </c>
      <c r="L460" s="227"/>
      <c r="M460" s="226"/>
      <c r="N460" s="227"/>
      <c r="O460" s="226">
        <v>0.3</v>
      </c>
      <c r="P460" s="227"/>
      <c r="Q460" s="226"/>
      <c r="R460" s="227"/>
      <c r="S460" s="226">
        <v>3.4</v>
      </c>
      <c r="T460" s="227"/>
      <c r="U460" s="226"/>
      <c r="V460" s="227"/>
      <c r="W460" s="223">
        <f t="shared" si="34"/>
        <v>4.4999999999999998E-2</v>
      </c>
      <c r="X460" s="224"/>
      <c r="Y460" s="225"/>
      <c r="Z460" s="203">
        <f t="shared" si="35"/>
        <v>0.153</v>
      </c>
      <c r="AA460" s="204"/>
      <c r="AB460" s="205"/>
      <c r="AC460" s="51"/>
      <c r="AD460" s="52"/>
      <c r="AE460" s="53"/>
      <c r="AF460" s="51"/>
      <c r="AG460" s="52"/>
      <c r="AH460" s="54"/>
    </row>
    <row r="461" spans="1:34" ht="15.75" x14ac:dyDescent="0.25">
      <c r="A461" s="197"/>
      <c r="B461" s="198"/>
      <c r="C461" s="199"/>
      <c r="D461" s="220" t="s">
        <v>729</v>
      </c>
      <c r="E461" s="221"/>
      <c r="F461" s="221"/>
      <c r="G461" s="221"/>
      <c r="H461" s="221"/>
      <c r="I461" s="222"/>
      <c r="J461" s="63"/>
      <c r="K461" s="226">
        <v>0.15</v>
      </c>
      <c r="L461" s="227"/>
      <c r="M461" s="226"/>
      <c r="N461" s="227"/>
      <c r="O461" s="226">
        <v>0.3</v>
      </c>
      <c r="P461" s="227"/>
      <c r="Q461" s="226"/>
      <c r="R461" s="227"/>
      <c r="S461" s="226">
        <v>3.4</v>
      </c>
      <c r="T461" s="227"/>
      <c r="U461" s="226"/>
      <c r="V461" s="227"/>
      <c r="W461" s="223">
        <f t="shared" si="34"/>
        <v>4.4999999999999998E-2</v>
      </c>
      <c r="X461" s="224"/>
      <c r="Y461" s="225"/>
      <c r="Z461" s="203">
        <f t="shared" si="35"/>
        <v>0.153</v>
      </c>
      <c r="AA461" s="204"/>
      <c r="AB461" s="205"/>
      <c r="AC461" s="51"/>
      <c r="AD461" s="52"/>
      <c r="AE461" s="53"/>
      <c r="AF461" s="51"/>
      <c r="AG461" s="52"/>
      <c r="AH461" s="54"/>
    </row>
    <row r="462" spans="1:34" ht="15.75" x14ac:dyDescent="0.25">
      <c r="A462" s="197"/>
      <c r="B462" s="198"/>
      <c r="C462" s="199"/>
      <c r="D462" s="220" t="s">
        <v>730</v>
      </c>
      <c r="E462" s="221"/>
      <c r="F462" s="221"/>
      <c r="G462" s="221"/>
      <c r="H462" s="221"/>
      <c r="I462" s="222"/>
      <c r="J462" s="63"/>
      <c r="K462" s="226">
        <v>0.15</v>
      </c>
      <c r="L462" s="227"/>
      <c r="M462" s="226"/>
      <c r="N462" s="227"/>
      <c r="O462" s="226">
        <v>0.3</v>
      </c>
      <c r="P462" s="227"/>
      <c r="Q462" s="226"/>
      <c r="R462" s="227"/>
      <c r="S462" s="226">
        <v>3.4</v>
      </c>
      <c r="T462" s="227"/>
      <c r="U462" s="226"/>
      <c r="V462" s="227"/>
      <c r="W462" s="223">
        <f t="shared" si="34"/>
        <v>4.4999999999999998E-2</v>
      </c>
      <c r="X462" s="224"/>
      <c r="Y462" s="225"/>
      <c r="Z462" s="203">
        <f t="shared" si="35"/>
        <v>0.153</v>
      </c>
      <c r="AA462" s="204"/>
      <c r="AB462" s="205"/>
      <c r="AC462" s="51"/>
      <c r="AD462" s="52"/>
      <c r="AE462" s="53"/>
      <c r="AF462" s="51"/>
      <c r="AG462" s="52"/>
      <c r="AH462" s="54"/>
    </row>
    <row r="463" spans="1:34" ht="15.75" x14ac:dyDescent="0.25">
      <c r="A463" s="197"/>
      <c r="B463" s="198"/>
      <c r="C463" s="199"/>
      <c r="D463" s="220" t="s">
        <v>731</v>
      </c>
      <c r="E463" s="221"/>
      <c r="F463" s="221"/>
      <c r="G463" s="221"/>
      <c r="H463" s="221"/>
      <c r="I463" s="222"/>
      <c r="J463" s="63"/>
      <c r="K463" s="226">
        <v>0.2</v>
      </c>
      <c r="L463" s="227"/>
      <c r="M463" s="226"/>
      <c r="N463" s="227"/>
      <c r="O463" s="226">
        <v>0.3</v>
      </c>
      <c r="P463" s="227"/>
      <c r="Q463" s="226"/>
      <c r="R463" s="227"/>
      <c r="S463" s="226">
        <v>3.4</v>
      </c>
      <c r="T463" s="227"/>
      <c r="U463" s="226"/>
      <c r="V463" s="227"/>
      <c r="W463" s="223">
        <f t="shared" si="34"/>
        <v>0.06</v>
      </c>
      <c r="X463" s="224"/>
      <c r="Y463" s="225"/>
      <c r="Z463" s="203">
        <f t="shared" si="35"/>
        <v>0.20399999999999999</v>
      </c>
      <c r="AA463" s="204"/>
      <c r="AB463" s="205"/>
      <c r="AC463" s="51"/>
      <c r="AD463" s="52"/>
      <c r="AE463" s="53"/>
      <c r="AF463" s="51"/>
      <c r="AG463" s="52"/>
      <c r="AH463" s="54"/>
    </row>
    <row r="464" spans="1:34" ht="15.75" x14ac:dyDescent="0.25">
      <c r="A464" s="197"/>
      <c r="B464" s="198"/>
      <c r="C464" s="199"/>
      <c r="D464" s="220" t="s">
        <v>732</v>
      </c>
      <c r="E464" s="221"/>
      <c r="F464" s="221"/>
      <c r="G464" s="221"/>
      <c r="H464" s="221"/>
      <c r="I464" s="222"/>
      <c r="J464" s="63"/>
      <c r="K464" s="226">
        <v>0.2</v>
      </c>
      <c r="L464" s="227"/>
      <c r="M464" s="226"/>
      <c r="N464" s="227"/>
      <c r="O464" s="226">
        <v>0.3</v>
      </c>
      <c r="P464" s="227"/>
      <c r="Q464" s="226"/>
      <c r="R464" s="227"/>
      <c r="S464" s="226">
        <v>4.9000000000000004</v>
      </c>
      <c r="T464" s="227"/>
      <c r="U464" s="226"/>
      <c r="V464" s="227"/>
      <c r="W464" s="223">
        <f t="shared" ref="W464:W491" si="36">K464*O464</f>
        <v>0.06</v>
      </c>
      <c r="X464" s="224"/>
      <c r="Y464" s="225"/>
      <c r="Z464" s="203">
        <f t="shared" ref="Z464:Z491" si="37">W464*S464</f>
        <v>0.29399999999999998</v>
      </c>
      <c r="AA464" s="204"/>
      <c r="AB464" s="205"/>
      <c r="AC464" s="51"/>
      <c r="AD464" s="52"/>
      <c r="AE464" s="53"/>
      <c r="AF464" s="51"/>
      <c r="AG464" s="52"/>
      <c r="AH464" s="54"/>
    </row>
    <row r="465" spans="1:34" ht="15.75" x14ac:dyDescent="0.25">
      <c r="A465" s="197"/>
      <c r="B465" s="198"/>
      <c r="C465" s="199"/>
      <c r="D465" s="220" t="s">
        <v>733</v>
      </c>
      <c r="E465" s="221"/>
      <c r="F465" s="221"/>
      <c r="G465" s="221"/>
      <c r="H465" s="221"/>
      <c r="I465" s="222"/>
      <c r="J465" s="63"/>
      <c r="K465" s="226">
        <v>0.15</v>
      </c>
      <c r="L465" s="227"/>
      <c r="M465" s="226"/>
      <c r="N465" s="227"/>
      <c r="O465" s="226">
        <v>0.3</v>
      </c>
      <c r="P465" s="227"/>
      <c r="Q465" s="226"/>
      <c r="R465" s="227"/>
      <c r="S465" s="226">
        <v>4.9000000000000004</v>
      </c>
      <c r="T465" s="227"/>
      <c r="U465" s="226"/>
      <c r="V465" s="227"/>
      <c r="W465" s="223">
        <f t="shared" si="36"/>
        <v>4.4999999999999998E-2</v>
      </c>
      <c r="X465" s="224"/>
      <c r="Y465" s="225"/>
      <c r="Z465" s="203">
        <f t="shared" si="37"/>
        <v>0.2205</v>
      </c>
      <c r="AA465" s="204"/>
      <c r="AB465" s="205"/>
      <c r="AC465" s="51"/>
      <c r="AD465" s="52"/>
      <c r="AE465" s="53"/>
      <c r="AF465" s="51"/>
      <c r="AG465" s="52"/>
      <c r="AH465" s="54"/>
    </row>
    <row r="466" spans="1:34" ht="15.75" x14ac:dyDescent="0.25">
      <c r="A466" s="197"/>
      <c r="B466" s="198"/>
      <c r="C466" s="199"/>
      <c r="D466" s="220" t="s">
        <v>734</v>
      </c>
      <c r="E466" s="221"/>
      <c r="F466" s="221"/>
      <c r="G466" s="221"/>
      <c r="H466" s="221"/>
      <c r="I466" s="222"/>
      <c r="J466" s="63"/>
      <c r="K466" s="226">
        <v>0.15</v>
      </c>
      <c r="L466" s="227"/>
      <c r="M466" s="226"/>
      <c r="N466" s="227"/>
      <c r="O466" s="226">
        <v>0.3</v>
      </c>
      <c r="P466" s="227"/>
      <c r="Q466" s="226"/>
      <c r="R466" s="227"/>
      <c r="S466" s="226">
        <v>4.9000000000000004</v>
      </c>
      <c r="T466" s="227"/>
      <c r="U466" s="226"/>
      <c r="V466" s="227"/>
      <c r="W466" s="223">
        <f t="shared" si="36"/>
        <v>4.4999999999999998E-2</v>
      </c>
      <c r="X466" s="224"/>
      <c r="Y466" s="225"/>
      <c r="Z466" s="203">
        <f t="shared" si="37"/>
        <v>0.2205</v>
      </c>
      <c r="AA466" s="204"/>
      <c r="AB466" s="205"/>
      <c r="AC466" s="51"/>
      <c r="AD466" s="52"/>
      <c r="AE466" s="53"/>
      <c r="AF466" s="51"/>
      <c r="AG466" s="52"/>
      <c r="AH466" s="54"/>
    </row>
    <row r="467" spans="1:34" ht="15.75" x14ac:dyDescent="0.25">
      <c r="A467" s="197"/>
      <c r="B467" s="198"/>
      <c r="C467" s="199"/>
      <c r="D467" s="220" t="s">
        <v>735</v>
      </c>
      <c r="E467" s="221"/>
      <c r="F467" s="221"/>
      <c r="G467" s="221"/>
      <c r="H467" s="221"/>
      <c r="I467" s="222"/>
      <c r="J467" s="63"/>
      <c r="K467" s="226">
        <v>0.15</v>
      </c>
      <c r="L467" s="227"/>
      <c r="M467" s="226"/>
      <c r="N467" s="227"/>
      <c r="O467" s="226">
        <v>0.3</v>
      </c>
      <c r="P467" s="227"/>
      <c r="Q467" s="226"/>
      <c r="R467" s="227"/>
      <c r="S467" s="226">
        <v>3.4</v>
      </c>
      <c r="T467" s="227"/>
      <c r="U467" s="202"/>
      <c r="V467" s="199"/>
      <c r="W467" s="223">
        <f t="shared" si="36"/>
        <v>4.4999999999999998E-2</v>
      </c>
      <c r="X467" s="224"/>
      <c r="Y467" s="225"/>
      <c r="Z467" s="203">
        <f t="shared" si="37"/>
        <v>0.153</v>
      </c>
      <c r="AA467" s="204"/>
      <c r="AB467" s="205"/>
      <c r="AC467" s="51"/>
      <c r="AD467" s="52"/>
      <c r="AE467" s="53"/>
      <c r="AF467" s="51"/>
      <c r="AG467" s="52"/>
      <c r="AH467" s="54"/>
    </row>
    <row r="468" spans="1:34" ht="15.75" x14ac:dyDescent="0.25">
      <c r="A468" s="197"/>
      <c r="B468" s="198"/>
      <c r="C468" s="199"/>
      <c r="D468" s="220" t="s">
        <v>736</v>
      </c>
      <c r="E468" s="221"/>
      <c r="F468" s="221"/>
      <c r="G468" s="221"/>
      <c r="H468" s="221"/>
      <c r="I468" s="222"/>
      <c r="J468" s="63"/>
      <c r="K468" s="226">
        <v>0.15</v>
      </c>
      <c r="L468" s="227"/>
      <c r="M468" s="226"/>
      <c r="N468" s="227"/>
      <c r="O468" s="226">
        <v>0.3</v>
      </c>
      <c r="P468" s="227"/>
      <c r="Q468" s="226"/>
      <c r="R468" s="227"/>
      <c r="S468" s="226">
        <v>3.4</v>
      </c>
      <c r="T468" s="227"/>
      <c r="U468" s="226"/>
      <c r="V468" s="227"/>
      <c r="W468" s="223">
        <f t="shared" si="36"/>
        <v>4.4999999999999998E-2</v>
      </c>
      <c r="X468" s="224"/>
      <c r="Y468" s="225"/>
      <c r="Z468" s="203">
        <f t="shared" si="37"/>
        <v>0.153</v>
      </c>
      <c r="AA468" s="204"/>
      <c r="AB468" s="205"/>
      <c r="AC468" s="51"/>
      <c r="AD468" s="52"/>
      <c r="AE468" s="53"/>
      <c r="AF468" s="51"/>
      <c r="AG468" s="52"/>
      <c r="AH468" s="54"/>
    </row>
    <row r="469" spans="1:34" ht="15.75" x14ac:dyDescent="0.25">
      <c r="A469" s="197"/>
      <c r="B469" s="198"/>
      <c r="C469" s="199"/>
      <c r="D469" s="220" t="s">
        <v>737</v>
      </c>
      <c r="E469" s="221"/>
      <c r="F469" s="221"/>
      <c r="G469" s="221"/>
      <c r="H469" s="221"/>
      <c r="I469" s="222"/>
      <c r="J469" s="63"/>
      <c r="K469" s="226">
        <v>0.15</v>
      </c>
      <c r="L469" s="227"/>
      <c r="M469" s="226"/>
      <c r="N469" s="227"/>
      <c r="O469" s="226">
        <v>0.3</v>
      </c>
      <c r="P469" s="227"/>
      <c r="Q469" s="226"/>
      <c r="R469" s="227"/>
      <c r="S469" s="226">
        <v>4.9000000000000004</v>
      </c>
      <c r="T469" s="227"/>
      <c r="U469" s="226"/>
      <c r="V469" s="227"/>
      <c r="W469" s="223">
        <f t="shared" si="36"/>
        <v>4.4999999999999998E-2</v>
      </c>
      <c r="X469" s="224"/>
      <c r="Y469" s="225"/>
      <c r="Z469" s="203">
        <f t="shared" si="37"/>
        <v>0.2205</v>
      </c>
      <c r="AA469" s="204"/>
      <c r="AB469" s="205"/>
      <c r="AC469" s="51"/>
      <c r="AD469" s="52"/>
      <c r="AE469" s="53"/>
      <c r="AF469" s="51"/>
      <c r="AG469" s="52"/>
      <c r="AH469" s="54"/>
    </row>
    <row r="470" spans="1:34" ht="15.75" x14ac:dyDescent="0.25">
      <c r="A470" s="197"/>
      <c r="B470" s="198"/>
      <c r="C470" s="199"/>
      <c r="D470" s="220" t="s">
        <v>738</v>
      </c>
      <c r="E470" s="221"/>
      <c r="F470" s="221"/>
      <c r="G470" s="221"/>
      <c r="H470" s="221"/>
      <c r="I470" s="222"/>
      <c r="J470" s="63"/>
      <c r="K470" s="226">
        <v>0.15</v>
      </c>
      <c r="L470" s="227"/>
      <c r="M470" s="226"/>
      <c r="N470" s="227"/>
      <c r="O470" s="226">
        <v>0.3</v>
      </c>
      <c r="P470" s="227"/>
      <c r="Q470" s="226"/>
      <c r="R470" s="227"/>
      <c r="S470" s="226">
        <v>4.9000000000000004</v>
      </c>
      <c r="T470" s="227"/>
      <c r="U470" s="226"/>
      <c r="V470" s="227"/>
      <c r="W470" s="223">
        <f t="shared" si="36"/>
        <v>4.4999999999999998E-2</v>
      </c>
      <c r="X470" s="224"/>
      <c r="Y470" s="225"/>
      <c r="Z470" s="203">
        <f t="shared" si="37"/>
        <v>0.2205</v>
      </c>
      <c r="AA470" s="204"/>
      <c r="AB470" s="205"/>
      <c r="AC470" s="51"/>
      <c r="AD470" s="52"/>
      <c r="AE470" s="53"/>
      <c r="AF470" s="51"/>
      <c r="AG470" s="52"/>
      <c r="AH470" s="54"/>
    </row>
    <row r="471" spans="1:34" ht="15.75" x14ac:dyDescent="0.25">
      <c r="A471" s="197"/>
      <c r="B471" s="198"/>
      <c r="C471" s="199"/>
      <c r="D471" s="220" t="s">
        <v>739</v>
      </c>
      <c r="E471" s="221"/>
      <c r="F471" s="221"/>
      <c r="G471" s="221"/>
      <c r="H471" s="221"/>
      <c r="I471" s="222"/>
      <c r="J471" s="63"/>
      <c r="K471" s="226">
        <v>0.15</v>
      </c>
      <c r="L471" s="227"/>
      <c r="M471" s="226"/>
      <c r="N471" s="227"/>
      <c r="O471" s="226">
        <v>0.3</v>
      </c>
      <c r="P471" s="227"/>
      <c r="Q471" s="226"/>
      <c r="R471" s="227"/>
      <c r="S471" s="226">
        <v>3.4</v>
      </c>
      <c r="T471" s="227"/>
      <c r="U471" s="226"/>
      <c r="V471" s="227"/>
      <c r="W471" s="223">
        <f t="shared" si="36"/>
        <v>4.4999999999999998E-2</v>
      </c>
      <c r="X471" s="224"/>
      <c r="Y471" s="225"/>
      <c r="Z471" s="203">
        <f t="shared" si="37"/>
        <v>0.153</v>
      </c>
      <c r="AA471" s="204"/>
      <c r="AB471" s="205"/>
      <c r="AC471" s="51"/>
      <c r="AD471" s="52"/>
      <c r="AE471" s="53"/>
      <c r="AF471" s="51"/>
      <c r="AG471" s="52"/>
      <c r="AH471" s="54"/>
    </row>
    <row r="472" spans="1:34" ht="15.75" x14ac:dyDescent="0.25">
      <c r="A472" s="197"/>
      <c r="B472" s="198"/>
      <c r="C472" s="199"/>
      <c r="D472" s="220" t="s">
        <v>740</v>
      </c>
      <c r="E472" s="221"/>
      <c r="F472" s="221"/>
      <c r="G472" s="221"/>
      <c r="H472" s="221"/>
      <c r="I472" s="222"/>
      <c r="J472" s="63"/>
      <c r="K472" s="226">
        <v>0.15</v>
      </c>
      <c r="L472" s="227"/>
      <c r="M472" s="226"/>
      <c r="N472" s="227"/>
      <c r="O472" s="226">
        <v>0.3</v>
      </c>
      <c r="P472" s="227"/>
      <c r="Q472" s="226"/>
      <c r="R472" s="227"/>
      <c r="S472" s="226">
        <v>3.4</v>
      </c>
      <c r="T472" s="227"/>
      <c r="U472" s="226"/>
      <c r="V472" s="227"/>
      <c r="W472" s="223">
        <f t="shared" si="36"/>
        <v>4.4999999999999998E-2</v>
      </c>
      <c r="X472" s="224"/>
      <c r="Y472" s="225"/>
      <c r="Z472" s="203">
        <f t="shared" si="37"/>
        <v>0.153</v>
      </c>
      <c r="AA472" s="204"/>
      <c r="AB472" s="205"/>
      <c r="AC472" s="51"/>
      <c r="AD472" s="52"/>
      <c r="AE472" s="53"/>
      <c r="AF472" s="51"/>
      <c r="AG472" s="52"/>
      <c r="AH472" s="54"/>
    </row>
    <row r="473" spans="1:34" ht="15.75" x14ac:dyDescent="0.25">
      <c r="A473" s="197"/>
      <c r="B473" s="198"/>
      <c r="C473" s="199"/>
      <c r="D473" s="220" t="s">
        <v>741</v>
      </c>
      <c r="E473" s="221"/>
      <c r="F473" s="221"/>
      <c r="G473" s="221"/>
      <c r="H473" s="221"/>
      <c r="I473" s="222"/>
      <c r="J473" s="63"/>
      <c r="K473" s="226">
        <v>0.15</v>
      </c>
      <c r="L473" s="227"/>
      <c r="M473" s="226"/>
      <c r="N473" s="227"/>
      <c r="O473" s="226">
        <v>0.3</v>
      </c>
      <c r="P473" s="227"/>
      <c r="Q473" s="226"/>
      <c r="R473" s="227"/>
      <c r="S473" s="226">
        <v>3.4</v>
      </c>
      <c r="T473" s="227"/>
      <c r="U473" s="226"/>
      <c r="V473" s="227"/>
      <c r="W473" s="223">
        <f t="shared" si="36"/>
        <v>4.4999999999999998E-2</v>
      </c>
      <c r="X473" s="224"/>
      <c r="Y473" s="225"/>
      <c r="Z473" s="203">
        <f t="shared" si="37"/>
        <v>0.153</v>
      </c>
      <c r="AA473" s="204"/>
      <c r="AB473" s="205"/>
      <c r="AC473" s="51"/>
      <c r="AD473" s="52"/>
      <c r="AE473" s="53"/>
      <c r="AF473" s="51"/>
      <c r="AG473" s="52"/>
      <c r="AH473" s="54"/>
    </row>
    <row r="474" spans="1:34" ht="15.75" x14ac:dyDescent="0.25">
      <c r="A474" s="197"/>
      <c r="B474" s="198"/>
      <c r="C474" s="199"/>
      <c r="D474" s="220" t="s">
        <v>742</v>
      </c>
      <c r="E474" s="221"/>
      <c r="F474" s="221"/>
      <c r="G474" s="221"/>
      <c r="H474" s="221"/>
      <c r="I474" s="222"/>
      <c r="J474" s="63"/>
      <c r="K474" s="226">
        <v>0.15</v>
      </c>
      <c r="L474" s="227"/>
      <c r="M474" s="226"/>
      <c r="N474" s="227"/>
      <c r="O474" s="226">
        <v>0.3</v>
      </c>
      <c r="P474" s="227"/>
      <c r="Q474" s="226"/>
      <c r="R474" s="227"/>
      <c r="S474" s="226">
        <v>3.4</v>
      </c>
      <c r="T474" s="227"/>
      <c r="U474" s="226"/>
      <c r="V474" s="227"/>
      <c r="W474" s="223">
        <f t="shared" si="36"/>
        <v>4.4999999999999998E-2</v>
      </c>
      <c r="X474" s="224"/>
      <c r="Y474" s="225"/>
      <c r="Z474" s="203">
        <f t="shared" si="37"/>
        <v>0.153</v>
      </c>
      <c r="AA474" s="204"/>
      <c r="AB474" s="205"/>
      <c r="AC474" s="51"/>
      <c r="AD474" s="52"/>
      <c r="AE474" s="53"/>
      <c r="AF474" s="51"/>
      <c r="AG474" s="52"/>
      <c r="AH474" s="54"/>
    </row>
    <row r="475" spans="1:34" ht="15.75" x14ac:dyDescent="0.25">
      <c r="A475" s="197"/>
      <c r="B475" s="198"/>
      <c r="C475" s="199"/>
      <c r="D475" s="220" t="s">
        <v>743</v>
      </c>
      <c r="E475" s="221"/>
      <c r="F475" s="221"/>
      <c r="G475" s="221"/>
      <c r="H475" s="221"/>
      <c r="I475" s="222"/>
      <c r="J475" s="63"/>
      <c r="K475" s="226">
        <v>0.15</v>
      </c>
      <c r="L475" s="227"/>
      <c r="M475" s="226"/>
      <c r="N475" s="227"/>
      <c r="O475" s="226">
        <v>0.3</v>
      </c>
      <c r="P475" s="227"/>
      <c r="Q475" s="226"/>
      <c r="R475" s="227"/>
      <c r="S475" s="226">
        <v>3.4</v>
      </c>
      <c r="T475" s="227"/>
      <c r="U475" s="202"/>
      <c r="V475" s="199"/>
      <c r="W475" s="223">
        <f t="shared" si="36"/>
        <v>4.4999999999999998E-2</v>
      </c>
      <c r="X475" s="224"/>
      <c r="Y475" s="225"/>
      <c r="Z475" s="203">
        <f t="shared" si="37"/>
        <v>0.153</v>
      </c>
      <c r="AA475" s="204"/>
      <c r="AB475" s="205"/>
      <c r="AC475" s="51"/>
      <c r="AD475" s="52"/>
      <c r="AE475" s="53"/>
      <c r="AF475" s="51"/>
      <c r="AG475" s="52"/>
      <c r="AH475" s="54"/>
    </row>
    <row r="476" spans="1:34" ht="15.75" x14ac:dyDescent="0.25">
      <c r="A476" s="197"/>
      <c r="B476" s="198"/>
      <c r="C476" s="199"/>
      <c r="D476" s="220" t="s">
        <v>744</v>
      </c>
      <c r="E476" s="221"/>
      <c r="F476" s="221"/>
      <c r="G476" s="221"/>
      <c r="H476" s="221"/>
      <c r="I476" s="222"/>
      <c r="J476" s="63"/>
      <c r="K476" s="226">
        <v>0.15</v>
      </c>
      <c r="L476" s="227"/>
      <c r="M476" s="226"/>
      <c r="N476" s="227"/>
      <c r="O476" s="226">
        <v>0.3</v>
      </c>
      <c r="P476" s="227"/>
      <c r="Q476" s="226"/>
      <c r="R476" s="227"/>
      <c r="S476" s="226">
        <v>4.9000000000000004</v>
      </c>
      <c r="T476" s="227"/>
      <c r="U476" s="226"/>
      <c r="V476" s="227"/>
      <c r="W476" s="223">
        <f t="shared" si="36"/>
        <v>4.4999999999999998E-2</v>
      </c>
      <c r="X476" s="224"/>
      <c r="Y476" s="225"/>
      <c r="Z476" s="203">
        <f t="shared" si="37"/>
        <v>0.2205</v>
      </c>
      <c r="AA476" s="204"/>
      <c r="AB476" s="205"/>
      <c r="AC476" s="51"/>
      <c r="AD476" s="52"/>
      <c r="AE476" s="53"/>
      <c r="AF476" s="51"/>
      <c r="AG476" s="52"/>
      <c r="AH476" s="54"/>
    </row>
    <row r="477" spans="1:34" ht="15.75" x14ac:dyDescent="0.25">
      <c r="A477" s="197"/>
      <c r="B477" s="198"/>
      <c r="C477" s="199"/>
      <c r="D477" s="220" t="s">
        <v>745</v>
      </c>
      <c r="E477" s="221"/>
      <c r="F477" s="221"/>
      <c r="G477" s="221"/>
      <c r="H477" s="221"/>
      <c r="I477" s="222"/>
      <c r="J477" s="63"/>
      <c r="K477" s="226">
        <v>0.15</v>
      </c>
      <c r="L477" s="227"/>
      <c r="M477" s="226"/>
      <c r="N477" s="227"/>
      <c r="O477" s="226">
        <v>0.3</v>
      </c>
      <c r="P477" s="227"/>
      <c r="Q477" s="226"/>
      <c r="R477" s="227"/>
      <c r="S477" s="226">
        <v>3.4</v>
      </c>
      <c r="T477" s="227"/>
      <c r="U477" s="226"/>
      <c r="V477" s="227"/>
      <c r="W477" s="223">
        <f t="shared" si="36"/>
        <v>4.4999999999999998E-2</v>
      </c>
      <c r="X477" s="224"/>
      <c r="Y477" s="225"/>
      <c r="Z477" s="203">
        <f t="shared" si="37"/>
        <v>0.153</v>
      </c>
      <c r="AA477" s="204"/>
      <c r="AB477" s="205"/>
      <c r="AC477" s="51"/>
      <c r="AD477" s="52"/>
      <c r="AE477" s="53"/>
      <c r="AF477" s="51"/>
      <c r="AG477" s="52"/>
      <c r="AH477" s="54"/>
    </row>
    <row r="478" spans="1:34" ht="15.75" x14ac:dyDescent="0.25">
      <c r="A478" s="197"/>
      <c r="B478" s="198"/>
      <c r="C478" s="199"/>
      <c r="D478" s="220" t="s">
        <v>746</v>
      </c>
      <c r="E478" s="221"/>
      <c r="F478" s="221"/>
      <c r="G478" s="221"/>
      <c r="H478" s="221"/>
      <c r="I478" s="222"/>
      <c r="J478" s="63"/>
      <c r="K478" s="226">
        <v>0.15</v>
      </c>
      <c r="L478" s="227"/>
      <c r="M478" s="226"/>
      <c r="N478" s="227"/>
      <c r="O478" s="226">
        <v>0.3</v>
      </c>
      <c r="P478" s="227"/>
      <c r="Q478" s="226"/>
      <c r="R478" s="227"/>
      <c r="S478" s="226">
        <v>3.4</v>
      </c>
      <c r="T478" s="227"/>
      <c r="U478" s="226"/>
      <c r="V478" s="227"/>
      <c r="W478" s="223">
        <f t="shared" si="36"/>
        <v>4.4999999999999998E-2</v>
      </c>
      <c r="X478" s="224"/>
      <c r="Y478" s="225"/>
      <c r="Z478" s="203">
        <f t="shared" si="37"/>
        <v>0.153</v>
      </c>
      <c r="AA478" s="204"/>
      <c r="AB478" s="205"/>
      <c r="AC478" s="51"/>
      <c r="AD478" s="52"/>
      <c r="AE478" s="53"/>
      <c r="AF478" s="51"/>
      <c r="AG478" s="52"/>
      <c r="AH478" s="54"/>
    </row>
    <row r="479" spans="1:34" ht="15.75" x14ac:dyDescent="0.25">
      <c r="A479" s="197"/>
      <c r="B479" s="198"/>
      <c r="C479" s="199"/>
      <c r="D479" s="220" t="s">
        <v>747</v>
      </c>
      <c r="E479" s="221"/>
      <c r="F479" s="221"/>
      <c r="G479" s="221"/>
      <c r="H479" s="221"/>
      <c r="I479" s="222"/>
      <c r="J479" s="63"/>
      <c r="K479" s="226">
        <v>0.15</v>
      </c>
      <c r="L479" s="227"/>
      <c r="M479" s="226"/>
      <c r="N479" s="227"/>
      <c r="O479" s="226">
        <v>0.3</v>
      </c>
      <c r="P479" s="227"/>
      <c r="Q479" s="226"/>
      <c r="R479" s="227"/>
      <c r="S479" s="226">
        <v>3.4</v>
      </c>
      <c r="T479" s="227"/>
      <c r="U479" s="226"/>
      <c r="V479" s="227"/>
      <c r="W479" s="223">
        <f t="shared" si="36"/>
        <v>4.4999999999999998E-2</v>
      </c>
      <c r="X479" s="224"/>
      <c r="Y479" s="225"/>
      <c r="Z479" s="203">
        <f t="shared" si="37"/>
        <v>0.153</v>
      </c>
      <c r="AA479" s="204"/>
      <c r="AB479" s="205"/>
      <c r="AC479" s="51"/>
      <c r="AD479" s="52"/>
      <c r="AE479" s="53"/>
      <c r="AF479" s="51"/>
      <c r="AG479" s="52"/>
      <c r="AH479" s="54"/>
    </row>
    <row r="480" spans="1:34" ht="15.75" x14ac:dyDescent="0.25">
      <c r="A480" s="197"/>
      <c r="B480" s="198"/>
      <c r="C480" s="199"/>
      <c r="D480" s="220" t="s">
        <v>748</v>
      </c>
      <c r="E480" s="221"/>
      <c r="F480" s="221"/>
      <c r="G480" s="221"/>
      <c r="H480" s="221"/>
      <c r="I480" s="222"/>
      <c r="J480" s="63"/>
      <c r="K480" s="226">
        <v>0.15</v>
      </c>
      <c r="L480" s="227"/>
      <c r="M480" s="226"/>
      <c r="N480" s="227"/>
      <c r="O480" s="226">
        <v>0.3</v>
      </c>
      <c r="P480" s="227"/>
      <c r="Q480" s="226"/>
      <c r="R480" s="227"/>
      <c r="S480" s="226">
        <v>4.9000000000000004</v>
      </c>
      <c r="T480" s="227"/>
      <c r="U480" s="226"/>
      <c r="V480" s="227"/>
      <c r="W480" s="223">
        <f t="shared" si="36"/>
        <v>4.4999999999999998E-2</v>
      </c>
      <c r="X480" s="224"/>
      <c r="Y480" s="225"/>
      <c r="Z480" s="203">
        <f t="shared" si="37"/>
        <v>0.2205</v>
      </c>
      <c r="AA480" s="204"/>
      <c r="AB480" s="205"/>
      <c r="AC480" s="51"/>
      <c r="AD480" s="52"/>
      <c r="AE480" s="53"/>
      <c r="AF480" s="51"/>
      <c r="AG480" s="52"/>
      <c r="AH480" s="54"/>
    </row>
    <row r="481" spans="1:34" ht="15.75" x14ac:dyDescent="0.25">
      <c r="A481" s="197"/>
      <c r="B481" s="198"/>
      <c r="C481" s="199"/>
      <c r="D481" s="220" t="s">
        <v>749</v>
      </c>
      <c r="E481" s="221"/>
      <c r="F481" s="221"/>
      <c r="G481" s="221"/>
      <c r="H481" s="221"/>
      <c r="I481" s="222"/>
      <c r="J481" s="63"/>
      <c r="K481" s="226">
        <v>0.15</v>
      </c>
      <c r="L481" s="227"/>
      <c r="M481" s="226"/>
      <c r="N481" s="227"/>
      <c r="O481" s="226">
        <v>0.3</v>
      </c>
      <c r="P481" s="227"/>
      <c r="Q481" s="226"/>
      <c r="R481" s="227"/>
      <c r="S481" s="226">
        <v>4.9000000000000004</v>
      </c>
      <c r="T481" s="227"/>
      <c r="U481" s="226"/>
      <c r="V481" s="227"/>
      <c r="W481" s="223">
        <f t="shared" si="36"/>
        <v>4.4999999999999998E-2</v>
      </c>
      <c r="X481" s="224"/>
      <c r="Y481" s="225"/>
      <c r="Z481" s="203">
        <f t="shared" si="37"/>
        <v>0.2205</v>
      </c>
      <c r="AA481" s="204"/>
      <c r="AB481" s="205"/>
      <c r="AC481" s="51"/>
      <c r="AD481" s="52"/>
      <c r="AE481" s="53"/>
      <c r="AF481" s="51"/>
      <c r="AG481" s="52"/>
      <c r="AH481" s="54"/>
    </row>
    <row r="482" spans="1:34" ht="15.75" x14ac:dyDescent="0.25">
      <c r="A482" s="197"/>
      <c r="B482" s="198"/>
      <c r="C482" s="199"/>
      <c r="D482" s="220" t="s">
        <v>750</v>
      </c>
      <c r="E482" s="221"/>
      <c r="F482" s="221"/>
      <c r="G482" s="221"/>
      <c r="H482" s="221"/>
      <c r="I482" s="222"/>
      <c r="J482" s="63"/>
      <c r="K482" s="226">
        <v>0.15</v>
      </c>
      <c r="L482" s="227"/>
      <c r="M482" s="226"/>
      <c r="N482" s="227"/>
      <c r="O482" s="226">
        <v>0.3</v>
      </c>
      <c r="P482" s="227"/>
      <c r="Q482" s="226"/>
      <c r="R482" s="227"/>
      <c r="S482" s="226">
        <v>4.9000000000000004</v>
      </c>
      <c r="T482" s="227"/>
      <c r="U482" s="226"/>
      <c r="V482" s="227"/>
      <c r="W482" s="223">
        <f t="shared" si="36"/>
        <v>4.4999999999999998E-2</v>
      </c>
      <c r="X482" s="224"/>
      <c r="Y482" s="225"/>
      <c r="Z482" s="203">
        <f t="shared" si="37"/>
        <v>0.2205</v>
      </c>
      <c r="AA482" s="204"/>
      <c r="AB482" s="205"/>
      <c r="AC482" s="51"/>
      <c r="AD482" s="52"/>
      <c r="AE482" s="53"/>
      <c r="AF482" s="51"/>
      <c r="AG482" s="52"/>
      <c r="AH482" s="54"/>
    </row>
    <row r="483" spans="1:34" ht="15.75" x14ac:dyDescent="0.25">
      <c r="A483" s="197"/>
      <c r="B483" s="198"/>
      <c r="C483" s="199"/>
      <c r="D483" s="220" t="s">
        <v>751</v>
      </c>
      <c r="E483" s="221"/>
      <c r="F483" s="221"/>
      <c r="G483" s="221"/>
      <c r="H483" s="221"/>
      <c r="I483" s="222"/>
      <c r="J483" s="63"/>
      <c r="K483" s="226">
        <v>0.15</v>
      </c>
      <c r="L483" s="227"/>
      <c r="M483" s="226"/>
      <c r="N483" s="227"/>
      <c r="O483" s="226">
        <v>0.3</v>
      </c>
      <c r="P483" s="227"/>
      <c r="Q483" s="226"/>
      <c r="R483" s="227"/>
      <c r="S483" s="226">
        <v>4.9000000000000004</v>
      </c>
      <c r="T483" s="227"/>
      <c r="U483" s="202"/>
      <c r="V483" s="199"/>
      <c r="W483" s="223">
        <f t="shared" si="36"/>
        <v>4.4999999999999998E-2</v>
      </c>
      <c r="X483" s="224"/>
      <c r="Y483" s="225"/>
      <c r="Z483" s="203">
        <f t="shared" si="37"/>
        <v>0.2205</v>
      </c>
      <c r="AA483" s="204"/>
      <c r="AB483" s="205"/>
      <c r="AC483" s="51"/>
      <c r="AD483" s="52"/>
      <c r="AE483" s="53"/>
      <c r="AF483" s="51"/>
      <c r="AG483" s="52"/>
      <c r="AH483" s="54"/>
    </row>
    <row r="484" spans="1:34" ht="15.75" x14ac:dyDescent="0.25">
      <c r="A484" s="197"/>
      <c r="B484" s="198"/>
      <c r="C484" s="199"/>
      <c r="D484" s="220" t="s">
        <v>752</v>
      </c>
      <c r="E484" s="221"/>
      <c r="F484" s="221"/>
      <c r="G484" s="221"/>
      <c r="H484" s="221"/>
      <c r="I484" s="222"/>
      <c r="J484" s="63"/>
      <c r="K484" s="226">
        <v>0.15</v>
      </c>
      <c r="L484" s="227"/>
      <c r="M484" s="226"/>
      <c r="N484" s="227"/>
      <c r="O484" s="226">
        <v>0.3</v>
      </c>
      <c r="P484" s="227"/>
      <c r="Q484" s="226"/>
      <c r="R484" s="227"/>
      <c r="S484" s="226">
        <v>4.9000000000000004</v>
      </c>
      <c r="T484" s="227"/>
      <c r="U484" s="226"/>
      <c r="V484" s="227"/>
      <c r="W484" s="223">
        <f t="shared" si="36"/>
        <v>4.4999999999999998E-2</v>
      </c>
      <c r="X484" s="224"/>
      <c r="Y484" s="225"/>
      <c r="Z484" s="203">
        <f t="shared" si="37"/>
        <v>0.2205</v>
      </c>
      <c r="AA484" s="204"/>
      <c r="AB484" s="205"/>
      <c r="AC484" s="51"/>
      <c r="AD484" s="52"/>
      <c r="AE484" s="53"/>
      <c r="AF484" s="51"/>
      <c r="AG484" s="52"/>
      <c r="AH484" s="54"/>
    </row>
    <row r="485" spans="1:34" ht="15.75" x14ac:dyDescent="0.25">
      <c r="A485" s="197"/>
      <c r="B485" s="198"/>
      <c r="C485" s="199"/>
      <c r="D485" s="220" t="s">
        <v>753</v>
      </c>
      <c r="E485" s="221"/>
      <c r="F485" s="221"/>
      <c r="G485" s="221"/>
      <c r="H485" s="221"/>
      <c r="I485" s="222"/>
      <c r="J485" s="63"/>
      <c r="K485" s="226">
        <v>0.15</v>
      </c>
      <c r="L485" s="227"/>
      <c r="M485" s="226"/>
      <c r="N485" s="227"/>
      <c r="O485" s="226">
        <v>0.3</v>
      </c>
      <c r="P485" s="227"/>
      <c r="Q485" s="226"/>
      <c r="R485" s="227"/>
      <c r="S485" s="226">
        <v>4.9000000000000004</v>
      </c>
      <c r="T485" s="227"/>
      <c r="U485" s="226"/>
      <c r="V485" s="227"/>
      <c r="W485" s="223">
        <f t="shared" si="36"/>
        <v>4.4999999999999998E-2</v>
      </c>
      <c r="X485" s="224"/>
      <c r="Y485" s="225"/>
      <c r="Z485" s="203">
        <f t="shared" si="37"/>
        <v>0.2205</v>
      </c>
      <c r="AA485" s="204"/>
      <c r="AB485" s="205"/>
      <c r="AC485" s="51"/>
      <c r="AD485" s="52"/>
      <c r="AE485" s="53"/>
      <c r="AF485" s="51"/>
      <c r="AG485" s="52"/>
      <c r="AH485" s="54"/>
    </row>
    <row r="486" spans="1:34" ht="15.75" x14ac:dyDescent="0.25">
      <c r="A486" s="197"/>
      <c r="B486" s="198"/>
      <c r="C486" s="199"/>
      <c r="D486" s="220" t="s">
        <v>754</v>
      </c>
      <c r="E486" s="221"/>
      <c r="F486" s="221"/>
      <c r="G486" s="221"/>
      <c r="H486" s="221"/>
      <c r="I486" s="222"/>
      <c r="J486" s="63"/>
      <c r="K486" s="226">
        <v>0.2</v>
      </c>
      <c r="L486" s="227"/>
      <c r="M486" s="226"/>
      <c r="N486" s="227"/>
      <c r="O486" s="226">
        <v>0.3</v>
      </c>
      <c r="P486" s="227"/>
      <c r="Q486" s="226"/>
      <c r="R486" s="227"/>
      <c r="S486" s="226">
        <v>4.9000000000000004</v>
      </c>
      <c r="T486" s="227"/>
      <c r="U486" s="226"/>
      <c r="V486" s="227"/>
      <c r="W486" s="223">
        <f t="shared" si="36"/>
        <v>0.06</v>
      </c>
      <c r="X486" s="224"/>
      <c r="Y486" s="225"/>
      <c r="Z486" s="203">
        <f t="shared" si="37"/>
        <v>0.29399999999999998</v>
      </c>
      <c r="AA486" s="204"/>
      <c r="AB486" s="205"/>
      <c r="AC486" s="51"/>
      <c r="AD486" s="52"/>
      <c r="AE486" s="53"/>
      <c r="AF486" s="51"/>
      <c r="AG486" s="52"/>
      <c r="AH486" s="54"/>
    </row>
    <row r="487" spans="1:34" ht="15.75" x14ac:dyDescent="0.25">
      <c r="A487" s="197"/>
      <c r="B487" s="198"/>
      <c r="C487" s="199"/>
      <c r="D487" s="220" t="s">
        <v>755</v>
      </c>
      <c r="E487" s="221"/>
      <c r="F487" s="221"/>
      <c r="G487" s="221"/>
      <c r="H487" s="221"/>
      <c r="I487" s="222"/>
      <c r="J487" s="63"/>
      <c r="K487" s="226">
        <v>0.2</v>
      </c>
      <c r="L487" s="227"/>
      <c r="M487" s="226"/>
      <c r="N487" s="227"/>
      <c r="O487" s="226">
        <v>0.3</v>
      </c>
      <c r="P487" s="227"/>
      <c r="Q487" s="226"/>
      <c r="R487" s="227"/>
      <c r="S487" s="226">
        <v>4.9000000000000004</v>
      </c>
      <c r="T487" s="227"/>
      <c r="U487" s="226"/>
      <c r="V487" s="227"/>
      <c r="W487" s="223">
        <f t="shared" si="36"/>
        <v>0.06</v>
      </c>
      <c r="X487" s="224"/>
      <c r="Y487" s="225"/>
      <c r="Z487" s="203">
        <f t="shared" si="37"/>
        <v>0.29399999999999998</v>
      </c>
      <c r="AA487" s="204"/>
      <c r="AB487" s="205"/>
      <c r="AC487" s="51"/>
      <c r="AD487" s="52"/>
      <c r="AE487" s="53"/>
      <c r="AF487" s="51"/>
      <c r="AG487" s="52"/>
      <c r="AH487" s="54"/>
    </row>
    <row r="488" spans="1:34" ht="15.75" x14ac:dyDescent="0.25">
      <c r="A488" s="197"/>
      <c r="B488" s="198"/>
      <c r="C488" s="199"/>
      <c r="D488" s="220" t="s">
        <v>756</v>
      </c>
      <c r="E488" s="221"/>
      <c r="F488" s="221"/>
      <c r="G488" s="221"/>
      <c r="H488" s="221"/>
      <c r="I488" s="222"/>
      <c r="J488" s="63"/>
      <c r="K488" s="226">
        <v>0.15</v>
      </c>
      <c r="L488" s="227"/>
      <c r="M488" s="226"/>
      <c r="N488" s="227"/>
      <c r="O488" s="226">
        <v>0.3</v>
      </c>
      <c r="P488" s="227"/>
      <c r="Q488" s="226"/>
      <c r="R488" s="227"/>
      <c r="S488" s="226">
        <v>4.9000000000000004</v>
      </c>
      <c r="T488" s="227"/>
      <c r="U488" s="226"/>
      <c r="V488" s="227"/>
      <c r="W488" s="223">
        <f t="shared" si="36"/>
        <v>4.4999999999999998E-2</v>
      </c>
      <c r="X488" s="224"/>
      <c r="Y488" s="225"/>
      <c r="Z488" s="203">
        <f t="shared" si="37"/>
        <v>0.2205</v>
      </c>
      <c r="AA488" s="204"/>
      <c r="AB488" s="205"/>
      <c r="AC488" s="51"/>
      <c r="AD488" s="52"/>
      <c r="AE488" s="53"/>
      <c r="AF488" s="51"/>
      <c r="AG488" s="52"/>
      <c r="AH488" s="54"/>
    </row>
    <row r="489" spans="1:34" ht="15.75" x14ac:dyDescent="0.25">
      <c r="A489" s="197"/>
      <c r="B489" s="198"/>
      <c r="C489" s="199"/>
      <c r="D489" s="220" t="s">
        <v>757</v>
      </c>
      <c r="E489" s="221"/>
      <c r="F489" s="221"/>
      <c r="G489" s="221"/>
      <c r="H489" s="221"/>
      <c r="I489" s="222"/>
      <c r="J489" s="63"/>
      <c r="K489" s="226">
        <v>0.15</v>
      </c>
      <c r="L489" s="227"/>
      <c r="M489" s="226"/>
      <c r="N489" s="227"/>
      <c r="O489" s="226">
        <v>0.3</v>
      </c>
      <c r="P489" s="227"/>
      <c r="Q489" s="226"/>
      <c r="R489" s="227"/>
      <c r="S489" s="226">
        <v>4.9000000000000004</v>
      </c>
      <c r="T489" s="227"/>
      <c r="U489" s="226"/>
      <c r="V489" s="227"/>
      <c r="W489" s="223">
        <f t="shared" si="36"/>
        <v>4.4999999999999998E-2</v>
      </c>
      <c r="X489" s="224"/>
      <c r="Y489" s="225"/>
      <c r="Z489" s="203">
        <f t="shared" si="37"/>
        <v>0.2205</v>
      </c>
      <c r="AA489" s="204"/>
      <c r="AB489" s="205"/>
      <c r="AC489" s="51"/>
      <c r="AD489" s="52"/>
      <c r="AE489" s="53"/>
      <c r="AF489" s="51"/>
      <c r="AG489" s="52"/>
      <c r="AH489" s="54"/>
    </row>
    <row r="490" spans="1:34" ht="15.75" x14ac:dyDescent="0.25">
      <c r="A490" s="197"/>
      <c r="B490" s="198"/>
      <c r="C490" s="199"/>
      <c r="D490" s="220" t="s">
        <v>758</v>
      </c>
      <c r="E490" s="221"/>
      <c r="F490" s="221"/>
      <c r="G490" s="221"/>
      <c r="H490" s="221"/>
      <c r="I490" s="222"/>
      <c r="J490" s="63"/>
      <c r="K490" s="226">
        <v>0.15</v>
      </c>
      <c r="L490" s="227"/>
      <c r="M490" s="226"/>
      <c r="N490" s="227"/>
      <c r="O490" s="226">
        <v>0.3</v>
      </c>
      <c r="P490" s="227"/>
      <c r="Q490" s="226"/>
      <c r="R490" s="227"/>
      <c r="S490" s="226">
        <v>4.9000000000000004</v>
      </c>
      <c r="T490" s="227"/>
      <c r="U490" s="226"/>
      <c r="V490" s="227"/>
      <c r="W490" s="223">
        <f t="shared" si="36"/>
        <v>4.4999999999999998E-2</v>
      </c>
      <c r="X490" s="224"/>
      <c r="Y490" s="225"/>
      <c r="Z490" s="203">
        <f t="shared" si="37"/>
        <v>0.2205</v>
      </c>
      <c r="AA490" s="204"/>
      <c r="AB490" s="205"/>
      <c r="AC490" s="51"/>
      <c r="AD490" s="52"/>
      <c r="AE490" s="53"/>
      <c r="AF490" s="51"/>
      <c r="AG490" s="52"/>
      <c r="AH490" s="54"/>
    </row>
    <row r="491" spans="1:34" ht="15.75" x14ac:dyDescent="0.25">
      <c r="A491" s="197"/>
      <c r="B491" s="198"/>
      <c r="C491" s="199"/>
      <c r="D491" s="220" t="s">
        <v>759</v>
      </c>
      <c r="E491" s="221"/>
      <c r="F491" s="221"/>
      <c r="G491" s="221"/>
      <c r="H491" s="221"/>
      <c r="I491" s="222"/>
      <c r="J491" s="63"/>
      <c r="K491" s="226">
        <v>0.15</v>
      </c>
      <c r="L491" s="227"/>
      <c r="M491" s="226"/>
      <c r="N491" s="227"/>
      <c r="O491" s="226">
        <v>0.3</v>
      </c>
      <c r="P491" s="227"/>
      <c r="Q491" s="226"/>
      <c r="R491" s="227"/>
      <c r="S491" s="226">
        <v>4.9000000000000004</v>
      </c>
      <c r="T491" s="227"/>
      <c r="U491" s="202"/>
      <c r="V491" s="199"/>
      <c r="W491" s="223">
        <f t="shared" si="36"/>
        <v>4.4999999999999998E-2</v>
      </c>
      <c r="X491" s="224"/>
      <c r="Y491" s="225"/>
      <c r="Z491" s="203">
        <f t="shared" si="37"/>
        <v>0.2205</v>
      </c>
      <c r="AA491" s="204"/>
      <c r="AB491" s="205"/>
      <c r="AC491" s="51"/>
      <c r="AD491" s="52"/>
      <c r="AE491" s="53"/>
      <c r="AF491" s="51"/>
      <c r="AG491" s="52"/>
      <c r="AH491" s="54"/>
    </row>
  </sheetData>
  <protectedRanges>
    <protectedRange sqref="AB9:AC15 AC16:AC108 AB109:AC109 AC110:AC202 AB203:AC203 AC204:AC209 AB210:AC210 AC211:AC303 AB304:AC304 AC305:AC397 AB398:AC398 AC399:AC491" name="Intervalo1_1"/>
  </protectedRanges>
  <mergeCells count="4747">
    <mergeCell ref="W491:Y491"/>
    <mergeCell ref="Z491:AB491"/>
    <mergeCell ref="W490:Y490"/>
    <mergeCell ref="Z490:AB490"/>
    <mergeCell ref="A491:C491"/>
    <mergeCell ref="D491:I491"/>
    <mergeCell ref="K491:L491"/>
    <mergeCell ref="M491:N491"/>
    <mergeCell ref="O491:P491"/>
    <mergeCell ref="Q491:R491"/>
    <mergeCell ref="S491:T491"/>
    <mergeCell ref="U491:V491"/>
    <mergeCell ref="W489:Y489"/>
    <mergeCell ref="Z489:AB489"/>
    <mergeCell ref="A490:C490"/>
    <mergeCell ref="D490:I490"/>
    <mergeCell ref="K490:L490"/>
    <mergeCell ref="M490:N490"/>
    <mergeCell ref="O490:P490"/>
    <mergeCell ref="Q490:R490"/>
    <mergeCell ref="S490:T490"/>
    <mergeCell ref="U490:V490"/>
    <mergeCell ref="W488:Y488"/>
    <mergeCell ref="Z488:AB488"/>
    <mergeCell ref="A489:C489"/>
    <mergeCell ref="D489:I489"/>
    <mergeCell ref="K489:L489"/>
    <mergeCell ref="M489:N489"/>
    <mergeCell ref="O489:P489"/>
    <mergeCell ref="Q489:R489"/>
    <mergeCell ref="S489:T489"/>
    <mergeCell ref="U489:V489"/>
    <mergeCell ref="W487:Y487"/>
    <mergeCell ref="Z487:AB487"/>
    <mergeCell ref="A488:C488"/>
    <mergeCell ref="D488:I488"/>
    <mergeCell ref="K488:L488"/>
    <mergeCell ref="M488:N488"/>
    <mergeCell ref="O488:P488"/>
    <mergeCell ref="Q488:R488"/>
    <mergeCell ref="S488:T488"/>
    <mergeCell ref="U488:V488"/>
    <mergeCell ref="W486:Y486"/>
    <mergeCell ref="Z486:AB486"/>
    <mergeCell ref="A487:C487"/>
    <mergeCell ref="D487:I487"/>
    <mergeCell ref="K487:L487"/>
    <mergeCell ref="M487:N487"/>
    <mergeCell ref="O487:P487"/>
    <mergeCell ref="Q487:R487"/>
    <mergeCell ref="S487:T487"/>
    <mergeCell ref="U487:V487"/>
    <mergeCell ref="W485:Y485"/>
    <mergeCell ref="Z485:AB485"/>
    <mergeCell ref="A486:C486"/>
    <mergeCell ref="D486:I486"/>
    <mergeCell ref="K486:L486"/>
    <mergeCell ref="M486:N486"/>
    <mergeCell ref="O486:P486"/>
    <mergeCell ref="Q486:R486"/>
    <mergeCell ref="S486:T486"/>
    <mergeCell ref="U486:V486"/>
    <mergeCell ref="W484:Y484"/>
    <mergeCell ref="Z484:AB484"/>
    <mergeCell ref="A485:C485"/>
    <mergeCell ref="D485:I485"/>
    <mergeCell ref="K485:L485"/>
    <mergeCell ref="M485:N485"/>
    <mergeCell ref="O485:P485"/>
    <mergeCell ref="Q485:R485"/>
    <mergeCell ref="S485:T485"/>
    <mergeCell ref="U485:V485"/>
    <mergeCell ref="W483:Y483"/>
    <mergeCell ref="Z483:AB483"/>
    <mergeCell ref="A484:C484"/>
    <mergeCell ref="D484:I484"/>
    <mergeCell ref="K484:L484"/>
    <mergeCell ref="M484:N484"/>
    <mergeCell ref="O484:P484"/>
    <mergeCell ref="Q484:R484"/>
    <mergeCell ref="S484:T484"/>
    <mergeCell ref="U484:V484"/>
    <mergeCell ref="W482:Y482"/>
    <mergeCell ref="Z482:AB482"/>
    <mergeCell ref="A483:C483"/>
    <mergeCell ref="D483:I483"/>
    <mergeCell ref="K483:L483"/>
    <mergeCell ref="M483:N483"/>
    <mergeCell ref="O483:P483"/>
    <mergeCell ref="Q483:R483"/>
    <mergeCell ref="S483:T483"/>
    <mergeCell ref="U483:V483"/>
    <mergeCell ref="W481:Y481"/>
    <mergeCell ref="Z481:AB481"/>
    <mergeCell ref="A482:C482"/>
    <mergeCell ref="D482:I482"/>
    <mergeCell ref="K482:L482"/>
    <mergeCell ref="M482:N482"/>
    <mergeCell ref="O482:P482"/>
    <mergeCell ref="Q482:R482"/>
    <mergeCell ref="S482:T482"/>
    <mergeCell ref="U482:V482"/>
    <mergeCell ref="W480:Y480"/>
    <mergeCell ref="Z480:AB480"/>
    <mergeCell ref="A481:C481"/>
    <mergeCell ref="D481:I481"/>
    <mergeCell ref="K481:L481"/>
    <mergeCell ref="M481:N481"/>
    <mergeCell ref="O481:P481"/>
    <mergeCell ref="Q481:R481"/>
    <mergeCell ref="S481:T481"/>
    <mergeCell ref="U481:V481"/>
    <mergeCell ref="W479:Y479"/>
    <mergeCell ref="Z479:AB479"/>
    <mergeCell ref="A480:C480"/>
    <mergeCell ref="D480:I480"/>
    <mergeCell ref="K480:L480"/>
    <mergeCell ref="M480:N480"/>
    <mergeCell ref="O480:P480"/>
    <mergeCell ref="Q480:R480"/>
    <mergeCell ref="S480:T480"/>
    <mergeCell ref="U480:V480"/>
    <mergeCell ref="W478:Y478"/>
    <mergeCell ref="Z478:AB478"/>
    <mergeCell ref="A479:C479"/>
    <mergeCell ref="D479:I479"/>
    <mergeCell ref="K479:L479"/>
    <mergeCell ref="M479:N479"/>
    <mergeCell ref="O479:P479"/>
    <mergeCell ref="Q479:R479"/>
    <mergeCell ref="S479:T479"/>
    <mergeCell ref="U479:V479"/>
    <mergeCell ref="W477:Y477"/>
    <mergeCell ref="Z477:AB477"/>
    <mergeCell ref="A478:C478"/>
    <mergeCell ref="D478:I478"/>
    <mergeCell ref="K478:L478"/>
    <mergeCell ref="M478:N478"/>
    <mergeCell ref="O478:P478"/>
    <mergeCell ref="Q478:R478"/>
    <mergeCell ref="S478:T478"/>
    <mergeCell ref="U478:V478"/>
    <mergeCell ref="W476:Y476"/>
    <mergeCell ref="Z476:AB476"/>
    <mergeCell ref="A477:C477"/>
    <mergeCell ref="D477:I477"/>
    <mergeCell ref="K477:L477"/>
    <mergeCell ref="M477:N477"/>
    <mergeCell ref="O477:P477"/>
    <mergeCell ref="Q477:R477"/>
    <mergeCell ref="S477:T477"/>
    <mergeCell ref="U477:V477"/>
    <mergeCell ref="W475:Y475"/>
    <mergeCell ref="Z475:AB475"/>
    <mergeCell ref="A476:C476"/>
    <mergeCell ref="D476:I476"/>
    <mergeCell ref="K476:L476"/>
    <mergeCell ref="M476:N476"/>
    <mergeCell ref="O476:P476"/>
    <mergeCell ref="Q476:R476"/>
    <mergeCell ref="S476:T476"/>
    <mergeCell ref="U476:V476"/>
    <mergeCell ref="W474:Y474"/>
    <mergeCell ref="Z474:AB474"/>
    <mergeCell ref="A475:C475"/>
    <mergeCell ref="D475:I475"/>
    <mergeCell ref="K475:L475"/>
    <mergeCell ref="M475:N475"/>
    <mergeCell ref="O475:P475"/>
    <mergeCell ref="Q475:R475"/>
    <mergeCell ref="S475:T475"/>
    <mergeCell ref="U475:V475"/>
    <mergeCell ref="W473:Y473"/>
    <mergeCell ref="Z473:AB473"/>
    <mergeCell ref="A474:C474"/>
    <mergeCell ref="D474:I474"/>
    <mergeCell ref="K474:L474"/>
    <mergeCell ref="M474:N474"/>
    <mergeCell ref="O474:P474"/>
    <mergeCell ref="Q474:R474"/>
    <mergeCell ref="S474:T474"/>
    <mergeCell ref="U474:V474"/>
    <mergeCell ref="W472:Y472"/>
    <mergeCell ref="Z472:AB472"/>
    <mergeCell ref="A473:C473"/>
    <mergeCell ref="D473:I473"/>
    <mergeCell ref="K473:L473"/>
    <mergeCell ref="M473:N473"/>
    <mergeCell ref="O473:P473"/>
    <mergeCell ref="Q473:R473"/>
    <mergeCell ref="S473:T473"/>
    <mergeCell ref="U473:V473"/>
    <mergeCell ref="W471:Y471"/>
    <mergeCell ref="Z471:AB471"/>
    <mergeCell ref="A472:C472"/>
    <mergeCell ref="D472:I472"/>
    <mergeCell ref="K472:L472"/>
    <mergeCell ref="M472:N472"/>
    <mergeCell ref="O472:P472"/>
    <mergeCell ref="Q472:R472"/>
    <mergeCell ref="S472:T472"/>
    <mergeCell ref="U472:V472"/>
    <mergeCell ref="W470:Y470"/>
    <mergeCell ref="Z470:AB470"/>
    <mergeCell ref="A471:C471"/>
    <mergeCell ref="D471:I471"/>
    <mergeCell ref="K471:L471"/>
    <mergeCell ref="M471:N471"/>
    <mergeCell ref="O471:P471"/>
    <mergeCell ref="Q471:R471"/>
    <mergeCell ref="S471:T471"/>
    <mergeCell ref="U471:V471"/>
    <mergeCell ref="W469:Y469"/>
    <mergeCell ref="Z469:AB469"/>
    <mergeCell ref="A470:C470"/>
    <mergeCell ref="D470:I470"/>
    <mergeCell ref="K470:L470"/>
    <mergeCell ref="M470:N470"/>
    <mergeCell ref="O470:P470"/>
    <mergeCell ref="Q470:R470"/>
    <mergeCell ref="S470:T470"/>
    <mergeCell ref="U470:V470"/>
    <mergeCell ref="W468:Y468"/>
    <mergeCell ref="Z468:AB468"/>
    <mergeCell ref="A469:C469"/>
    <mergeCell ref="D469:I469"/>
    <mergeCell ref="K469:L469"/>
    <mergeCell ref="M469:N469"/>
    <mergeCell ref="O469:P469"/>
    <mergeCell ref="Q469:R469"/>
    <mergeCell ref="S469:T469"/>
    <mergeCell ref="U469:V469"/>
    <mergeCell ref="W467:Y467"/>
    <mergeCell ref="Z467:AB467"/>
    <mergeCell ref="A468:C468"/>
    <mergeCell ref="D468:I468"/>
    <mergeCell ref="K468:L468"/>
    <mergeCell ref="M468:N468"/>
    <mergeCell ref="O468:P468"/>
    <mergeCell ref="Q468:R468"/>
    <mergeCell ref="S468:T468"/>
    <mergeCell ref="U468:V468"/>
    <mergeCell ref="W466:Y466"/>
    <mergeCell ref="Z466:AB466"/>
    <mergeCell ref="A467:C467"/>
    <mergeCell ref="D467:I467"/>
    <mergeCell ref="K467:L467"/>
    <mergeCell ref="M467:N467"/>
    <mergeCell ref="O467:P467"/>
    <mergeCell ref="Q467:R467"/>
    <mergeCell ref="S467:T467"/>
    <mergeCell ref="U467:V467"/>
    <mergeCell ref="W465:Y465"/>
    <mergeCell ref="Z465:AB465"/>
    <mergeCell ref="A466:C466"/>
    <mergeCell ref="D466:I466"/>
    <mergeCell ref="K466:L466"/>
    <mergeCell ref="M466:N466"/>
    <mergeCell ref="O466:P466"/>
    <mergeCell ref="Q466:R466"/>
    <mergeCell ref="S466:T466"/>
    <mergeCell ref="U466:V466"/>
    <mergeCell ref="W464:Y464"/>
    <mergeCell ref="Z464:AB464"/>
    <mergeCell ref="A465:C465"/>
    <mergeCell ref="D465:I465"/>
    <mergeCell ref="K465:L465"/>
    <mergeCell ref="M465:N465"/>
    <mergeCell ref="O465:P465"/>
    <mergeCell ref="Q465:R465"/>
    <mergeCell ref="S465:T465"/>
    <mergeCell ref="U465:V465"/>
    <mergeCell ref="W463:Y463"/>
    <mergeCell ref="Z463:AB463"/>
    <mergeCell ref="A464:C464"/>
    <mergeCell ref="D464:I464"/>
    <mergeCell ref="K464:L464"/>
    <mergeCell ref="M464:N464"/>
    <mergeCell ref="O464:P464"/>
    <mergeCell ref="Q464:R464"/>
    <mergeCell ref="S464:T464"/>
    <mergeCell ref="U464:V464"/>
    <mergeCell ref="W462:Y462"/>
    <mergeCell ref="Z462:AB462"/>
    <mergeCell ref="A463:C463"/>
    <mergeCell ref="D463:I463"/>
    <mergeCell ref="K463:L463"/>
    <mergeCell ref="M463:N463"/>
    <mergeCell ref="O463:P463"/>
    <mergeCell ref="Q463:R463"/>
    <mergeCell ref="S463:T463"/>
    <mergeCell ref="U463:V463"/>
    <mergeCell ref="W461:Y461"/>
    <mergeCell ref="Z461:AB461"/>
    <mergeCell ref="A462:C462"/>
    <mergeCell ref="D462:I462"/>
    <mergeCell ref="K462:L462"/>
    <mergeCell ref="M462:N462"/>
    <mergeCell ref="O462:P462"/>
    <mergeCell ref="Q462:R462"/>
    <mergeCell ref="S462:T462"/>
    <mergeCell ref="U462:V462"/>
    <mergeCell ref="W460:Y460"/>
    <mergeCell ref="Z460:AB460"/>
    <mergeCell ref="A461:C461"/>
    <mergeCell ref="D461:I461"/>
    <mergeCell ref="K461:L461"/>
    <mergeCell ref="M461:N461"/>
    <mergeCell ref="O461:P461"/>
    <mergeCell ref="Q461:R461"/>
    <mergeCell ref="S461:T461"/>
    <mergeCell ref="U461:V461"/>
    <mergeCell ref="W459:Y459"/>
    <mergeCell ref="Z459:AB459"/>
    <mergeCell ref="A460:C460"/>
    <mergeCell ref="D460:I460"/>
    <mergeCell ref="K460:L460"/>
    <mergeCell ref="M460:N460"/>
    <mergeCell ref="O460:P460"/>
    <mergeCell ref="Q460:R460"/>
    <mergeCell ref="S460:T460"/>
    <mergeCell ref="U460:V460"/>
    <mergeCell ref="W458:Y458"/>
    <mergeCell ref="Z458:AB458"/>
    <mergeCell ref="A459:C459"/>
    <mergeCell ref="D459:I459"/>
    <mergeCell ref="K459:L459"/>
    <mergeCell ref="M459:N459"/>
    <mergeCell ref="O459:P459"/>
    <mergeCell ref="Q459:R459"/>
    <mergeCell ref="S459:T459"/>
    <mergeCell ref="U459:V459"/>
    <mergeCell ref="W457:Y457"/>
    <mergeCell ref="Z457:AB457"/>
    <mergeCell ref="A458:C458"/>
    <mergeCell ref="D458:I458"/>
    <mergeCell ref="K458:L458"/>
    <mergeCell ref="M458:N458"/>
    <mergeCell ref="O458:P458"/>
    <mergeCell ref="Q458:R458"/>
    <mergeCell ref="S458:T458"/>
    <mergeCell ref="U458:V458"/>
    <mergeCell ref="W456:Y456"/>
    <mergeCell ref="Z456:AB456"/>
    <mergeCell ref="A457:C457"/>
    <mergeCell ref="D457:I457"/>
    <mergeCell ref="K457:L457"/>
    <mergeCell ref="M457:N457"/>
    <mergeCell ref="O457:P457"/>
    <mergeCell ref="Q457:R457"/>
    <mergeCell ref="S457:T457"/>
    <mergeCell ref="U457:V457"/>
    <mergeCell ref="W455:Y455"/>
    <mergeCell ref="Z455:AB455"/>
    <mergeCell ref="A456:C456"/>
    <mergeCell ref="D456:I456"/>
    <mergeCell ref="K456:L456"/>
    <mergeCell ref="M456:N456"/>
    <mergeCell ref="O456:P456"/>
    <mergeCell ref="Q456:R456"/>
    <mergeCell ref="S456:T456"/>
    <mergeCell ref="U456:V456"/>
    <mergeCell ref="W454:Y454"/>
    <mergeCell ref="Z454:AB454"/>
    <mergeCell ref="A455:C455"/>
    <mergeCell ref="D455:I455"/>
    <mergeCell ref="K455:L455"/>
    <mergeCell ref="M455:N455"/>
    <mergeCell ref="O455:P455"/>
    <mergeCell ref="Q455:R455"/>
    <mergeCell ref="S455:T455"/>
    <mergeCell ref="U455:V455"/>
    <mergeCell ref="W453:Y453"/>
    <mergeCell ref="Z453:AB453"/>
    <mergeCell ref="A454:C454"/>
    <mergeCell ref="D454:I454"/>
    <mergeCell ref="K454:L454"/>
    <mergeCell ref="M454:N454"/>
    <mergeCell ref="O454:P454"/>
    <mergeCell ref="Q454:R454"/>
    <mergeCell ref="S454:T454"/>
    <mergeCell ref="U454:V454"/>
    <mergeCell ref="W452:Y452"/>
    <mergeCell ref="Z452:AB452"/>
    <mergeCell ref="A453:C453"/>
    <mergeCell ref="D453:I453"/>
    <mergeCell ref="K453:L453"/>
    <mergeCell ref="M453:N453"/>
    <mergeCell ref="O453:P453"/>
    <mergeCell ref="Q453:R453"/>
    <mergeCell ref="S453:T453"/>
    <mergeCell ref="U453:V453"/>
    <mergeCell ref="W451:Y451"/>
    <mergeCell ref="Z451:AB451"/>
    <mergeCell ref="A452:C452"/>
    <mergeCell ref="D452:I452"/>
    <mergeCell ref="K452:L452"/>
    <mergeCell ref="M452:N452"/>
    <mergeCell ref="O452:P452"/>
    <mergeCell ref="Q452:R452"/>
    <mergeCell ref="S452:T452"/>
    <mergeCell ref="U452:V452"/>
    <mergeCell ref="W450:Y450"/>
    <mergeCell ref="Z450:AB450"/>
    <mergeCell ref="A451:C451"/>
    <mergeCell ref="D451:I451"/>
    <mergeCell ref="K451:L451"/>
    <mergeCell ref="M451:N451"/>
    <mergeCell ref="O451:P451"/>
    <mergeCell ref="Q451:R451"/>
    <mergeCell ref="S451:T451"/>
    <mergeCell ref="U451:V451"/>
    <mergeCell ref="W449:Y449"/>
    <mergeCell ref="Z449:AB449"/>
    <mergeCell ref="A450:C450"/>
    <mergeCell ref="D450:I450"/>
    <mergeCell ref="K450:L450"/>
    <mergeCell ref="M450:N450"/>
    <mergeCell ref="O450:P450"/>
    <mergeCell ref="Q450:R450"/>
    <mergeCell ref="S450:T450"/>
    <mergeCell ref="U450:V450"/>
    <mergeCell ref="W448:Y448"/>
    <mergeCell ref="Z448:AB448"/>
    <mergeCell ref="A449:C449"/>
    <mergeCell ref="D449:I449"/>
    <mergeCell ref="K449:L449"/>
    <mergeCell ref="M449:N449"/>
    <mergeCell ref="O449:P449"/>
    <mergeCell ref="Q449:R449"/>
    <mergeCell ref="S449:T449"/>
    <mergeCell ref="U449:V449"/>
    <mergeCell ref="W447:Y447"/>
    <mergeCell ref="Z447:AB447"/>
    <mergeCell ref="A448:C448"/>
    <mergeCell ref="D448:I448"/>
    <mergeCell ref="K448:L448"/>
    <mergeCell ref="M448:N448"/>
    <mergeCell ref="O448:P448"/>
    <mergeCell ref="Q448:R448"/>
    <mergeCell ref="S448:T448"/>
    <mergeCell ref="U448:V448"/>
    <mergeCell ref="W446:Y446"/>
    <mergeCell ref="Z446:AB446"/>
    <mergeCell ref="A447:C447"/>
    <mergeCell ref="D447:I447"/>
    <mergeCell ref="K447:L447"/>
    <mergeCell ref="M447:N447"/>
    <mergeCell ref="O447:P447"/>
    <mergeCell ref="Q447:R447"/>
    <mergeCell ref="S447:T447"/>
    <mergeCell ref="U447:V447"/>
    <mergeCell ref="W445:Y445"/>
    <mergeCell ref="Z445:AB445"/>
    <mergeCell ref="A446:C446"/>
    <mergeCell ref="D446:I446"/>
    <mergeCell ref="K446:L446"/>
    <mergeCell ref="M446:N446"/>
    <mergeCell ref="O446:P446"/>
    <mergeCell ref="Q446:R446"/>
    <mergeCell ref="S446:T446"/>
    <mergeCell ref="U446:V446"/>
    <mergeCell ref="W444:Y444"/>
    <mergeCell ref="Z444:AB444"/>
    <mergeCell ref="A445:C445"/>
    <mergeCell ref="D445:I445"/>
    <mergeCell ref="K445:L445"/>
    <mergeCell ref="M445:N445"/>
    <mergeCell ref="O445:P445"/>
    <mergeCell ref="Q445:R445"/>
    <mergeCell ref="S445:T445"/>
    <mergeCell ref="U445:V445"/>
    <mergeCell ref="W443:Y443"/>
    <mergeCell ref="Z443:AB443"/>
    <mergeCell ref="A444:C444"/>
    <mergeCell ref="D444:I444"/>
    <mergeCell ref="K444:L444"/>
    <mergeCell ref="M444:N444"/>
    <mergeCell ref="O444:P444"/>
    <mergeCell ref="Q444:R444"/>
    <mergeCell ref="S444:T444"/>
    <mergeCell ref="U444:V444"/>
    <mergeCell ref="W442:Y442"/>
    <mergeCell ref="Z442:AB442"/>
    <mergeCell ref="A443:C443"/>
    <mergeCell ref="D443:I443"/>
    <mergeCell ref="K443:L443"/>
    <mergeCell ref="M443:N443"/>
    <mergeCell ref="O443:P443"/>
    <mergeCell ref="Q443:R443"/>
    <mergeCell ref="S443:T443"/>
    <mergeCell ref="U443:V443"/>
    <mergeCell ref="W441:Y441"/>
    <mergeCell ref="Z441:AB441"/>
    <mergeCell ref="A442:C442"/>
    <mergeCell ref="D442:I442"/>
    <mergeCell ref="K442:L442"/>
    <mergeCell ref="M442:N442"/>
    <mergeCell ref="O442:P442"/>
    <mergeCell ref="Q442:R442"/>
    <mergeCell ref="S442:T442"/>
    <mergeCell ref="U442:V442"/>
    <mergeCell ref="W440:Y440"/>
    <mergeCell ref="Z440:AB440"/>
    <mergeCell ref="A441:C441"/>
    <mergeCell ref="D441:I441"/>
    <mergeCell ref="K441:L441"/>
    <mergeCell ref="M441:N441"/>
    <mergeCell ref="O441:P441"/>
    <mergeCell ref="Q441:R441"/>
    <mergeCell ref="S441:T441"/>
    <mergeCell ref="U441:V441"/>
    <mergeCell ref="W439:Y439"/>
    <mergeCell ref="Z439:AB439"/>
    <mergeCell ref="A440:C440"/>
    <mergeCell ref="D440:I440"/>
    <mergeCell ref="K440:L440"/>
    <mergeCell ref="M440:N440"/>
    <mergeCell ref="O440:P440"/>
    <mergeCell ref="Q440:R440"/>
    <mergeCell ref="S440:T440"/>
    <mergeCell ref="U440:V440"/>
    <mergeCell ref="W438:Y438"/>
    <mergeCell ref="Z438:AB438"/>
    <mergeCell ref="A439:C439"/>
    <mergeCell ref="D439:I439"/>
    <mergeCell ref="K439:L439"/>
    <mergeCell ref="M439:N439"/>
    <mergeCell ref="O439:P439"/>
    <mergeCell ref="Q439:R439"/>
    <mergeCell ref="S439:T439"/>
    <mergeCell ref="U439:V439"/>
    <mergeCell ref="W437:Y437"/>
    <mergeCell ref="Z437:AB437"/>
    <mergeCell ref="A438:C438"/>
    <mergeCell ref="D438:I438"/>
    <mergeCell ref="K438:L438"/>
    <mergeCell ref="M438:N438"/>
    <mergeCell ref="O438:P438"/>
    <mergeCell ref="Q438:R438"/>
    <mergeCell ref="S438:T438"/>
    <mergeCell ref="U438:V438"/>
    <mergeCell ref="W436:Y436"/>
    <mergeCell ref="Z436:AB436"/>
    <mergeCell ref="A437:C437"/>
    <mergeCell ref="D437:I437"/>
    <mergeCell ref="K437:L437"/>
    <mergeCell ref="M437:N437"/>
    <mergeCell ref="O437:P437"/>
    <mergeCell ref="Q437:R437"/>
    <mergeCell ref="S437:T437"/>
    <mergeCell ref="U437:V437"/>
    <mergeCell ref="W435:Y435"/>
    <mergeCell ref="Z435:AB435"/>
    <mergeCell ref="A436:C436"/>
    <mergeCell ref="D436:I436"/>
    <mergeCell ref="K436:L436"/>
    <mergeCell ref="M436:N436"/>
    <mergeCell ref="O436:P436"/>
    <mergeCell ref="Q436:R436"/>
    <mergeCell ref="S436:T436"/>
    <mergeCell ref="U436:V436"/>
    <mergeCell ref="W434:Y434"/>
    <mergeCell ref="Z434:AB434"/>
    <mergeCell ref="A435:C435"/>
    <mergeCell ref="D435:I435"/>
    <mergeCell ref="K435:L435"/>
    <mergeCell ref="M435:N435"/>
    <mergeCell ref="O435:P435"/>
    <mergeCell ref="Q435:R435"/>
    <mergeCell ref="S435:T435"/>
    <mergeCell ref="U435:V435"/>
    <mergeCell ref="W433:Y433"/>
    <mergeCell ref="Z433:AB433"/>
    <mergeCell ref="A434:C434"/>
    <mergeCell ref="D434:I434"/>
    <mergeCell ref="K434:L434"/>
    <mergeCell ref="M434:N434"/>
    <mergeCell ref="O434:P434"/>
    <mergeCell ref="Q434:R434"/>
    <mergeCell ref="S434:T434"/>
    <mergeCell ref="U434:V434"/>
    <mergeCell ref="W432:Y432"/>
    <mergeCell ref="Z432:AB432"/>
    <mergeCell ref="A433:C433"/>
    <mergeCell ref="D433:I433"/>
    <mergeCell ref="K433:L433"/>
    <mergeCell ref="M433:N433"/>
    <mergeCell ref="O433:P433"/>
    <mergeCell ref="Q433:R433"/>
    <mergeCell ref="S433:T433"/>
    <mergeCell ref="U433:V433"/>
    <mergeCell ref="W431:Y431"/>
    <mergeCell ref="Z431:AB431"/>
    <mergeCell ref="A432:C432"/>
    <mergeCell ref="D432:I432"/>
    <mergeCell ref="K432:L432"/>
    <mergeCell ref="M432:N432"/>
    <mergeCell ref="O432:P432"/>
    <mergeCell ref="Q432:R432"/>
    <mergeCell ref="S432:T432"/>
    <mergeCell ref="U432:V432"/>
    <mergeCell ref="W430:Y430"/>
    <mergeCell ref="Z430:AB430"/>
    <mergeCell ref="A431:C431"/>
    <mergeCell ref="D431:I431"/>
    <mergeCell ref="K431:L431"/>
    <mergeCell ref="M431:N431"/>
    <mergeCell ref="O431:P431"/>
    <mergeCell ref="Q431:R431"/>
    <mergeCell ref="S431:T431"/>
    <mergeCell ref="U431:V431"/>
    <mergeCell ref="W429:Y429"/>
    <mergeCell ref="Z429:AB429"/>
    <mergeCell ref="A430:C430"/>
    <mergeCell ref="D430:I430"/>
    <mergeCell ref="K430:L430"/>
    <mergeCell ref="M430:N430"/>
    <mergeCell ref="O430:P430"/>
    <mergeCell ref="Q430:R430"/>
    <mergeCell ref="S430:T430"/>
    <mergeCell ref="U430:V430"/>
    <mergeCell ref="W428:Y428"/>
    <mergeCell ref="Z428:AB428"/>
    <mergeCell ref="A429:C429"/>
    <mergeCell ref="D429:I429"/>
    <mergeCell ref="K429:L429"/>
    <mergeCell ref="M429:N429"/>
    <mergeCell ref="O429:P429"/>
    <mergeCell ref="Q429:R429"/>
    <mergeCell ref="S429:T429"/>
    <mergeCell ref="U429:V429"/>
    <mergeCell ref="W427:Y427"/>
    <mergeCell ref="Z427:AB427"/>
    <mergeCell ref="A428:C428"/>
    <mergeCell ref="D428:I428"/>
    <mergeCell ref="K428:L428"/>
    <mergeCell ref="M428:N428"/>
    <mergeCell ref="O428:P428"/>
    <mergeCell ref="Q428:R428"/>
    <mergeCell ref="S428:T428"/>
    <mergeCell ref="U428:V428"/>
    <mergeCell ref="W426:Y426"/>
    <mergeCell ref="Z426:AB426"/>
    <mergeCell ref="A427:C427"/>
    <mergeCell ref="D427:I427"/>
    <mergeCell ref="K427:L427"/>
    <mergeCell ref="M427:N427"/>
    <mergeCell ref="O427:P427"/>
    <mergeCell ref="Q427:R427"/>
    <mergeCell ref="S427:T427"/>
    <mergeCell ref="U427:V427"/>
    <mergeCell ref="W425:Y425"/>
    <mergeCell ref="Z425:AB425"/>
    <mergeCell ref="A426:C426"/>
    <mergeCell ref="D426:I426"/>
    <mergeCell ref="K426:L426"/>
    <mergeCell ref="M426:N426"/>
    <mergeCell ref="O426:P426"/>
    <mergeCell ref="Q426:R426"/>
    <mergeCell ref="S426:T426"/>
    <mergeCell ref="U426:V426"/>
    <mergeCell ref="W424:Y424"/>
    <mergeCell ref="Z424:AB424"/>
    <mergeCell ref="A425:C425"/>
    <mergeCell ref="D425:I425"/>
    <mergeCell ref="K425:L425"/>
    <mergeCell ref="M425:N425"/>
    <mergeCell ref="O425:P425"/>
    <mergeCell ref="Q425:R425"/>
    <mergeCell ref="S425:T425"/>
    <mergeCell ref="U425:V425"/>
    <mergeCell ref="W423:Y423"/>
    <mergeCell ref="Z423:AB423"/>
    <mergeCell ref="A424:C424"/>
    <mergeCell ref="D424:I424"/>
    <mergeCell ref="K424:L424"/>
    <mergeCell ref="M424:N424"/>
    <mergeCell ref="O424:P424"/>
    <mergeCell ref="Q424:R424"/>
    <mergeCell ref="S424:T424"/>
    <mergeCell ref="U424:V424"/>
    <mergeCell ref="W422:Y422"/>
    <mergeCell ref="Z422:AB422"/>
    <mergeCell ref="A423:C423"/>
    <mergeCell ref="D423:I423"/>
    <mergeCell ref="K423:L423"/>
    <mergeCell ref="M423:N423"/>
    <mergeCell ref="O423:P423"/>
    <mergeCell ref="Q423:R423"/>
    <mergeCell ref="S423:T423"/>
    <mergeCell ref="U423:V423"/>
    <mergeCell ref="W421:Y421"/>
    <mergeCell ref="Z421:AB421"/>
    <mergeCell ref="A422:C422"/>
    <mergeCell ref="D422:I422"/>
    <mergeCell ref="K422:L422"/>
    <mergeCell ref="M422:N422"/>
    <mergeCell ref="O422:P422"/>
    <mergeCell ref="Q422:R422"/>
    <mergeCell ref="S422:T422"/>
    <mergeCell ref="U422:V422"/>
    <mergeCell ref="W420:Y420"/>
    <mergeCell ref="Z420:AB420"/>
    <mergeCell ref="A421:C421"/>
    <mergeCell ref="D421:I421"/>
    <mergeCell ref="K421:L421"/>
    <mergeCell ref="M421:N421"/>
    <mergeCell ref="O421:P421"/>
    <mergeCell ref="Q421:R421"/>
    <mergeCell ref="S421:T421"/>
    <mergeCell ref="U421:V421"/>
    <mergeCell ref="W419:Y419"/>
    <mergeCell ref="Z419:AB419"/>
    <mergeCell ref="A420:C420"/>
    <mergeCell ref="D420:I420"/>
    <mergeCell ref="K420:L420"/>
    <mergeCell ref="M420:N420"/>
    <mergeCell ref="O420:P420"/>
    <mergeCell ref="Q420:R420"/>
    <mergeCell ref="S420:T420"/>
    <mergeCell ref="U420:V420"/>
    <mergeCell ref="W418:Y418"/>
    <mergeCell ref="Z418:AB418"/>
    <mergeCell ref="A419:C419"/>
    <mergeCell ref="D419:I419"/>
    <mergeCell ref="K419:L419"/>
    <mergeCell ref="M419:N419"/>
    <mergeCell ref="O419:P419"/>
    <mergeCell ref="Q419:R419"/>
    <mergeCell ref="S419:T419"/>
    <mergeCell ref="U419:V419"/>
    <mergeCell ref="W417:Y417"/>
    <mergeCell ref="Z417:AB417"/>
    <mergeCell ref="A418:C418"/>
    <mergeCell ref="D418:I418"/>
    <mergeCell ref="K418:L418"/>
    <mergeCell ref="M418:N418"/>
    <mergeCell ref="O418:P418"/>
    <mergeCell ref="Q418:R418"/>
    <mergeCell ref="S418:T418"/>
    <mergeCell ref="U418:V418"/>
    <mergeCell ref="W416:Y416"/>
    <mergeCell ref="Z416:AB416"/>
    <mergeCell ref="A417:C417"/>
    <mergeCell ref="D417:I417"/>
    <mergeCell ref="K417:L417"/>
    <mergeCell ref="M417:N417"/>
    <mergeCell ref="O417:P417"/>
    <mergeCell ref="Q417:R417"/>
    <mergeCell ref="S417:T417"/>
    <mergeCell ref="U417:V417"/>
    <mergeCell ref="W415:Y415"/>
    <mergeCell ref="Z415:AB415"/>
    <mergeCell ref="A416:C416"/>
    <mergeCell ref="D416:I416"/>
    <mergeCell ref="K416:L416"/>
    <mergeCell ref="M416:N416"/>
    <mergeCell ref="O416:P416"/>
    <mergeCell ref="Q416:R416"/>
    <mergeCell ref="S416:T416"/>
    <mergeCell ref="U416:V416"/>
    <mergeCell ref="W414:Y414"/>
    <mergeCell ref="Z414:AB414"/>
    <mergeCell ref="A415:C415"/>
    <mergeCell ref="D415:I415"/>
    <mergeCell ref="K415:L415"/>
    <mergeCell ref="M415:N415"/>
    <mergeCell ref="O415:P415"/>
    <mergeCell ref="Q415:R415"/>
    <mergeCell ref="S415:T415"/>
    <mergeCell ref="U415:V415"/>
    <mergeCell ref="W413:Y413"/>
    <mergeCell ref="Z413:AB413"/>
    <mergeCell ref="A414:C414"/>
    <mergeCell ref="D414:I414"/>
    <mergeCell ref="K414:L414"/>
    <mergeCell ref="M414:N414"/>
    <mergeCell ref="O414:P414"/>
    <mergeCell ref="Q414:R414"/>
    <mergeCell ref="S414:T414"/>
    <mergeCell ref="U414:V414"/>
    <mergeCell ref="W412:Y412"/>
    <mergeCell ref="Z412:AB412"/>
    <mergeCell ref="A413:C413"/>
    <mergeCell ref="D413:I413"/>
    <mergeCell ref="K413:L413"/>
    <mergeCell ref="M413:N413"/>
    <mergeCell ref="O413:P413"/>
    <mergeCell ref="Q413:R413"/>
    <mergeCell ref="S413:T413"/>
    <mergeCell ref="U413:V413"/>
    <mergeCell ref="W411:Y411"/>
    <mergeCell ref="Z411:AB411"/>
    <mergeCell ref="A412:C412"/>
    <mergeCell ref="D412:I412"/>
    <mergeCell ref="K412:L412"/>
    <mergeCell ref="M412:N412"/>
    <mergeCell ref="O412:P412"/>
    <mergeCell ref="Q412:R412"/>
    <mergeCell ref="S412:T412"/>
    <mergeCell ref="U412:V412"/>
    <mergeCell ref="W410:Y410"/>
    <mergeCell ref="Z410:AB410"/>
    <mergeCell ref="A411:C411"/>
    <mergeCell ref="D411:I411"/>
    <mergeCell ref="K411:L411"/>
    <mergeCell ref="M411:N411"/>
    <mergeCell ref="O411:P411"/>
    <mergeCell ref="Q411:R411"/>
    <mergeCell ref="S411:T411"/>
    <mergeCell ref="U411:V411"/>
    <mergeCell ref="W409:Y409"/>
    <mergeCell ref="Z409:AB409"/>
    <mergeCell ref="A410:C410"/>
    <mergeCell ref="D410:I410"/>
    <mergeCell ref="K410:L410"/>
    <mergeCell ref="M410:N410"/>
    <mergeCell ref="O410:P410"/>
    <mergeCell ref="Q410:R410"/>
    <mergeCell ref="S410:T410"/>
    <mergeCell ref="U410:V410"/>
    <mergeCell ref="W408:Y408"/>
    <mergeCell ref="Z408:AB408"/>
    <mergeCell ref="A409:C409"/>
    <mergeCell ref="D409:I409"/>
    <mergeCell ref="K409:L409"/>
    <mergeCell ref="M409:N409"/>
    <mergeCell ref="O409:P409"/>
    <mergeCell ref="Q409:R409"/>
    <mergeCell ref="S409:T409"/>
    <mergeCell ref="U409:V409"/>
    <mergeCell ref="W407:Y407"/>
    <mergeCell ref="Z407:AB407"/>
    <mergeCell ref="A408:C408"/>
    <mergeCell ref="D408:I408"/>
    <mergeCell ref="K408:L408"/>
    <mergeCell ref="M408:N408"/>
    <mergeCell ref="O408:P408"/>
    <mergeCell ref="Q408:R408"/>
    <mergeCell ref="S408:T408"/>
    <mergeCell ref="U408:V408"/>
    <mergeCell ref="W406:Y406"/>
    <mergeCell ref="Z406:AB406"/>
    <mergeCell ref="A407:C407"/>
    <mergeCell ref="D407:I407"/>
    <mergeCell ref="K407:L407"/>
    <mergeCell ref="M407:N407"/>
    <mergeCell ref="O407:P407"/>
    <mergeCell ref="Q407:R407"/>
    <mergeCell ref="S407:T407"/>
    <mergeCell ref="U407:V407"/>
    <mergeCell ref="W405:Y405"/>
    <mergeCell ref="Z405:AB405"/>
    <mergeCell ref="A406:C406"/>
    <mergeCell ref="D406:I406"/>
    <mergeCell ref="K406:L406"/>
    <mergeCell ref="M406:N406"/>
    <mergeCell ref="O406:P406"/>
    <mergeCell ref="Q406:R406"/>
    <mergeCell ref="S406:T406"/>
    <mergeCell ref="U406:V406"/>
    <mergeCell ref="W404:Y404"/>
    <mergeCell ref="Z404:AB404"/>
    <mergeCell ref="A405:C405"/>
    <mergeCell ref="D405:I405"/>
    <mergeCell ref="K405:L405"/>
    <mergeCell ref="M405:N405"/>
    <mergeCell ref="O405:P405"/>
    <mergeCell ref="Q405:R405"/>
    <mergeCell ref="S405:T405"/>
    <mergeCell ref="U405:V405"/>
    <mergeCell ref="W403:Y403"/>
    <mergeCell ref="Z403:AB403"/>
    <mergeCell ref="A404:C404"/>
    <mergeCell ref="D404:I404"/>
    <mergeCell ref="K404:L404"/>
    <mergeCell ref="M404:N404"/>
    <mergeCell ref="O404:P404"/>
    <mergeCell ref="Q404:R404"/>
    <mergeCell ref="S404:T404"/>
    <mergeCell ref="U404:V404"/>
    <mergeCell ref="W402:Y402"/>
    <mergeCell ref="Z402:AB402"/>
    <mergeCell ref="A403:C403"/>
    <mergeCell ref="D403:I403"/>
    <mergeCell ref="K403:L403"/>
    <mergeCell ref="M403:N403"/>
    <mergeCell ref="O403:P403"/>
    <mergeCell ref="Q403:R403"/>
    <mergeCell ref="S403:T403"/>
    <mergeCell ref="U403:V403"/>
    <mergeCell ref="W401:Y401"/>
    <mergeCell ref="Z401:AB401"/>
    <mergeCell ref="A402:C402"/>
    <mergeCell ref="D402:I402"/>
    <mergeCell ref="K402:L402"/>
    <mergeCell ref="M402:N402"/>
    <mergeCell ref="O402:P402"/>
    <mergeCell ref="Q402:R402"/>
    <mergeCell ref="S402:T402"/>
    <mergeCell ref="U402:V402"/>
    <mergeCell ref="W400:Y400"/>
    <mergeCell ref="Z400:AB400"/>
    <mergeCell ref="A401:C401"/>
    <mergeCell ref="D401:I401"/>
    <mergeCell ref="K401:L401"/>
    <mergeCell ref="M401:N401"/>
    <mergeCell ref="O401:P401"/>
    <mergeCell ref="Q401:R401"/>
    <mergeCell ref="S401:T401"/>
    <mergeCell ref="U401:V401"/>
    <mergeCell ref="W399:Y399"/>
    <mergeCell ref="Z399:AB399"/>
    <mergeCell ref="A400:C400"/>
    <mergeCell ref="D400:I400"/>
    <mergeCell ref="K400:L400"/>
    <mergeCell ref="M400:N400"/>
    <mergeCell ref="O400:P400"/>
    <mergeCell ref="Q400:R400"/>
    <mergeCell ref="S400:T400"/>
    <mergeCell ref="U400:V400"/>
    <mergeCell ref="AC398:AE398"/>
    <mergeCell ref="AF398:AH398"/>
    <mergeCell ref="A399:C399"/>
    <mergeCell ref="D399:I399"/>
    <mergeCell ref="K399:L399"/>
    <mergeCell ref="M399:N399"/>
    <mergeCell ref="O399:P399"/>
    <mergeCell ref="Q399:R399"/>
    <mergeCell ref="S399:T399"/>
    <mergeCell ref="U399:V399"/>
    <mergeCell ref="S397:T397"/>
    <mergeCell ref="U397:V397"/>
    <mergeCell ref="W397:Y397"/>
    <mergeCell ref="Z397:AB397"/>
    <mergeCell ref="A398:C398"/>
    <mergeCell ref="D398:AB398"/>
    <mergeCell ref="S396:T396"/>
    <mergeCell ref="U396:V396"/>
    <mergeCell ref="W396:Y396"/>
    <mergeCell ref="Z396:AB396"/>
    <mergeCell ref="A397:C397"/>
    <mergeCell ref="D397:I397"/>
    <mergeCell ref="K397:L397"/>
    <mergeCell ref="M397:N397"/>
    <mergeCell ref="O397:P397"/>
    <mergeCell ref="Q397:R397"/>
    <mergeCell ref="S395:T395"/>
    <mergeCell ref="U395:V395"/>
    <mergeCell ref="W395:Y395"/>
    <mergeCell ref="Z395:AB395"/>
    <mergeCell ref="A396:C396"/>
    <mergeCell ref="D396:I396"/>
    <mergeCell ref="K396:L396"/>
    <mergeCell ref="M396:N396"/>
    <mergeCell ref="O396:P396"/>
    <mergeCell ref="Q396:R396"/>
    <mergeCell ref="S394:T394"/>
    <mergeCell ref="U394:V394"/>
    <mergeCell ref="W394:Y394"/>
    <mergeCell ref="Z394:AB394"/>
    <mergeCell ref="A395:C395"/>
    <mergeCell ref="D395:I395"/>
    <mergeCell ref="K395:L395"/>
    <mergeCell ref="M395:N395"/>
    <mergeCell ref="O395:P395"/>
    <mergeCell ref="Q395:R395"/>
    <mergeCell ref="S393:T393"/>
    <mergeCell ref="U393:V393"/>
    <mergeCell ref="W393:Y393"/>
    <mergeCell ref="Z393:AB393"/>
    <mergeCell ref="A394:C394"/>
    <mergeCell ref="D394:I394"/>
    <mergeCell ref="K394:L394"/>
    <mergeCell ref="M394:N394"/>
    <mergeCell ref="O394:P394"/>
    <mergeCell ref="Q394:R394"/>
    <mergeCell ref="S392:T392"/>
    <mergeCell ref="U392:V392"/>
    <mergeCell ref="W392:Y392"/>
    <mergeCell ref="Z392:AB392"/>
    <mergeCell ref="A393:C393"/>
    <mergeCell ref="D393:I393"/>
    <mergeCell ref="K393:L393"/>
    <mergeCell ref="M393:N393"/>
    <mergeCell ref="O393:P393"/>
    <mergeCell ref="Q393:R393"/>
    <mergeCell ref="S391:T391"/>
    <mergeCell ref="U391:V391"/>
    <mergeCell ref="W391:Y391"/>
    <mergeCell ref="Z391:AB391"/>
    <mergeCell ref="A392:C392"/>
    <mergeCell ref="D392:I392"/>
    <mergeCell ref="K392:L392"/>
    <mergeCell ref="M392:N392"/>
    <mergeCell ref="O392:P392"/>
    <mergeCell ref="Q392:R392"/>
    <mergeCell ref="S390:T390"/>
    <mergeCell ref="U390:V390"/>
    <mergeCell ref="W390:Y390"/>
    <mergeCell ref="Z390:AB390"/>
    <mergeCell ref="A391:C391"/>
    <mergeCell ref="D391:I391"/>
    <mergeCell ref="K391:L391"/>
    <mergeCell ref="M391:N391"/>
    <mergeCell ref="O391:P391"/>
    <mergeCell ref="Q391:R391"/>
    <mergeCell ref="S389:T389"/>
    <mergeCell ref="U389:V389"/>
    <mergeCell ref="W389:Y389"/>
    <mergeCell ref="Z389:AB389"/>
    <mergeCell ref="A390:C390"/>
    <mergeCell ref="D390:I390"/>
    <mergeCell ref="K390:L390"/>
    <mergeCell ref="M390:N390"/>
    <mergeCell ref="O390:P390"/>
    <mergeCell ref="Q390:R390"/>
    <mergeCell ref="S388:T388"/>
    <mergeCell ref="U388:V388"/>
    <mergeCell ref="W388:Y388"/>
    <mergeCell ref="Z388:AB388"/>
    <mergeCell ref="A389:C389"/>
    <mergeCell ref="D389:I389"/>
    <mergeCell ref="K389:L389"/>
    <mergeCell ref="M389:N389"/>
    <mergeCell ref="O389:P389"/>
    <mergeCell ref="Q389:R389"/>
    <mergeCell ref="S387:T387"/>
    <mergeCell ref="U387:V387"/>
    <mergeCell ref="W387:Y387"/>
    <mergeCell ref="Z387:AB387"/>
    <mergeCell ref="A388:C388"/>
    <mergeCell ref="D388:I388"/>
    <mergeCell ref="K388:L388"/>
    <mergeCell ref="M388:N388"/>
    <mergeCell ref="O388:P388"/>
    <mergeCell ref="Q388:R388"/>
    <mergeCell ref="S386:T386"/>
    <mergeCell ref="U386:V386"/>
    <mergeCell ref="W386:Y386"/>
    <mergeCell ref="Z386:AB386"/>
    <mergeCell ref="A387:C387"/>
    <mergeCell ref="D387:I387"/>
    <mergeCell ref="K387:L387"/>
    <mergeCell ref="M387:N387"/>
    <mergeCell ref="O387:P387"/>
    <mergeCell ref="Q387:R387"/>
    <mergeCell ref="S385:T385"/>
    <mergeCell ref="U385:V385"/>
    <mergeCell ref="W385:Y385"/>
    <mergeCell ref="Z385:AB385"/>
    <mergeCell ref="A386:C386"/>
    <mergeCell ref="D386:I386"/>
    <mergeCell ref="K386:L386"/>
    <mergeCell ref="M386:N386"/>
    <mergeCell ref="O386:P386"/>
    <mergeCell ref="Q386:R386"/>
    <mergeCell ref="S384:T384"/>
    <mergeCell ref="U384:V384"/>
    <mergeCell ref="W384:Y384"/>
    <mergeCell ref="Z384:AB384"/>
    <mergeCell ref="A385:C385"/>
    <mergeCell ref="D385:I385"/>
    <mergeCell ref="K385:L385"/>
    <mergeCell ref="M385:N385"/>
    <mergeCell ref="O385:P385"/>
    <mergeCell ref="Q385:R385"/>
    <mergeCell ref="S383:T383"/>
    <mergeCell ref="U383:V383"/>
    <mergeCell ref="W383:Y383"/>
    <mergeCell ref="Z383:AB383"/>
    <mergeCell ref="A384:C384"/>
    <mergeCell ref="D384:I384"/>
    <mergeCell ref="K384:L384"/>
    <mergeCell ref="M384:N384"/>
    <mergeCell ref="O384:P384"/>
    <mergeCell ref="Q384:R384"/>
    <mergeCell ref="S382:T382"/>
    <mergeCell ref="U382:V382"/>
    <mergeCell ref="W382:Y382"/>
    <mergeCell ref="Z382:AB382"/>
    <mergeCell ref="A383:C383"/>
    <mergeCell ref="D383:I383"/>
    <mergeCell ref="K383:L383"/>
    <mergeCell ref="M383:N383"/>
    <mergeCell ref="O383:P383"/>
    <mergeCell ref="Q383:R383"/>
    <mergeCell ref="S381:T381"/>
    <mergeCell ref="U381:V381"/>
    <mergeCell ref="W381:Y381"/>
    <mergeCell ref="Z381:AB381"/>
    <mergeCell ref="A382:C382"/>
    <mergeCell ref="D382:I382"/>
    <mergeCell ref="K382:L382"/>
    <mergeCell ref="M382:N382"/>
    <mergeCell ref="O382:P382"/>
    <mergeCell ref="Q382:R382"/>
    <mergeCell ref="S380:T380"/>
    <mergeCell ref="U380:V380"/>
    <mergeCell ref="W380:Y380"/>
    <mergeCell ref="Z380:AB380"/>
    <mergeCell ref="A381:C381"/>
    <mergeCell ref="D381:I381"/>
    <mergeCell ref="K381:L381"/>
    <mergeCell ref="M381:N381"/>
    <mergeCell ref="O381:P381"/>
    <mergeCell ref="Q381:R381"/>
    <mergeCell ref="S379:T379"/>
    <mergeCell ref="U379:V379"/>
    <mergeCell ref="W379:Y379"/>
    <mergeCell ref="Z379:AB379"/>
    <mergeCell ref="A380:C380"/>
    <mergeCell ref="D380:I380"/>
    <mergeCell ref="K380:L380"/>
    <mergeCell ref="M380:N380"/>
    <mergeCell ref="O380:P380"/>
    <mergeCell ref="Q380:R380"/>
    <mergeCell ref="S378:T378"/>
    <mergeCell ref="U378:V378"/>
    <mergeCell ref="W378:Y378"/>
    <mergeCell ref="Z378:AB378"/>
    <mergeCell ref="A379:C379"/>
    <mergeCell ref="D379:I379"/>
    <mergeCell ref="K379:L379"/>
    <mergeCell ref="M379:N379"/>
    <mergeCell ref="O379:P379"/>
    <mergeCell ref="Q379:R379"/>
    <mergeCell ref="S377:T377"/>
    <mergeCell ref="U377:V377"/>
    <mergeCell ref="W377:Y377"/>
    <mergeCell ref="Z377:AB377"/>
    <mergeCell ref="A378:C378"/>
    <mergeCell ref="D378:I378"/>
    <mergeCell ref="K378:L378"/>
    <mergeCell ref="M378:N378"/>
    <mergeCell ref="O378:P378"/>
    <mergeCell ref="Q378:R378"/>
    <mergeCell ref="S376:T376"/>
    <mergeCell ref="U376:V376"/>
    <mergeCell ref="W376:Y376"/>
    <mergeCell ref="Z376:AB376"/>
    <mergeCell ref="A377:C377"/>
    <mergeCell ref="D377:I377"/>
    <mergeCell ref="K377:L377"/>
    <mergeCell ref="M377:N377"/>
    <mergeCell ref="O377:P377"/>
    <mergeCell ref="Q377:R377"/>
    <mergeCell ref="S375:T375"/>
    <mergeCell ref="U375:V375"/>
    <mergeCell ref="W375:Y375"/>
    <mergeCell ref="Z375:AB375"/>
    <mergeCell ref="A376:C376"/>
    <mergeCell ref="D376:I376"/>
    <mergeCell ref="K376:L376"/>
    <mergeCell ref="M376:N376"/>
    <mergeCell ref="O376:P376"/>
    <mergeCell ref="Q376:R376"/>
    <mergeCell ref="S374:T374"/>
    <mergeCell ref="U374:V374"/>
    <mergeCell ref="W374:Y374"/>
    <mergeCell ref="Z374:AB374"/>
    <mergeCell ref="A375:C375"/>
    <mergeCell ref="D375:I375"/>
    <mergeCell ref="K375:L375"/>
    <mergeCell ref="M375:N375"/>
    <mergeCell ref="O375:P375"/>
    <mergeCell ref="Q375:R375"/>
    <mergeCell ref="S373:T373"/>
    <mergeCell ref="U373:V373"/>
    <mergeCell ref="W373:Y373"/>
    <mergeCell ref="Z373:AB373"/>
    <mergeCell ref="A374:C374"/>
    <mergeCell ref="D374:I374"/>
    <mergeCell ref="K374:L374"/>
    <mergeCell ref="M374:N374"/>
    <mergeCell ref="O374:P374"/>
    <mergeCell ref="Q374:R374"/>
    <mergeCell ref="S372:T372"/>
    <mergeCell ref="U372:V372"/>
    <mergeCell ref="W372:Y372"/>
    <mergeCell ref="Z372:AB372"/>
    <mergeCell ref="A373:C373"/>
    <mergeCell ref="D373:I373"/>
    <mergeCell ref="K373:L373"/>
    <mergeCell ref="M373:N373"/>
    <mergeCell ref="O373:P373"/>
    <mergeCell ref="Q373:R373"/>
    <mergeCell ref="S371:T371"/>
    <mergeCell ref="U371:V371"/>
    <mergeCell ref="W371:Y371"/>
    <mergeCell ref="Z371:AB371"/>
    <mergeCell ref="A372:C372"/>
    <mergeCell ref="D372:I372"/>
    <mergeCell ref="K372:L372"/>
    <mergeCell ref="M372:N372"/>
    <mergeCell ref="O372:P372"/>
    <mergeCell ref="Q372:R372"/>
    <mergeCell ref="S370:T370"/>
    <mergeCell ref="U370:V370"/>
    <mergeCell ref="W370:Y370"/>
    <mergeCell ref="Z370:AB370"/>
    <mergeCell ref="A371:C371"/>
    <mergeCell ref="D371:I371"/>
    <mergeCell ref="K371:L371"/>
    <mergeCell ref="M371:N371"/>
    <mergeCell ref="O371:P371"/>
    <mergeCell ref="Q371:R371"/>
    <mergeCell ref="S369:T369"/>
    <mergeCell ref="U369:V369"/>
    <mergeCell ref="W369:Y369"/>
    <mergeCell ref="Z369:AB369"/>
    <mergeCell ref="A370:C370"/>
    <mergeCell ref="D370:I370"/>
    <mergeCell ref="K370:L370"/>
    <mergeCell ref="M370:N370"/>
    <mergeCell ref="O370:P370"/>
    <mergeCell ref="Q370:R370"/>
    <mergeCell ref="S368:T368"/>
    <mergeCell ref="U368:V368"/>
    <mergeCell ref="W368:Y368"/>
    <mergeCell ref="Z368:AB368"/>
    <mergeCell ref="A369:C369"/>
    <mergeCell ref="D369:I369"/>
    <mergeCell ref="K369:L369"/>
    <mergeCell ref="M369:N369"/>
    <mergeCell ref="O369:P369"/>
    <mergeCell ref="Q369:R369"/>
    <mergeCell ref="S367:T367"/>
    <mergeCell ref="U367:V367"/>
    <mergeCell ref="W367:Y367"/>
    <mergeCell ref="Z367:AB367"/>
    <mergeCell ref="A368:C368"/>
    <mergeCell ref="D368:I368"/>
    <mergeCell ref="K368:L368"/>
    <mergeCell ref="M368:N368"/>
    <mergeCell ref="O368:P368"/>
    <mergeCell ref="Q368:R368"/>
    <mergeCell ref="S366:T366"/>
    <mergeCell ref="U366:V366"/>
    <mergeCell ref="W366:Y366"/>
    <mergeCell ref="Z366:AB366"/>
    <mergeCell ref="A367:C367"/>
    <mergeCell ref="D367:I367"/>
    <mergeCell ref="K367:L367"/>
    <mergeCell ref="M367:N367"/>
    <mergeCell ref="O367:P367"/>
    <mergeCell ref="Q367:R367"/>
    <mergeCell ref="S365:T365"/>
    <mergeCell ref="U365:V365"/>
    <mergeCell ref="W365:Y365"/>
    <mergeCell ref="Z365:AB365"/>
    <mergeCell ref="A366:C366"/>
    <mergeCell ref="D366:I366"/>
    <mergeCell ref="K366:L366"/>
    <mergeCell ref="M366:N366"/>
    <mergeCell ref="O366:P366"/>
    <mergeCell ref="Q366:R366"/>
    <mergeCell ref="S364:T364"/>
    <mergeCell ref="U364:V364"/>
    <mergeCell ref="W364:Y364"/>
    <mergeCell ref="Z364:AB364"/>
    <mergeCell ref="A365:C365"/>
    <mergeCell ref="D365:I365"/>
    <mergeCell ref="K365:L365"/>
    <mergeCell ref="M365:N365"/>
    <mergeCell ref="O365:P365"/>
    <mergeCell ref="Q365:R365"/>
    <mergeCell ref="S363:T363"/>
    <mergeCell ref="U363:V363"/>
    <mergeCell ref="W363:Y363"/>
    <mergeCell ref="Z363:AB363"/>
    <mergeCell ref="A364:C364"/>
    <mergeCell ref="D364:I364"/>
    <mergeCell ref="K364:L364"/>
    <mergeCell ref="M364:N364"/>
    <mergeCell ref="O364:P364"/>
    <mergeCell ref="Q364:R364"/>
    <mergeCell ref="S362:T362"/>
    <mergeCell ref="U362:V362"/>
    <mergeCell ref="W362:Y362"/>
    <mergeCell ref="Z362:AB362"/>
    <mergeCell ref="A363:C363"/>
    <mergeCell ref="D363:I363"/>
    <mergeCell ref="K363:L363"/>
    <mergeCell ref="M363:N363"/>
    <mergeCell ref="O363:P363"/>
    <mergeCell ref="Q363:R363"/>
    <mergeCell ref="S361:T361"/>
    <mergeCell ref="U361:V361"/>
    <mergeCell ref="W361:Y361"/>
    <mergeCell ref="Z361:AB361"/>
    <mergeCell ref="A362:C362"/>
    <mergeCell ref="D362:I362"/>
    <mergeCell ref="K362:L362"/>
    <mergeCell ref="M362:N362"/>
    <mergeCell ref="O362:P362"/>
    <mergeCell ref="Q362:R362"/>
    <mergeCell ref="S360:T360"/>
    <mergeCell ref="U360:V360"/>
    <mergeCell ref="W360:Y360"/>
    <mergeCell ref="Z360:AB360"/>
    <mergeCell ref="A361:C361"/>
    <mergeCell ref="D361:I361"/>
    <mergeCell ref="K361:L361"/>
    <mergeCell ref="M361:N361"/>
    <mergeCell ref="O361:P361"/>
    <mergeCell ref="Q361:R361"/>
    <mergeCell ref="S359:T359"/>
    <mergeCell ref="U359:V359"/>
    <mergeCell ref="W359:Y359"/>
    <mergeCell ref="Z359:AB359"/>
    <mergeCell ref="A360:C360"/>
    <mergeCell ref="D360:I360"/>
    <mergeCell ref="K360:L360"/>
    <mergeCell ref="M360:N360"/>
    <mergeCell ref="O360:P360"/>
    <mergeCell ref="Q360:R360"/>
    <mergeCell ref="S358:T358"/>
    <mergeCell ref="U358:V358"/>
    <mergeCell ref="W358:Y358"/>
    <mergeCell ref="Z358:AB358"/>
    <mergeCell ref="A359:C359"/>
    <mergeCell ref="D359:I359"/>
    <mergeCell ref="K359:L359"/>
    <mergeCell ref="M359:N359"/>
    <mergeCell ref="O359:P359"/>
    <mergeCell ref="Q359:R359"/>
    <mergeCell ref="S357:T357"/>
    <mergeCell ref="U357:V357"/>
    <mergeCell ref="W357:Y357"/>
    <mergeCell ref="Z357:AB357"/>
    <mergeCell ref="A358:C358"/>
    <mergeCell ref="D358:I358"/>
    <mergeCell ref="K358:L358"/>
    <mergeCell ref="M358:N358"/>
    <mergeCell ref="O358:P358"/>
    <mergeCell ref="Q358:R358"/>
    <mergeCell ref="S356:T356"/>
    <mergeCell ref="U356:V356"/>
    <mergeCell ref="W356:Y356"/>
    <mergeCell ref="Z356:AB356"/>
    <mergeCell ref="A357:C357"/>
    <mergeCell ref="D357:I357"/>
    <mergeCell ref="K357:L357"/>
    <mergeCell ref="M357:N357"/>
    <mergeCell ref="O357:P357"/>
    <mergeCell ref="Q357:R357"/>
    <mergeCell ref="S355:T355"/>
    <mergeCell ref="U355:V355"/>
    <mergeCell ref="W355:Y355"/>
    <mergeCell ref="Z355:AB355"/>
    <mergeCell ref="A356:C356"/>
    <mergeCell ref="D356:I356"/>
    <mergeCell ref="K356:L356"/>
    <mergeCell ref="M356:N356"/>
    <mergeCell ref="O356:P356"/>
    <mergeCell ref="Q356:R356"/>
    <mergeCell ref="S354:T354"/>
    <mergeCell ref="U354:V354"/>
    <mergeCell ref="W354:Y354"/>
    <mergeCell ref="Z354:AB354"/>
    <mergeCell ref="A355:C355"/>
    <mergeCell ref="D355:I355"/>
    <mergeCell ref="K355:L355"/>
    <mergeCell ref="M355:N355"/>
    <mergeCell ref="O355:P355"/>
    <mergeCell ref="Q355:R355"/>
    <mergeCell ref="S353:T353"/>
    <mergeCell ref="U353:V353"/>
    <mergeCell ref="W353:Y353"/>
    <mergeCell ref="Z353:AB353"/>
    <mergeCell ref="A354:C354"/>
    <mergeCell ref="D354:I354"/>
    <mergeCell ref="K354:L354"/>
    <mergeCell ref="M354:N354"/>
    <mergeCell ref="O354:P354"/>
    <mergeCell ref="Q354:R354"/>
    <mergeCell ref="S352:T352"/>
    <mergeCell ref="U352:V352"/>
    <mergeCell ref="W352:Y352"/>
    <mergeCell ref="Z352:AB352"/>
    <mergeCell ref="A353:C353"/>
    <mergeCell ref="D353:I353"/>
    <mergeCell ref="K353:L353"/>
    <mergeCell ref="M353:N353"/>
    <mergeCell ref="O353:P353"/>
    <mergeCell ref="Q353:R353"/>
    <mergeCell ref="S351:T351"/>
    <mergeCell ref="U351:V351"/>
    <mergeCell ref="W351:Y351"/>
    <mergeCell ref="Z351:AB351"/>
    <mergeCell ref="A352:C352"/>
    <mergeCell ref="D352:I352"/>
    <mergeCell ref="K352:L352"/>
    <mergeCell ref="M352:N352"/>
    <mergeCell ref="O352:P352"/>
    <mergeCell ref="Q352:R352"/>
    <mergeCell ref="S350:T350"/>
    <mergeCell ref="U350:V350"/>
    <mergeCell ref="W350:Y350"/>
    <mergeCell ref="Z350:AB350"/>
    <mergeCell ref="A351:C351"/>
    <mergeCell ref="D351:I351"/>
    <mergeCell ref="K351:L351"/>
    <mergeCell ref="M351:N351"/>
    <mergeCell ref="O351:P351"/>
    <mergeCell ref="Q351:R351"/>
    <mergeCell ref="S349:T349"/>
    <mergeCell ref="U349:V349"/>
    <mergeCell ref="W349:Y349"/>
    <mergeCell ref="Z349:AB349"/>
    <mergeCell ref="A350:C350"/>
    <mergeCell ref="D350:I350"/>
    <mergeCell ref="K350:L350"/>
    <mergeCell ref="M350:N350"/>
    <mergeCell ref="O350:P350"/>
    <mergeCell ref="Q350:R350"/>
    <mergeCell ref="S348:T348"/>
    <mergeCell ref="U348:V348"/>
    <mergeCell ref="W348:Y348"/>
    <mergeCell ref="Z348:AB348"/>
    <mergeCell ref="A349:C349"/>
    <mergeCell ref="D349:I349"/>
    <mergeCell ref="K349:L349"/>
    <mergeCell ref="M349:N349"/>
    <mergeCell ref="O349:P349"/>
    <mergeCell ref="Q349:R349"/>
    <mergeCell ref="S347:T347"/>
    <mergeCell ref="U347:V347"/>
    <mergeCell ref="W347:Y347"/>
    <mergeCell ref="Z347:AB347"/>
    <mergeCell ref="A348:C348"/>
    <mergeCell ref="D348:I348"/>
    <mergeCell ref="K348:L348"/>
    <mergeCell ref="M348:N348"/>
    <mergeCell ref="O348:P348"/>
    <mergeCell ref="Q348:R348"/>
    <mergeCell ref="S346:T346"/>
    <mergeCell ref="U346:V346"/>
    <mergeCell ref="W346:Y346"/>
    <mergeCell ref="Z346:AB346"/>
    <mergeCell ref="A347:C347"/>
    <mergeCell ref="D347:I347"/>
    <mergeCell ref="K347:L347"/>
    <mergeCell ref="M347:N347"/>
    <mergeCell ref="O347:P347"/>
    <mergeCell ref="Q347:R347"/>
    <mergeCell ref="S345:T345"/>
    <mergeCell ref="U345:V345"/>
    <mergeCell ref="W345:Y345"/>
    <mergeCell ref="Z345:AB345"/>
    <mergeCell ref="A346:C346"/>
    <mergeCell ref="D346:I346"/>
    <mergeCell ref="K346:L346"/>
    <mergeCell ref="M346:N346"/>
    <mergeCell ref="O346:P346"/>
    <mergeCell ref="Q346:R346"/>
    <mergeCell ref="S344:T344"/>
    <mergeCell ref="U344:V344"/>
    <mergeCell ref="W344:Y344"/>
    <mergeCell ref="Z344:AB344"/>
    <mergeCell ref="A345:C345"/>
    <mergeCell ref="D345:I345"/>
    <mergeCell ref="K345:L345"/>
    <mergeCell ref="M345:N345"/>
    <mergeCell ref="O345:P345"/>
    <mergeCell ref="Q345:R345"/>
    <mergeCell ref="S343:T343"/>
    <mergeCell ref="U343:V343"/>
    <mergeCell ref="W343:Y343"/>
    <mergeCell ref="Z343:AB343"/>
    <mergeCell ref="A344:C344"/>
    <mergeCell ref="D344:I344"/>
    <mergeCell ref="K344:L344"/>
    <mergeCell ref="M344:N344"/>
    <mergeCell ref="O344:P344"/>
    <mergeCell ref="Q344:R344"/>
    <mergeCell ref="S342:T342"/>
    <mergeCell ref="U342:V342"/>
    <mergeCell ref="W342:Y342"/>
    <mergeCell ref="Z342:AB342"/>
    <mergeCell ref="A343:C343"/>
    <mergeCell ref="D343:I343"/>
    <mergeCell ref="K343:L343"/>
    <mergeCell ref="M343:N343"/>
    <mergeCell ref="O343:P343"/>
    <mergeCell ref="Q343:R343"/>
    <mergeCell ref="S341:T341"/>
    <mergeCell ref="U341:V341"/>
    <mergeCell ref="W341:Y341"/>
    <mergeCell ref="Z341:AB341"/>
    <mergeCell ref="A342:C342"/>
    <mergeCell ref="D342:I342"/>
    <mergeCell ref="K342:L342"/>
    <mergeCell ref="M342:N342"/>
    <mergeCell ref="O342:P342"/>
    <mergeCell ref="Q342:R342"/>
    <mergeCell ref="S340:T340"/>
    <mergeCell ref="U340:V340"/>
    <mergeCell ref="W340:Y340"/>
    <mergeCell ref="Z340:AB340"/>
    <mergeCell ref="A341:C341"/>
    <mergeCell ref="D341:I341"/>
    <mergeCell ref="K341:L341"/>
    <mergeCell ref="M341:N341"/>
    <mergeCell ref="O341:P341"/>
    <mergeCell ref="Q341:R341"/>
    <mergeCell ref="S339:T339"/>
    <mergeCell ref="U339:V339"/>
    <mergeCell ref="W339:Y339"/>
    <mergeCell ref="Z339:AB339"/>
    <mergeCell ref="A340:C340"/>
    <mergeCell ref="D340:I340"/>
    <mergeCell ref="K340:L340"/>
    <mergeCell ref="M340:N340"/>
    <mergeCell ref="O340:P340"/>
    <mergeCell ref="Q340:R340"/>
    <mergeCell ref="S338:T338"/>
    <mergeCell ref="U338:V338"/>
    <mergeCell ref="W338:Y338"/>
    <mergeCell ref="Z338:AB338"/>
    <mergeCell ref="A339:C339"/>
    <mergeCell ref="D339:I339"/>
    <mergeCell ref="K339:L339"/>
    <mergeCell ref="M339:N339"/>
    <mergeCell ref="O339:P339"/>
    <mergeCell ref="Q339:R339"/>
    <mergeCell ref="S337:T337"/>
    <mergeCell ref="U337:V337"/>
    <mergeCell ref="W337:Y337"/>
    <mergeCell ref="Z337:AB337"/>
    <mergeCell ref="A338:C338"/>
    <mergeCell ref="D338:I338"/>
    <mergeCell ref="K338:L338"/>
    <mergeCell ref="M338:N338"/>
    <mergeCell ref="O338:P338"/>
    <mergeCell ref="Q338:R338"/>
    <mergeCell ref="S336:T336"/>
    <mergeCell ref="U336:V336"/>
    <mergeCell ref="W336:Y336"/>
    <mergeCell ref="Z336:AB336"/>
    <mergeCell ref="A337:C337"/>
    <mergeCell ref="D337:I337"/>
    <mergeCell ref="K337:L337"/>
    <mergeCell ref="M337:N337"/>
    <mergeCell ref="O337:P337"/>
    <mergeCell ref="Q337:R337"/>
    <mergeCell ref="S335:T335"/>
    <mergeCell ref="U335:V335"/>
    <mergeCell ref="W335:Y335"/>
    <mergeCell ref="Z335:AB335"/>
    <mergeCell ref="A336:C336"/>
    <mergeCell ref="D336:I336"/>
    <mergeCell ref="K336:L336"/>
    <mergeCell ref="M336:N336"/>
    <mergeCell ref="O336:P336"/>
    <mergeCell ref="Q336:R336"/>
    <mergeCell ref="S334:T334"/>
    <mergeCell ref="U334:V334"/>
    <mergeCell ref="W334:Y334"/>
    <mergeCell ref="Z334:AB334"/>
    <mergeCell ref="A335:C335"/>
    <mergeCell ref="D335:I335"/>
    <mergeCell ref="K335:L335"/>
    <mergeCell ref="M335:N335"/>
    <mergeCell ref="O335:P335"/>
    <mergeCell ref="Q335:R335"/>
    <mergeCell ref="S333:T333"/>
    <mergeCell ref="U333:V333"/>
    <mergeCell ref="W333:Y333"/>
    <mergeCell ref="Z333:AB333"/>
    <mergeCell ref="A334:C334"/>
    <mergeCell ref="D334:I334"/>
    <mergeCell ref="K334:L334"/>
    <mergeCell ref="M334:N334"/>
    <mergeCell ref="O334:P334"/>
    <mergeCell ref="Q334:R334"/>
    <mergeCell ref="S332:T332"/>
    <mergeCell ref="U332:V332"/>
    <mergeCell ref="W332:Y332"/>
    <mergeCell ref="Z332:AB332"/>
    <mergeCell ref="A333:C333"/>
    <mergeCell ref="D333:I333"/>
    <mergeCell ref="K333:L333"/>
    <mergeCell ref="M333:N333"/>
    <mergeCell ref="O333:P333"/>
    <mergeCell ref="Q333:R333"/>
    <mergeCell ref="S331:T331"/>
    <mergeCell ref="U331:V331"/>
    <mergeCell ref="W331:Y331"/>
    <mergeCell ref="Z331:AB331"/>
    <mergeCell ref="A332:C332"/>
    <mergeCell ref="D332:I332"/>
    <mergeCell ref="K332:L332"/>
    <mergeCell ref="M332:N332"/>
    <mergeCell ref="O332:P332"/>
    <mergeCell ref="Q332:R332"/>
    <mergeCell ref="S330:T330"/>
    <mergeCell ref="U330:V330"/>
    <mergeCell ref="W330:Y330"/>
    <mergeCell ref="Z330:AB330"/>
    <mergeCell ref="A331:C331"/>
    <mergeCell ref="D331:I331"/>
    <mergeCell ref="K331:L331"/>
    <mergeCell ref="M331:N331"/>
    <mergeCell ref="O331:P331"/>
    <mergeCell ref="Q331:R331"/>
    <mergeCell ref="S329:T329"/>
    <mergeCell ref="U329:V329"/>
    <mergeCell ref="W329:Y329"/>
    <mergeCell ref="Z329:AB329"/>
    <mergeCell ref="A330:C330"/>
    <mergeCell ref="D330:I330"/>
    <mergeCell ref="K330:L330"/>
    <mergeCell ref="M330:N330"/>
    <mergeCell ref="O330:P330"/>
    <mergeCell ref="Q330:R330"/>
    <mergeCell ref="S328:T328"/>
    <mergeCell ref="U328:V328"/>
    <mergeCell ref="W328:Y328"/>
    <mergeCell ref="Z328:AB328"/>
    <mergeCell ref="A329:C329"/>
    <mergeCell ref="D329:I329"/>
    <mergeCell ref="K329:L329"/>
    <mergeCell ref="M329:N329"/>
    <mergeCell ref="O329:P329"/>
    <mergeCell ref="Q329:R329"/>
    <mergeCell ref="S327:T327"/>
    <mergeCell ref="U327:V327"/>
    <mergeCell ref="W327:Y327"/>
    <mergeCell ref="Z327:AB327"/>
    <mergeCell ref="A328:C328"/>
    <mergeCell ref="D328:I328"/>
    <mergeCell ref="K328:L328"/>
    <mergeCell ref="M328:N328"/>
    <mergeCell ref="O328:P328"/>
    <mergeCell ref="Q328:R328"/>
    <mergeCell ref="S326:T326"/>
    <mergeCell ref="U326:V326"/>
    <mergeCell ref="W326:Y326"/>
    <mergeCell ref="Z326:AB326"/>
    <mergeCell ref="A327:C327"/>
    <mergeCell ref="D327:I327"/>
    <mergeCell ref="K327:L327"/>
    <mergeCell ref="M327:N327"/>
    <mergeCell ref="O327:P327"/>
    <mergeCell ref="Q327:R327"/>
    <mergeCell ref="S325:T325"/>
    <mergeCell ref="U325:V325"/>
    <mergeCell ref="W325:Y325"/>
    <mergeCell ref="Z325:AB325"/>
    <mergeCell ref="A326:C326"/>
    <mergeCell ref="D326:I326"/>
    <mergeCell ref="K326:L326"/>
    <mergeCell ref="M326:N326"/>
    <mergeCell ref="O326:P326"/>
    <mergeCell ref="Q326:R326"/>
    <mergeCell ref="S324:T324"/>
    <mergeCell ref="U324:V324"/>
    <mergeCell ref="W324:Y324"/>
    <mergeCell ref="Z324:AB324"/>
    <mergeCell ref="A325:C325"/>
    <mergeCell ref="D325:I325"/>
    <mergeCell ref="K325:L325"/>
    <mergeCell ref="M325:N325"/>
    <mergeCell ref="O325:P325"/>
    <mergeCell ref="Q325:R325"/>
    <mergeCell ref="S323:T323"/>
    <mergeCell ref="U323:V323"/>
    <mergeCell ref="W323:Y323"/>
    <mergeCell ref="Z323:AB323"/>
    <mergeCell ref="A324:C324"/>
    <mergeCell ref="D324:I324"/>
    <mergeCell ref="K324:L324"/>
    <mergeCell ref="M324:N324"/>
    <mergeCell ref="O324:P324"/>
    <mergeCell ref="Q324:R324"/>
    <mergeCell ref="S322:T322"/>
    <mergeCell ref="U322:V322"/>
    <mergeCell ref="W322:Y322"/>
    <mergeCell ref="Z322:AB322"/>
    <mergeCell ref="A323:C323"/>
    <mergeCell ref="D323:I323"/>
    <mergeCell ref="K323:L323"/>
    <mergeCell ref="M323:N323"/>
    <mergeCell ref="O323:P323"/>
    <mergeCell ref="Q323:R323"/>
    <mergeCell ref="S321:T321"/>
    <mergeCell ref="U321:V321"/>
    <mergeCell ref="W321:Y321"/>
    <mergeCell ref="Z321:AB321"/>
    <mergeCell ref="A322:C322"/>
    <mergeCell ref="D322:I322"/>
    <mergeCell ref="K322:L322"/>
    <mergeCell ref="M322:N322"/>
    <mergeCell ref="O322:P322"/>
    <mergeCell ref="Q322:R322"/>
    <mergeCell ref="S320:T320"/>
    <mergeCell ref="U320:V320"/>
    <mergeCell ref="W320:Y320"/>
    <mergeCell ref="Z320:AB320"/>
    <mergeCell ref="A321:C321"/>
    <mergeCell ref="D321:I321"/>
    <mergeCell ref="K321:L321"/>
    <mergeCell ref="M321:N321"/>
    <mergeCell ref="O321:P321"/>
    <mergeCell ref="Q321:R321"/>
    <mergeCell ref="S319:T319"/>
    <mergeCell ref="U319:V319"/>
    <mergeCell ref="W319:Y319"/>
    <mergeCell ref="Z319:AB319"/>
    <mergeCell ref="A320:C320"/>
    <mergeCell ref="D320:I320"/>
    <mergeCell ref="K320:L320"/>
    <mergeCell ref="M320:N320"/>
    <mergeCell ref="O320:P320"/>
    <mergeCell ref="Q320:R320"/>
    <mergeCell ref="S318:T318"/>
    <mergeCell ref="U318:V318"/>
    <mergeCell ref="W318:Y318"/>
    <mergeCell ref="Z318:AB318"/>
    <mergeCell ref="A319:C319"/>
    <mergeCell ref="D319:I319"/>
    <mergeCell ref="K319:L319"/>
    <mergeCell ref="M319:N319"/>
    <mergeCell ref="O319:P319"/>
    <mergeCell ref="Q319:R319"/>
    <mergeCell ref="S317:T317"/>
    <mergeCell ref="U317:V317"/>
    <mergeCell ref="W317:Y317"/>
    <mergeCell ref="Z317:AB317"/>
    <mergeCell ref="A318:C318"/>
    <mergeCell ref="D318:I318"/>
    <mergeCell ref="K318:L318"/>
    <mergeCell ref="M318:N318"/>
    <mergeCell ref="O318:P318"/>
    <mergeCell ref="Q318:R318"/>
    <mergeCell ref="S316:T316"/>
    <mergeCell ref="U316:V316"/>
    <mergeCell ref="W316:Y316"/>
    <mergeCell ref="Z316:AB316"/>
    <mergeCell ref="A317:C317"/>
    <mergeCell ref="D317:I317"/>
    <mergeCell ref="K317:L317"/>
    <mergeCell ref="M317:N317"/>
    <mergeCell ref="O317:P317"/>
    <mergeCell ref="Q317:R317"/>
    <mergeCell ref="S315:T315"/>
    <mergeCell ref="U315:V315"/>
    <mergeCell ref="W315:Y315"/>
    <mergeCell ref="Z315:AB315"/>
    <mergeCell ref="A316:C316"/>
    <mergeCell ref="D316:I316"/>
    <mergeCell ref="K316:L316"/>
    <mergeCell ref="M316:N316"/>
    <mergeCell ref="O316:P316"/>
    <mergeCell ref="Q316:R316"/>
    <mergeCell ref="S314:T314"/>
    <mergeCell ref="U314:V314"/>
    <mergeCell ref="W314:Y314"/>
    <mergeCell ref="Z314:AB314"/>
    <mergeCell ref="A315:C315"/>
    <mergeCell ref="D315:I315"/>
    <mergeCell ref="K315:L315"/>
    <mergeCell ref="M315:N315"/>
    <mergeCell ref="O315:P315"/>
    <mergeCell ref="Q315:R315"/>
    <mergeCell ref="S313:T313"/>
    <mergeCell ref="U313:V313"/>
    <mergeCell ref="W313:Y313"/>
    <mergeCell ref="Z313:AB313"/>
    <mergeCell ref="A314:C314"/>
    <mergeCell ref="D314:I314"/>
    <mergeCell ref="K314:L314"/>
    <mergeCell ref="M314:N314"/>
    <mergeCell ref="O314:P314"/>
    <mergeCell ref="Q314:R314"/>
    <mergeCell ref="S312:T312"/>
    <mergeCell ref="U312:V312"/>
    <mergeCell ref="W312:Y312"/>
    <mergeCell ref="Z312:AB312"/>
    <mergeCell ref="A313:C313"/>
    <mergeCell ref="D313:I313"/>
    <mergeCell ref="K313:L313"/>
    <mergeCell ref="M313:N313"/>
    <mergeCell ref="O313:P313"/>
    <mergeCell ref="Q313:R313"/>
    <mergeCell ref="S311:T311"/>
    <mergeCell ref="U311:V311"/>
    <mergeCell ref="W311:Y311"/>
    <mergeCell ref="Z311:AB311"/>
    <mergeCell ref="A312:C312"/>
    <mergeCell ref="D312:I312"/>
    <mergeCell ref="K312:L312"/>
    <mergeCell ref="M312:N312"/>
    <mergeCell ref="O312:P312"/>
    <mergeCell ref="Q312:R312"/>
    <mergeCell ref="S310:T310"/>
    <mergeCell ref="U310:V310"/>
    <mergeCell ref="W310:Y310"/>
    <mergeCell ref="Z310:AB310"/>
    <mergeCell ref="A311:C311"/>
    <mergeCell ref="D311:I311"/>
    <mergeCell ref="K311:L311"/>
    <mergeCell ref="M311:N311"/>
    <mergeCell ref="O311:P311"/>
    <mergeCell ref="Q311:R311"/>
    <mergeCell ref="S309:T309"/>
    <mergeCell ref="U309:V309"/>
    <mergeCell ref="W309:Y309"/>
    <mergeCell ref="Z309:AB309"/>
    <mergeCell ref="A310:C310"/>
    <mergeCell ref="D310:I310"/>
    <mergeCell ref="K310:L310"/>
    <mergeCell ref="M310:N310"/>
    <mergeCell ref="O310:P310"/>
    <mergeCell ref="Q310:R310"/>
    <mergeCell ref="S308:T308"/>
    <mergeCell ref="U308:V308"/>
    <mergeCell ref="W308:Y308"/>
    <mergeCell ref="Z308:AB308"/>
    <mergeCell ref="A309:C309"/>
    <mergeCell ref="D309:I309"/>
    <mergeCell ref="K309:L309"/>
    <mergeCell ref="M309:N309"/>
    <mergeCell ref="O309:P309"/>
    <mergeCell ref="Q309:R309"/>
    <mergeCell ref="S307:T307"/>
    <mergeCell ref="U307:V307"/>
    <mergeCell ref="W307:Y307"/>
    <mergeCell ref="Z307:AB307"/>
    <mergeCell ref="A308:C308"/>
    <mergeCell ref="D308:I308"/>
    <mergeCell ref="K308:L308"/>
    <mergeCell ref="M308:N308"/>
    <mergeCell ref="O308:P308"/>
    <mergeCell ref="Q308:R308"/>
    <mergeCell ref="S306:T306"/>
    <mergeCell ref="U306:V306"/>
    <mergeCell ref="W306:Y306"/>
    <mergeCell ref="Z306:AB306"/>
    <mergeCell ref="A307:C307"/>
    <mergeCell ref="D307:I307"/>
    <mergeCell ref="K307:L307"/>
    <mergeCell ref="M307:N307"/>
    <mergeCell ref="O307:P307"/>
    <mergeCell ref="Q307:R307"/>
    <mergeCell ref="A306:C306"/>
    <mergeCell ref="D306:I306"/>
    <mergeCell ref="K306:L306"/>
    <mergeCell ref="M306:N306"/>
    <mergeCell ref="O306:P306"/>
    <mergeCell ref="Q306:R306"/>
    <mergeCell ref="O305:P305"/>
    <mergeCell ref="Q305:R305"/>
    <mergeCell ref="S305:T305"/>
    <mergeCell ref="U305:V305"/>
    <mergeCell ref="W305:Y305"/>
    <mergeCell ref="Z305:AB305"/>
    <mergeCell ref="A304:C304"/>
    <mergeCell ref="D304:AB304"/>
    <mergeCell ref="AC304:AE304"/>
    <mergeCell ref="AF304:AH304"/>
    <mergeCell ref="A305:C305"/>
    <mergeCell ref="D305:I305"/>
    <mergeCell ref="K305:L305"/>
    <mergeCell ref="M305:N305"/>
    <mergeCell ref="S303:T303"/>
    <mergeCell ref="U303:V303"/>
    <mergeCell ref="W303:Y303"/>
    <mergeCell ref="Z303:AB303"/>
    <mergeCell ref="S302:T302"/>
    <mergeCell ref="U302:V302"/>
    <mergeCell ref="W302:Y302"/>
    <mergeCell ref="Z302:AB302"/>
    <mergeCell ref="A303:C303"/>
    <mergeCell ref="D303:I303"/>
    <mergeCell ref="K303:L303"/>
    <mergeCell ref="M303:N303"/>
    <mergeCell ref="O303:P303"/>
    <mergeCell ref="Q303:R303"/>
    <mergeCell ref="S301:T301"/>
    <mergeCell ref="U301:V301"/>
    <mergeCell ref="W301:Y301"/>
    <mergeCell ref="Z301:AB301"/>
    <mergeCell ref="A302:C302"/>
    <mergeCell ref="D302:I302"/>
    <mergeCell ref="K302:L302"/>
    <mergeCell ref="M302:N302"/>
    <mergeCell ref="O302:P302"/>
    <mergeCell ref="Q302:R302"/>
    <mergeCell ref="S300:T300"/>
    <mergeCell ref="U300:V300"/>
    <mergeCell ref="W300:Y300"/>
    <mergeCell ref="Z300:AB300"/>
    <mergeCell ref="A301:C301"/>
    <mergeCell ref="D301:I301"/>
    <mergeCell ref="K301:L301"/>
    <mergeCell ref="M301:N301"/>
    <mergeCell ref="O301:P301"/>
    <mergeCell ref="Q301:R301"/>
    <mergeCell ref="S299:T299"/>
    <mergeCell ref="U299:V299"/>
    <mergeCell ref="W299:Y299"/>
    <mergeCell ref="Z299:AB299"/>
    <mergeCell ref="A300:C300"/>
    <mergeCell ref="D300:I300"/>
    <mergeCell ref="K300:L300"/>
    <mergeCell ref="M300:N300"/>
    <mergeCell ref="O300:P300"/>
    <mergeCell ref="Q300:R300"/>
    <mergeCell ref="S298:T298"/>
    <mergeCell ref="U298:V298"/>
    <mergeCell ref="W298:Y298"/>
    <mergeCell ref="Z298:AB298"/>
    <mergeCell ref="A299:C299"/>
    <mergeCell ref="D299:I299"/>
    <mergeCell ref="K299:L299"/>
    <mergeCell ref="M299:N299"/>
    <mergeCell ref="O299:P299"/>
    <mergeCell ref="Q299:R299"/>
    <mergeCell ref="S297:T297"/>
    <mergeCell ref="U297:V297"/>
    <mergeCell ref="W297:Y297"/>
    <mergeCell ref="Z297:AB297"/>
    <mergeCell ref="A298:C298"/>
    <mergeCell ref="D298:I298"/>
    <mergeCell ref="K298:L298"/>
    <mergeCell ref="M298:N298"/>
    <mergeCell ref="O298:P298"/>
    <mergeCell ref="Q298:R298"/>
    <mergeCell ref="S296:T296"/>
    <mergeCell ref="U296:V296"/>
    <mergeCell ref="W296:Y296"/>
    <mergeCell ref="Z296:AB296"/>
    <mergeCell ref="A297:C297"/>
    <mergeCell ref="D297:I297"/>
    <mergeCell ref="K297:L297"/>
    <mergeCell ref="M297:N297"/>
    <mergeCell ref="O297:P297"/>
    <mergeCell ref="Q297:R297"/>
    <mergeCell ref="S295:T295"/>
    <mergeCell ref="U295:V295"/>
    <mergeCell ref="W295:Y295"/>
    <mergeCell ref="Z295:AB295"/>
    <mergeCell ref="A296:C296"/>
    <mergeCell ref="D296:I296"/>
    <mergeCell ref="K296:L296"/>
    <mergeCell ref="M296:N296"/>
    <mergeCell ref="O296:P296"/>
    <mergeCell ref="Q296:R296"/>
    <mergeCell ref="S294:T294"/>
    <mergeCell ref="U294:V294"/>
    <mergeCell ref="W294:Y294"/>
    <mergeCell ref="Z294:AB294"/>
    <mergeCell ref="A295:C295"/>
    <mergeCell ref="D295:I295"/>
    <mergeCell ref="K295:L295"/>
    <mergeCell ref="M295:N295"/>
    <mergeCell ref="O295:P295"/>
    <mergeCell ref="Q295:R295"/>
    <mergeCell ref="S293:T293"/>
    <mergeCell ref="U293:V293"/>
    <mergeCell ref="W293:Y293"/>
    <mergeCell ref="Z293:AB293"/>
    <mergeCell ref="A294:C294"/>
    <mergeCell ref="D294:I294"/>
    <mergeCell ref="K294:L294"/>
    <mergeCell ref="M294:N294"/>
    <mergeCell ref="O294:P294"/>
    <mergeCell ref="Q294:R294"/>
    <mergeCell ref="S292:T292"/>
    <mergeCell ref="U292:V292"/>
    <mergeCell ref="W292:Y292"/>
    <mergeCell ref="Z292:AB292"/>
    <mergeCell ref="A293:C293"/>
    <mergeCell ref="D293:I293"/>
    <mergeCell ref="K293:L293"/>
    <mergeCell ref="M293:N293"/>
    <mergeCell ref="O293:P293"/>
    <mergeCell ref="Q293:R293"/>
    <mergeCell ref="S291:T291"/>
    <mergeCell ref="U291:V291"/>
    <mergeCell ref="W291:Y291"/>
    <mergeCell ref="Z291:AB291"/>
    <mergeCell ref="A292:C292"/>
    <mergeCell ref="D292:I292"/>
    <mergeCell ref="K292:L292"/>
    <mergeCell ref="M292:N292"/>
    <mergeCell ref="O292:P292"/>
    <mergeCell ref="Q292:R292"/>
    <mergeCell ref="S290:T290"/>
    <mergeCell ref="U290:V290"/>
    <mergeCell ref="W290:Y290"/>
    <mergeCell ref="Z290:AB290"/>
    <mergeCell ref="A291:C291"/>
    <mergeCell ref="D291:I291"/>
    <mergeCell ref="K291:L291"/>
    <mergeCell ref="M291:N291"/>
    <mergeCell ref="O291:P291"/>
    <mergeCell ref="Q291:R291"/>
    <mergeCell ref="S289:T289"/>
    <mergeCell ref="U289:V289"/>
    <mergeCell ref="W289:Y289"/>
    <mergeCell ref="Z289:AB289"/>
    <mergeCell ref="A290:C290"/>
    <mergeCell ref="D290:I290"/>
    <mergeCell ref="K290:L290"/>
    <mergeCell ref="M290:N290"/>
    <mergeCell ref="O290:P290"/>
    <mergeCell ref="Q290:R290"/>
    <mergeCell ref="S288:T288"/>
    <mergeCell ref="U288:V288"/>
    <mergeCell ref="W288:Y288"/>
    <mergeCell ref="Z288:AB288"/>
    <mergeCell ref="A289:C289"/>
    <mergeCell ref="D289:I289"/>
    <mergeCell ref="K289:L289"/>
    <mergeCell ref="M289:N289"/>
    <mergeCell ref="O289:P289"/>
    <mergeCell ref="Q289:R289"/>
    <mergeCell ref="S287:T287"/>
    <mergeCell ref="U287:V287"/>
    <mergeCell ref="W287:Y287"/>
    <mergeCell ref="Z287:AB287"/>
    <mergeCell ref="A288:C288"/>
    <mergeCell ref="D288:I288"/>
    <mergeCell ref="K288:L288"/>
    <mergeCell ref="M288:N288"/>
    <mergeCell ref="O288:P288"/>
    <mergeCell ref="Q288:R288"/>
    <mergeCell ref="S286:T286"/>
    <mergeCell ref="U286:V286"/>
    <mergeCell ref="W286:Y286"/>
    <mergeCell ref="Z286:AB286"/>
    <mergeCell ref="A287:C287"/>
    <mergeCell ref="D287:I287"/>
    <mergeCell ref="K287:L287"/>
    <mergeCell ref="M287:N287"/>
    <mergeCell ref="O287:P287"/>
    <mergeCell ref="Q287:R287"/>
    <mergeCell ref="S285:T285"/>
    <mergeCell ref="U285:V285"/>
    <mergeCell ref="W285:Y285"/>
    <mergeCell ref="Z285:AB285"/>
    <mergeCell ref="A286:C286"/>
    <mergeCell ref="D286:I286"/>
    <mergeCell ref="K286:L286"/>
    <mergeCell ref="M286:N286"/>
    <mergeCell ref="O286:P286"/>
    <mergeCell ref="Q286:R286"/>
    <mergeCell ref="S284:T284"/>
    <mergeCell ref="U284:V284"/>
    <mergeCell ref="W284:Y284"/>
    <mergeCell ref="Z284:AB284"/>
    <mergeCell ref="A285:C285"/>
    <mergeCell ref="D285:I285"/>
    <mergeCell ref="K285:L285"/>
    <mergeCell ref="M285:N285"/>
    <mergeCell ref="O285:P285"/>
    <mergeCell ref="Q285:R285"/>
    <mergeCell ref="S283:T283"/>
    <mergeCell ref="U283:V283"/>
    <mergeCell ref="W283:Y283"/>
    <mergeCell ref="Z283:AB283"/>
    <mergeCell ref="A284:C284"/>
    <mergeCell ref="D284:I284"/>
    <mergeCell ref="K284:L284"/>
    <mergeCell ref="M284:N284"/>
    <mergeCell ref="O284:P284"/>
    <mergeCell ref="Q284:R284"/>
    <mergeCell ref="S282:T282"/>
    <mergeCell ref="U282:V282"/>
    <mergeCell ref="W282:Y282"/>
    <mergeCell ref="Z282:AB282"/>
    <mergeCell ref="A283:C283"/>
    <mergeCell ref="D283:I283"/>
    <mergeCell ref="K283:L283"/>
    <mergeCell ref="M283:N283"/>
    <mergeCell ref="O283:P283"/>
    <mergeCell ref="Q283:R283"/>
    <mergeCell ref="S281:T281"/>
    <mergeCell ref="U281:V281"/>
    <mergeCell ref="W281:Y281"/>
    <mergeCell ref="Z281:AB281"/>
    <mergeCell ref="A282:C282"/>
    <mergeCell ref="D282:I282"/>
    <mergeCell ref="K282:L282"/>
    <mergeCell ref="M282:N282"/>
    <mergeCell ref="O282:P282"/>
    <mergeCell ref="Q282:R282"/>
    <mergeCell ref="S280:T280"/>
    <mergeCell ref="U280:V280"/>
    <mergeCell ref="W280:Y280"/>
    <mergeCell ref="Z280:AB280"/>
    <mergeCell ref="A281:C281"/>
    <mergeCell ref="D281:I281"/>
    <mergeCell ref="K281:L281"/>
    <mergeCell ref="M281:N281"/>
    <mergeCell ref="O281:P281"/>
    <mergeCell ref="Q281:R281"/>
    <mergeCell ref="S279:T279"/>
    <mergeCell ref="U279:V279"/>
    <mergeCell ref="W279:Y279"/>
    <mergeCell ref="Z279:AB279"/>
    <mergeCell ref="A280:C280"/>
    <mergeCell ref="D280:I280"/>
    <mergeCell ref="K280:L280"/>
    <mergeCell ref="M280:N280"/>
    <mergeCell ref="O280:P280"/>
    <mergeCell ref="Q280:R280"/>
    <mergeCell ref="S278:T278"/>
    <mergeCell ref="U278:V278"/>
    <mergeCell ref="W278:Y278"/>
    <mergeCell ref="Z278:AB278"/>
    <mergeCell ref="A279:C279"/>
    <mergeCell ref="D279:I279"/>
    <mergeCell ref="K279:L279"/>
    <mergeCell ref="M279:N279"/>
    <mergeCell ref="O279:P279"/>
    <mergeCell ref="Q279:R279"/>
    <mergeCell ref="S277:T277"/>
    <mergeCell ref="U277:V277"/>
    <mergeCell ref="W277:Y277"/>
    <mergeCell ref="Z277:AB277"/>
    <mergeCell ref="A278:C278"/>
    <mergeCell ref="D278:I278"/>
    <mergeCell ref="K278:L278"/>
    <mergeCell ref="M278:N278"/>
    <mergeCell ref="O278:P278"/>
    <mergeCell ref="Q278:R278"/>
    <mergeCell ref="S276:T276"/>
    <mergeCell ref="U276:V276"/>
    <mergeCell ref="W276:Y276"/>
    <mergeCell ref="Z276:AB276"/>
    <mergeCell ref="A277:C277"/>
    <mergeCell ref="D277:I277"/>
    <mergeCell ref="K277:L277"/>
    <mergeCell ref="M277:N277"/>
    <mergeCell ref="O277:P277"/>
    <mergeCell ref="Q277:R277"/>
    <mergeCell ref="S275:T275"/>
    <mergeCell ref="U275:V275"/>
    <mergeCell ref="W275:Y275"/>
    <mergeCell ref="Z275:AB275"/>
    <mergeCell ref="A276:C276"/>
    <mergeCell ref="D276:I276"/>
    <mergeCell ref="K276:L276"/>
    <mergeCell ref="M276:N276"/>
    <mergeCell ref="O276:P276"/>
    <mergeCell ref="Q276:R276"/>
    <mergeCell ref="S274:T274"/>
    <mergeCell ref="U274:V274"/>
    <mergeCell ref="W274:Y274"/>
    <mergeCell ref="Z274:AB274"/>
    <mergeCell ref="A275:C275"/>
    <mergeCell ref="D275:I275"/>
    <mergeCell ref="K275:L275"/>
    <mergeCell ref="M275:N275"/>
    <mergeCell ref="O275:P275"/>
    <mergeCell ref="Q275:R275"/>
    <mergeCell ref="S273:T273"/>
    <mergeCell ref="U273:V273"/>
    <mergeCell ref="W273:Y273"/>
    <mergeCell ref="Z273:AB273"/>
    <mergeCell ref="A274:C274"/>
    <mergeCell ref="D274:I274"/>
    <mergeCell ref="K274:L274"/>
    <mergeCell ref="M274:N274"/>
    <mergeCell ref="O274:P274"/>
    <mergeCell ref="Q274:R274"/>
    <mergeCell ref="S272:T272"/>
    <mergeCell ref="U272:V272"/>
    <mergeCell ref="W272:Y272"/>
    <mergeCell ref="Z272:AB272"/>
    <mergeCell ref="A273:C273"/>
    <mergeCell ref="D273:I273"/>
    <mergeCell ref="K273:L273"/>
    <mergeCell ref="M273:N273"/>
    <mergeCell ref="O273:P273"/>
    <mergeCell ref="Q273:R273"/>
    <mergeCell ref="S271:T271"/>
    <mergeCell ref="U271:V271"/>
    <mergeCell ref="W271:Y271"/>
    <mergeCell ref="Z271:AB271"/>
    <mergeCell ref="A272:C272"/>
    <mergeCell ref="D272:I272"/>
    <mergeCell ref="K272:L272"/>
    <mergeCell ref="M272:N272"/>
    <mergeCell ref="O272:P272"/>
    <mergeCell ref="Q272:R272"/>
    <mergeCell ref="S270:T270"/>
    <mergeCell ref="U270:V270"/>
    <mergeCell ref="W270:Y270"/>
    <mergeCell ref="Z270:AB270"/>
    <mergeCell ref="A271:C271"/>
    <mergeCell ref="D271:I271"/>
    <mergeCell ref="K271:L271"/>
    <mergeCell ref="M271:N271"/>
    <mergeCell ref="O271:P271"/>
    <mergeCell ref="Q271:R271"/>
    <mergeCell ref="S269:T269"/>
    <mergeCell ref="U269:V269"/>
    <mergeCell ref="W269:Y269"/>
    <mergeCell ref="Z269:AB269"/>
    <mergeCell ref="A270:C270"/>
    <mergeCell ref="D270:I270"/>
    <mergeCell ref="K270:L270"/>
    <mergeCell ref="M270:N270"/>
    <mergeCell ref="O270:P270"/>
    <mergeCell ref="Q270:R270"/>
    <mergeCell ref="S268:T268"/>
    <mergeCell ref="U268:V268"/>
    <mergeCell ref="W268:Y268"/>
    <mergeCell ref="Z268:AB268"/>
    <mergeCell ref="A269:C269"/>
    <mergeCell ref="D269:I269"/>
    <mergeCell ref="K269:L269"/>
    <mergeCell ref="M269:N269"/>
    <mergeCell ref="O269:P269"/>
    <mergeCell ref="Q269:R269"/>
    <mergeCell ref="S267:T267"/>
    <mergeCell ref="U267:V267"/>
    <mergeCell ref="W267:Y267"/>
    <mergeCell ref="Z267:AB267"/>
    <mergeCell ref="A268:C268"/>
    <mergeCell ref="D268:I268"/>
    <mergeCell ref="K268:L268"/>
    <mergeCell ref="M268:N268"/>
    <mergeCell ref="O268:P268"/>
    <mergeCell ref="Q268:R268"/>
    <mergeCell ref="S266:T266"/>
    <mergeCell ref="U266:V266"/>
    <mergeCell ref="W266:Y266"/>
    <mergeCell ref="Z266:AB266"/>
    <mergeCell ref="A267:C267"/>
    <mergeCell ref="D267:I267"/>
    <mergeCell ref="K267:L267"/>
    <mergeCell ref="M267:N267"/>
    <mergeCell ref="O267:P267"/>
    <mergeCell ref="Q267:R267"/>
    <mergeCell ref="S265:T265"/>
    <mergeCell ref="U265:V265"/>
    <mergeCell ref="W265:Y265"/>
    <mergeCell ref="Z265:AB265"/>
    <mergeCell ref="A266:C266"/>
    <mergeCell ref="D266:I266"/>
    <mergeCell ref="K266:L266"/>
    <mergeCell ref="M266:N266"/>
    <mergeCell ref="O266:P266"/>
    <mergeCell ref="Q266:R266"/>
    <mergeCell ref="S264:T264"/>
    <mergeCell ref="U264:V264"/>
    <mergeCell ref="W264:Y264"/>
    <mergeCell ref="Z264:AB264"/>
    <mergeCell ref="A265:C265"/>
    <mergeCell ref="D265:I265"/>
    <mergeCell ref="K265:L265"/>
    <mergeCell ref="M265:N265"/>
    <mergeCell ref="O265:P265"/>
    <mergeCell ref="Q265:R265"/>
    <mergeCell ref="S263:T263"/>
    <mergeCell ref="U263:V263"/>
    <mergeCell ref="W263:Y263"/>
    <mergeCell ref="Z263:AB263"/>
    <mergeCell ref="A264:C264"/>
    <mergeCell ref="D264:I264"/>
    <mergeCell ref="K264:L264"/>
    <mergeCell ref="M264:N264"/>
    <mergeCell ref="O264:P264"/>
    <mergeCell ref="Q264:R264"/>
    <mergeCell ref="S262:T262"/>
    <mergeCell ref="U262:V262"/>
    <mergeCell ref="W262:Y262"/>
    <mergeCell ref="Z262:AB262"/>
    <mergeCell ref="A263:C263"/>
    <mergeCell ref="D263:I263"/>
    <mergeCell ref="K263:L263"/>
    <mergeCell ref="M263:N263"/>
    <mergeCell ref="O263:P263"/>
    <mergeCell ref="Q263:R263"/>
    <mergeCell ref="S261:T261"/>
    <mergeCell ref="U261:V261"/>
    <mergeCell ref="W261:Y261"/>
    <mergeCell ref="Z261:AB261"/>
    <mergeCell ref="A262:C262"/>
    <mergeCell ref="D262:I262"/>
    <mergeCell ref="K262:L262"/>
    <mergeCell ref="M262:N262"/>
    <mergeCell ref="O262:P262"/>
    <mergeCell ref="Q262:R262"/>
    <mergeCell ref="S260:T260"/>
    <mergeCell ref="U260:V260"/>
    <mergeCell ref="W260:Y260"/>
    <mergeCell ref="Z260:AB260"/>
    <mergeCell ref="A261:C261"/>
    <mergeCell ref="D261:I261"/>
    <mergeCell ref="K261:L261"/>
    <mergeCell ref="M261:N261"/>
    <mergeCell ref="O261:P261"/>
    <mergeCell ref="Q261:R261"/>
    <mergeCell ref="S259:T259"/>
    <mergeCell ref="U259:V259"/>
    <mergeCell ref="W259:Y259"/>
    <mergeCell ref="Z259:AB259"/>
    <mergeCell ref="A260:C260"/>
    <mergeCell ref="D260:I260"/>
    <mergeCell ref="K260:L260"/>
    <mergeCell ref="M260:N260"/>
    <mergeCell ref="O260:P260"/>
    <mergeCell ref="Q260:R260"/>
    <mergeCell ref="S258:T258"/>
    <mergeCell ref="U258:V258"/>
    <mergeCell ref="W258:Y258"/>
    <mergeCell ref="Z258:AB258"/>
    <mergeCell ref="A259:C259"/>
    <mergeCell ref="D259:I259"/>
    <mergeCell ref="K259:L259"/>
    <mergeCell ref="M259:N259"/>
    <mergeCell ref="O259:P259"/>
    <mergeCell ref="Q259:R259"/>
    <mergeCell ref="S257:T257"/>
    <mergeCell ref="U257:V257"/>
    <mergeCell ref="W257:Y257"/>
    <mergeCell ref="Z257:AB257"/>
    <mergeCell ref="A258:C258"/>
    <mergeCell ref="D258:I258"/>
    <mergeCell ref="K258:L258"/>
    <mergeCell ref="M258:N258"/>
    <mergeCell ref="O258:P258"/>
    <mergeCell ref="Q258:R258"/>
    <mergeCell ref="S256:T256"/>
    <mergeCell ref="U256:V256"/>
    <mergeCell ref="W256:Y256"/>
    <mergeCell ref="Z256:AB256"/>
    <mergeCell ref="A257:C257"/>
    <mergeCell ref="D257:I257"/>
    <mergeCell ref="K257:L257"/>
    <mergeCell ref="M257:N257"/>
    <mergeCell ref="O257:P257"/>
    <mergeCell ref="Q257:R257"/>
    <mergeCell ref="S255:T255"/>
    <mergeCell ref="U255:V255"/>
    <mergeCell ref="W255:Y255"/>
    <mergeCell ref="Z255:AB255"/>
    <mergeCell ref="A256:C256"/>
    <mergeCell ref="D256:I256"/>
    <mergeCell ref="K256:L256"/>
    <mergeCell ref="M256:N256"/>
    <mergeCell ref="O256:P256"/>
    <mergeCell ref="Q256:R256"/>
    <mergeCell ref="S254:T254"/>
    <mergeCell ref="U254:V254"/>
    <mergeCell ref="W254:Y254"/>
    <mergeCell ref="Z254:AB254"/>
    <mergeCell ref="A255:C255"/>
    <mergeCell ref="D255:I255"/>
    <mergeCell ref="K255:L255"/>
    <mergeCell ref="M255:N255"/>
    <mergeCell ref="O255:P255"/>
    <mergeCell ref="Q255:R255"/>
    <mergeCell ref="S253:T253"/>
    <mergeCell ref="U253:V253"/>
    <mergeCell ref="W253:Y253"/>
    <mergeCell ref="Z253:AB253"/>
    <mergeCell ref="A254:C254"/>
    <mergeCell ref="D254:I254"/>
    <mergeCell ref="K254:L254"/>
    <mergeCell ref="M254:N254"/>
    <mergeCell ref="O254:P254"/>
    <mergeCell ref="Q254:R254"/>
    <mergeCell ref="S252:T252"/>
    <mergeCell ref="U252:V252"/>
    <mergeCell ref="W252:Y252"/>
    <mergeCell ref="Z252:AB252"/>
    <mergeCell ref="A253:C253"/>
    <mergeCell ref="D253:I253"/>
    <mergeCell ref="K253:L253"/>
    <mergeCell ref="M253:N253"/>
    <mergeCell ref="O253:P253"/>
    <mergeCell ref="Q253:R253"/>
    <mergeCell ref="S251:T251"/>
    <mergeCell ref="U251:V251"/>
    <mergeCell ref="W251:Y251"/>
    <mergeCell ref="Z251:AB251"/>
    <mergeCell ref="A252:C252"/>
    <mergeCell ref="D252:I252"/>
    <mergeCell ref="K252:L252"/>
    <mergeCell ref="M252:N252"/>
    <mergeCell ref="O252:P252"/>
    <mergeCell ref="Q252:R252"/>
    <mergeCell ref="S250:T250"/>
    <mergeCell ref="U250:V250"/>
    <mergeCell ref="W250:Y250"/>
    <mergeCell ref="Z250:AB250"/>
    <mergeCell ref="A251:C251"/>
    <mergeCell ref="D251:I251"/>
    <mergeCell ref="K251:L251"/>
    <mergeCell ref="M251:N251"/>
    <mergeCell ref="O251:P251"/>
    <mergeCell ref="Q251:R251"/>
    <mergeCell ref="S249:T249"/>
    <mergeCell ref="U249:V249"/>
    <mergeCell ref="W249:Y249"/>
    <mergeCell ref="Z249:AB249"/>
    <mergeCell ref="A250:C250"/>
    <mergeCell ref="D250:I250"/>
    <mergeCell ref="K250:L250"/>
    <mergeCell ref="M250:N250"/>
    <mergeCell ref="O250:P250"/>
    <mergeCell ref="Q250:R250"/>
    <mergeCell ref="S248:T248"/>
    <mergeCell ref="U248:V248"/>
    <mergeCell ref="W248:Y248"/>
    <mergeCell ref="Z248:AB248"/>
    <mergeCell ref="A249:C249"/>
    <mergeCell ref="D249:I249"/>
    <mergeCell ref="K249:L249"/>
    <mergeCell ref="M249:N249"/>
    <mergeCell ref="O249:P249"/>
    <mergeCell ref="Q249:R249"/>
    <mergeCell ref="Z235:AB235"/>
    <mergeCell ref="D210:AB210"/>
    <mergeCell ref="AC210:AE210"/>
    <mergeCell ref="AF210:AH210"/>
    <mergeCell ref="A248:C248"/>
    <mergeCell ref="D248:I248"/>
    <mergeCell ref="K248:L248"/>
    <mergeCell ref="M248:N248"/>
    <mergeCell ref="O248:P248"/>
    <mergeCell ref="Q248:R248"/>
    <mergeCell ref="Z234:AB234"/>
    <mergeCell ref="A235:C235"/>
    <mergeCell ref="D235:I235"/>
    <mergeCell ref="K235:L235"/>
    <mergeCell ref="M235:N235"/>
    <mergeCell ref="O235:P235"/>
    <mergeCell ref="Q235:R235"/>
    <mergeCell ref="S235:T235"/>
    <mergeCell ref="U235:V235"/>
    <mergeCell ref="W235:Y235"/>
    <mergeCell ref="Z233:AB233"/>
    <mergeCell ref="A234:C234"/>
    <mergeCell ref="D234:I234"/>
    <mergeCell ref="K234:L234"/>
    <mergeCell ref="M234:N234"/>
    <mergeCell ref="O234:P234"/>
    <mergeCell ref="Q234:R234"/>
    <mergeCell ref="S234:T234"/>
    <mergeCell ref="U234:V234"/>
    <mergeCell ref="W234:Y234"/>
    <mergeCell ref="Z232:AB232"/>
    <mergeCell ref="A233:C233"/>
    <mergeCell ref="D233:I233"/>
    <mergeCell ref="K233:L233"/>
    <mergeCell ref="M233:N233"/>
    <mergeCell ref="O233:P233"/>
    <mergeCell ref="Q233:R233"/>
    <mergeCell ref="S233:T233"/>
    <mergeCell ref="U233:V233"/>
    <mergeCell ref="W233:Y233"/>
    <mergeCell ref="Z231:AB231"/>
    <mergeCell ref="A232:C232"/>
    <mergeCell ref="D232:I232"/>
    <mergeCell ref="K232:L232"/>
    <mergeCell ref="M232:N232"/>
    <mergeCell ref="O232:P232"/>
    <mergeCell ref="Q232:R232"/>
    <mergeCell ref="S232:T232"/>
    <mergeCell ref="U232:V232"/>
    <mergeCell ref="W232:Y232"/>
    <mergeCell ref="Z230:AB230"/>
    <mergeCell ref="A231:C231"/>
    <mergeCell ref="D231:I231"/>
    <mergeCell ref="K231:L231"/>
    <mergeCell ref="M231:N231"/>
    <mergeCell ref="O231:P231"/>
    <mergeCell ref="Q231:R231"/>
    <mergeCell ref="S231:T231"/>
    <mergeCell ref="U231:V231"/>
    <mergeCell ref="W231:Y231"/>
    <mergeCell ref="Z229:AB229"/>
    <mergeCell ref="A230:C230"/>
    <mergeCell ref="D230:I230"/>
    <mergeCell ref="K230:L230"/>
    <mergeCell ref="M230:N230"/>
    <mergeCell ref="O230:P230"/>
    <mergeCell ref="Q230:R230"/>
    <mergeCell ref="S230:T230"/>
    <mergeCell ref="U230:V230"/>
    <mergeCell ref="W230:Y230"/>
    <mergeCell ref="Z228:AB228"/>
    <mergeCell ref="A229:C229"/>
    <mergeCell ref="D229:I229"/>
    <mergeCell ref="K229:L229"/>
    <mergeCell ref="M229:N229"/>
    <mergeCell ref="O229:P229"/>
    <mergeCell ref="Q229:R229"/>
    <mergeCell ref="S229:T229"/>
    <mergeCell ref="U229:V229"/>
    <mergeCell ref="W229:Y229"/>
    <mergeCell ref="Z227:AB227"/>
    <mergeCell ref="A228:C228"/>
    <mergeCell ref="D228:I228"/>
    <mergeCell ref="K228:L228"/>
    <mergeCell ref="M228:N228"/>
    <mergeCell ref="O228:P228"/>
    <mergeCell ref="Q228:R228"/>
    <mergeCell ref="S228:T228"/>
    <mergeCell ref="U228:V228"/>
    <mergeCell ref="W228:Y228"/>
    <mergeCell ref="Z226:AB226"/>
    <mergeCell ref="A227:C227"/>
    <mergeCell ref="D227:I227"/>
    <mergeCell ref="K227:L227"/>
    <mergeCell ref="M227:N227"/>
    <mergeCell ref="O227:P227"/>
    <mergeCell ref="Q227:R227"/>
    <mergeCell ref="S227:T227"/>
    <mergeCell ref="U227:V227"/>
    <mergeCell ref="W227:Y227"/>
    <mergeCell ref="Z225:AB225"/>
    <mergeCell ref="A226:C226"/>
    <mergeCell ref="D226:I226"/>
    <mergeCell ref="K226:L226"/>
    <mergeCell ref="M226:N226"/>
    <mergeCell ref="O226:P226"/>
    <mergeCell ref="Q226:R226"/>
    <mergeCell ref="S226:T226"/>
    <mergeCell ref="U226:V226"/>
    <mergeCell ref="W226:Y226"/>
    <mergeCell ref="Z224:AB224"/>
    <mergeCell ref="A225:C225"/>
    <mergeCell ref="D225:I225"/>
    <mergeCell ref="K225:L225"/>
    <mergeCell ref="M225:N225"/>
    <mergeCell ref="O225:P225"/>
    <mergeCell ref="Q225:R225"/>
    <mergeCell ref="S225:T225"/>
    <mergeCell ref="U225:V225"/>
    <mergeCell ref="W225:Y225"/>
    <mergeCell ref="Z223:AB223"/>
    <mergeCell ref="A224:C224"/>
    <mergeCell ref="D224:I224"/>
    <mergeCell ref="K224:L224"/>
    <mergeCell ref="M224:N224"/>
    <mergeCell ref="O224:P224"/>
    <mergeCell ref="Q224:R224"/>
    <mergeCell ref="S224:T224"/>
    <mergeCell ref="U224:V224"/>
    <mergeCell ref="W224:Y224"/>
    <mergeCell ref="Z222:AB222"/>
    <mergeCell ref="A223:C223"/>
    <mergeCell ref="D223:I223"/>
    <mergeCell ref="K223:L223"/>
    <mergeCell ref="M223:N223"/>
    <mergeCell ref="O223:P223"/>
    <mergeCell ref="Q223:R223"/>
    <mergeCell ref="S223:T223"/>
    <mergeCell ref="U223:V223"/>
    <mergeCell ref="W223:Y223"/>
    <mergeCell ref="Z221:AB221"/>
    <mergeCell ref="A222:C222"/>
    <mergeCell ref="D222:I222"/>
    <mergeCell ref="K222:L222"/>
    <mergeCell ref="M222:N222"/>
    <mergeCell ref="O222:P222"/>
    <mergeCell ref="Q222:R222"/>
    <mergeCell ref="S222:T222"/>
    <mergeCell ref="U222:V222"/>
    <mergeCell ref="W222:Y222"/>
    <mergeCell ref="Z220:AB220"/>
    <mergeCell ref="A221:C221"/>
    <mergeCell ref="D221:I221"/>
    <mergeCell ref="K221:L221"/>
    <mergeCell ref="M221:N221"/>
    <mergeCell ref="O221:P221"/>
    <mergeCell ref="Q221:R221"/>
    <mergeCell ref="S221:T221"/>
    <mergeCell ref="U221:V221"/>
    <mergeCell ref="W221:Y221"/>
    <mergeCell ref="Z219:AB219"/>
    <mergeCell ref="A220:C220"/>
    <mergeCell ref="D220:I220"/>
    <mergeCell ref="K220:L220"/>
    <mergeCell ref="M220:N220"/>
    <mergeCell ref="O220:P220"/>
    <mergeCell ref="Q220:R220"/>
    <mergeCell ref="S220:T220"/>
    <mergeCell ref="U220:V220"/>
    <mergeCell ref="W220:Y220"/>
    <mergeCell ref="Z218:AB218"/>
    <mergeCell ref="A219:C219"/>
    <mergeCell ref="D219:I219"/>
    <mergeCell ref="K219:L219"/>
    <mergeCell ref="M219:N219"/>
    <mergeCell ref="O219:P219"/>
    <mergeCell ref="Q219:R219"/>
    <mergeCell ref="S219:T219"/>
    <mergeCell ref="U219:V219"/>
    <mergeCell ref="W219:Y219"/>
    <mergeCell ref="Z217:AB217"/>
    <mergeCell ref="A218:C218"/>
    <mergeCell ref="D218:I218"/>
    <mergeCell ref="K218:L218"/>
    <mergeCell ref="M218:N218"/>
    <mergeCell ref="O218:P218"/>
    <mergeCell ref="Q218:R218"/>
    <mergeCell ref="S218:T218"/>
    <mergeCell ref="U218:V218"/>
    <mergeCell ref="W218:Y218"/>
    <mergeCell ref="Z216:AB216"/>
    <mergeCell ref="A217:C217"/>
    <mergeCell ref="D217:I217"/>
    <mergeCell ref="K217:L217"/>
    <mergeCell ref="M217:N217"/>
    <mergeCell ref="O217:P217"/>
    <mergeCell ref="Q217:R217"/>
    <mergeCell ref="S217:T217"/>
    <mergeCell ref="U217:V217"/>
    <mergeCell ref="W217:Y217"/>
    <mergeCell ref="Z215:AB215"/>
    <mergeCell ref="A216:C216"/>
    <mergeCell ref="D216:I216"/>
    <mergeCell ref="K216:L216"/>
    <mergeCell ref="M216:N216"/>
    <mergeCell ref="O216:P216"/>
    <mergeCell ref="Q216:R216"/>
    <mergeCell ref="S216:T216"/>
    <mergeCell ref="U216:V216"/>
    <mergeCell ref="W216:Y216"/>
    <mergeCell ref="Z214:AB214"/>
    <mergeCell ref="A215:C215"/>
    <mergeCell ref="D215:I215"/>
    <mergeCell ref="K215:L215"/>
    <mergeCell ref="M215:N215"/>
    <mergeCell ref="O215:P215"/>
    <mergeCell ref="Q215:R215"/>
    <mergeCell ref="S215:T215"/>
    <mergeCell ref="U215:V215"/>
    <mergeCell ref="W215:Y215"/>
    <mergeCell ref="Z213:AB213"/>
    <mergeCell ref="A214:C214"/>
    <mergeCell ref="D214:I214"/>
    <mergeCell ref="K214:L214"/>
    <mergeCell ref="M214:N214"/>
    <mergeCell ref="O214:P214"/>
    <mergeCell ref="Q214:R214"/>
    <mergeCell ref="S214:T214"/>
    <mergeCell ref="U214:V214"/>
    <mergeCell ref="W214:Y214"/>
    <mergeCell ref="Z212:AB212"/>
    <mergeCell ref="A213:C213"/>
    <mergeCell ref="D213:I213"/>
    <mergeCell ref="K213:L213"/>
    <mergeCell ref="M213:N213"/>
    <mergeCell ref="O213:P213"/>
    <mergeCell ref="Q213:R213"/>
    <mergeCell ref="S213:T213"/>
    <mergeCell ref="U213:V213"/>
    <mergeCell ref="W213:Y213"/>
    <mergeCell ref="Z211:AB211"/>
    <mergeCell ref="A212:C212"/>
    <mergeCell ref="D212:I212"/>
    <mergeCell ref="K212:L212"/>
    <mergeCell ref="M212:N212"/>
    <mergeCell ref="O212:P212"/>
    <mergeCell ref="Q212:R212"/>
    <mergeCell ref="S212:T212"/>
    <mergeCell ref="U212:V212"/>
    <mergeCell ref="W212:Y212"/>
    <mergeCell ref="A211:C211"/>
    <mergeCell ref="D211:I211"/>
    <mergeCell ref="K211:L211"/>
    <mergeCell ref="M211:N211"/>
    <mergeCell ref="O211:P211"/>
    <mergeCell ref="Q211:R211"/>
    <mergeCell ref="S211:T211"/>
    <mergeCell ref="U211:V211"/>
    <mergeCell ref="W211:Y211"/>
    <mergeCell ref="Z209:AB209"/>
    <mergeCell ref="A210:C210"/>
    <mergeCell ref="Z208:AB208"/>
    <mergeCell ref="A209:C209"/>
    <mergeCell ref="D209:I209"/>
    <mergeCell ref="K209:L209"/>
    <mergeCell ref="M209:N209"/>
    <mergeCell ref="O209:P209"/>
    <mergeCell ref="Q209:R209"/>
    <mergeCell ref="S209:T209"/>
    <mergeCell ref="U209:V209"/>
    <mergeCell ref="W209:Y209"/>
    <mergeCell ref="Z207:AB207"/>
    <mergeCell ref="A208:C208"/>
    <mergeCell ref="D208:I208"/>
    <mergeCell ref="K208:L208"/>
    <mergeCell ref="M208:N208"/>
    <mergeCell ref="O208:P208"/>
    <mergeCell ref="Q208:R208"/>
    <mergeCell ref="S208:T208"/>
    <mergeCell ref="U208:V208"/>
    <mergeCell ref="W208:Y208"/>
    <mergeCell ref="Z247:AB247"/>
    <mergeCell ref="A207:C207"/>
    <mergeCell ref="D207:I207"/>
    <mergeCell ref="K207:L207"/>
    <mergeCell ref="M207:N207"/>
    <mergeCell ref="O207:P207"/>
    <mergeCell ref="Q207:R207"/>
    <mergeCell ref="S207:T207"/>
    <mergeCell ref="U207:V207"/>
    <mergeCell ref="W207:Y207"/>
    <mergeCell ref="Z246:AB246"/>
    <mergeCell ref="A247:C247"/>
    <mergeCell ref="D247:I247"/>
    <mergeCell ref="K247:L247"/>
    <mergeCell ref="M247:N247"/>
    <mergeCell ref="O247:P247"/>
    <mergeCell ref="Q247:R247"/>
    <mergeCell ref="S247:T247"/>
    <mergeCell ref="U247:V247"/>
    <mergeCell ref="W247:Y247"/>
    <mergeCell ref="Z245:AB245"/>
    <mergeCell ref="A246:C246"/>
    <mergeCell ref="D246:I246"/>
    <mergeCell ref="K246:L246"/>
    <mergeCell ref="M246:N246"/>
    <mergeCell ref="O246:P246"/>
    <mergeCell ref="Q246:R246"/>
    <mergeCell ref="S246:T246"/>
    <mergeCell ref="U246:V246"/>
    <mergeCell ref="W246:Y246"/>
    <mergeCell ref="Z244:AB244"/>
    <mergeCell ref="A245:C245"/>
    <mergeCell ref="D245:I245"/>
    <mergeCell ref="K245:L245"/>
    <mergeCell ref="M245:N245"/>
    <mergeCell ref="O245:P245"/>
    <mergeCell ref="Q245:R245"/>
    <mergeCell ref="S245:T245"/>
    <mergeCell ref="U245:V245"/>
    <mergeCell ref="W245:Y245"/>
    <mergeCell ref="Z243:AB243"/>
    <mergeCell ref="A244:C244"/>
    <mergeCell ref="D244:I244"/>
    <mergeCell ref="K244:L244"/>
    <mergeCell ref="M244:N244"/>
    <mergeCell ref="O244:P244"/>
    <mergeCell ref="Q244:R244"/>
    <mergeCell ref="S244:T244"/>
    <mergeCell ref="U244:V244"/>
    <mergeCell ref="W244:Y244"/>
    <mergeCell ref="Z242:AB242"/>
    <mergeCell ref="A243:C243"/>
    <mergeCell ref="D243:I243"/>
    <mergeCell ref="K243:L243"/>
    <mergeCell ref="M243:N243"/>
    <mergeCell ref="O243:P243"/>
    <mergeCell ref="Q243:R243"/>
    <mergeCell ref="S243:T243"/>
    <mergeCell ref="U243:V243"/>
    <mergeCell ref="W243:Y243"/>
    <mergeCell ref="Z241:AB241"/>
    <mergeCell ref="A242:C242"/>
    <mergeCell ref="D242:I242"/>
    <mergeCell ref="K242:L242"/>
    <mergeCell ref="M242:N242"/>
    <mergeCell ref="O242:P242"/>
    <mergeCell ref="Q242:R242"/>
    <mergeCell ref="S242:T242"/>
    <mergeCell ref="U242:V242"/>
    <mergeCell ref="W242:Y242"/>
    <mergeCell ref="Z240:AB240"/>
    <mergeCell ref="A241:C241"/>
    <mergeCell ref="D241:I241"/>
    <mergeCell ref="K241:L241"/>
    <mergeCell ref="M241:N241"/>
    <mergeCell ref="O241:P241"/>
    <mergeCell ref="Q241:R241"/>
    <mergeCell ref="S241:T241"/>
    <mergeCell ref="U241:V241"/>
    <mergeCell ref="W241:Y241"/>
    <mergeCell ref="Z239:AB239"/>
    <mergeCell ref="A240:C240"/>
    <mergeCell ref="D240:I240"/>
    <mergeCell ref="K240:L240"/>
    <mergeCell ref="M240:N240"/>
    <mergeCell ref="O240:P240"/>
    <mergeCell ref="Q240:R240"/>
    <mergeCell ref="S240:T240"/>
    <mergeCell ref="U240:V240"/>
    <mergeCell ref="W240:Y240"/>
    <mergeCell ref="Z238:AB238"/>
    <mergeCell ref="A239:C239"/>
    <mergeCell ref="D239:I239"/>
    <mergeCell ref="K239:L239"/>
    <mergeCell ref="M239:N239"/>
    <mergeCell ref="O239:P239"/>
    <mergeCell ref="Q239:R239"/>
    <mergeCell ref="S239:T239"/>
    <mergeCell ref="U239:V239"/>
    <mergeCell ref="W239:Y239"/>
    <mergeCell ref="Z237:AB237"/>
    <mergeCell ref="A238:C238"/>
    <mergeCell ref="D238:I238"/>
    <mergeCell ref="K238:L238"/>
    <mergeCell ref="M238:N238"/>
    <mergeCell ref="O238:P238"/>
    <mergeCell ref="Q238:R238"/>
    <mergeCell ref="S238:T238"/>
    <mergeCell ref="U238:V238"/>
    <mergeCell ref="W238:Y238"/>
    <mergeCell ref="Z236:AB236"/>
    <mergeCell ref="A237:C237"/>
    <mergeCell ref="D237:I237"/>
    <mergeCell ref="K237:L237"/>
    <mergeCell ref="M237:N237"/>
    <mergeCell ref="O237:P237"/>
    <mergeCell ref="Q237:R237"/>
    <mergeCell ref="S237:T237"/>
    <mergeCell ref="U237:V237"/>
    <mergeCell ref="W237:Y237"/>
    <mergeCell ref="A236:C236"/>
    <mergeCell ref="D236:I236"/>
    <mergeCell ref="K236:L236"/>
    <mergeCell ref="M236:N236"/>
    <mergeCell ref="O236:P236"/>
    <mergeCell ref="Q236:R236"/>
    <mergeCell ref="S236:T236"/>
    <mergeCell ref="U236:V236"/>
    <mergeCell ref="W236:Y236"/>
    <mergeCell ref="Z206:AB206"/>
    <mergeCell ref="A206:C206"/>
    <mergeCell ref="D206:I206"/>
    <mergeCell ref="K206:L206"/>
    <mergeCell ref="M206:N206"/>
    <mergeCell ref="O206:P206"/>
    <mergeCell ref="Q206:R206"/>
    <mergeCell ref="S206:T206"/>
    <mergeCell ref="U206:V206"/>
    <mergeCell ref="W206:Y206"/>
    <mergeCell ref="Z205:AB205"/>
    <mergeCell ref="Z204:AB204"/>
    <mergeCell ref="A205:C205"/>
    <mergeCell ref="D205:I205"/>
    <mergeCell ref="K205:L205"/>
    <mergeCell ref="M205:N205"/>
    <mergeCell ref="O205:P205"/>
    <mergeCell ref="Q205:R205"/>
    <mergeCell ref="S205:T205"/>
    <mergeCell ref="U205:V205"/>
    <mergeCell ref="W205:Y205"/>
    <mergeCell ref="A204:C204"/>
    <mergeCell ref="D204:I204"/>
    <mergeCell ref="K204:L204"/>
    <mergeCell ref="M204:N204"/>
    <mergeCell ref="O204:P204"/>
    <mergeCell ref="Q204:R204"/>
    <mergeCell ref="S204:T204"/>
    <mergeCell ref="U204:V204"/>
    <mergeCell ref="W204:Y204"/>
    <mergeCell ref="AF203:AH203"/>
    <mergeCell ref="D203:AB203"/>
    <mergeCell ref="AC203:AE203"/>
    <mergeCell ref="A203:C203"/>
    <mergeCell ref="W202:Y202"/>
    <mergeCell ref="Z202:AB202"/>
    <mergeCell ref="K202:L202"/>
    <mergeCell ref="M202:N202"/>
    <mergeCell ref="O202:P202"/>
    <mergeCell ref="Q202:R202"/>
    <mergeCell ref="S202:T202"/>
    <mergeCell ref="U202:V202"/>
    <mergeCell ref="W200:Y200"/>
    <mergeCell ref="Z200:AB200"/>
    <mergeCell ref="K201:L201"/>
    <mergeCell ref="M201:N201"/>
    <mergeCell ref="O201:P201"/>
    <mergeCell ref="Q201:R201"/>
    <mergeCell ref="S201:T201"/>
    <mergeCell ref="U201:V201"/>
    <mergeCell ref="W201:Y201"/>
    <mergeCell ref="Z201:AB201"/>
    <mergeCell ref="K200:L200"/>
    <mergeCell ref="M200:N200"/>
    <mergeCell ref="O200:P200"/>
    <mergeCell ref="Q200:R200"/>
    <mergeCell ref="S200:T200"/>
    <mergeCell ref="U200:V200"/>
    <mergeCell ref="W198:Y198"/>
    <mergeCell ref="Z198:AB198"/>
    <mergeCell ref="K199:L199"/>
    <mergeCell ref="M199:N199"/>
    <mergeCell ref="O199:P199"/>
    <mergeCell ref="Q199:R199"/>
    <mergeCell ref="S199:T199"/>
    <mergeCell ref="U199:V199"/>
    <mergeCell ref="W199:Y199"/>
    <mergeCell ref="Z199:AB199"/>
    <mergeCell ref="K198:L198"/>
    <mergeCell ref="M198:N198"/>
    <mergeCell ref="O198:P198"/>
    <mergeCell ref="Q198:R198"/>
    <mergeCell ref="S198:T198"/>
    <mergeCell ref="U198:V198"/>
    <mergeCell ref="W196:Y196"/>
    <mergeCell ref="Z196:AB196"/>
    <mergeCell ref="K197:L197"/>
    <mergeCell ref="M197:N197"/>
    <mergeCell ref="O197:P197"/>
    <mergeCell ref="Q197:R197"/>
    <mergeCell ref="S197:T197"/>
    <mergeCell ref="U197:V197"/>
    <mergeCell ref="W197:Y197"/>
    <mergeCell ref="Z197:AB197"/>
    <mergeCell ref="K196:L196"/>
    <mergeCell ref="M196:N196"/>
    <mergeCell ref="O196:P196"/>
    <mergeCell ref="Q196:R196"/>
    <mergeCell ref="S196:T196"/>
    <mergeCell ref="U196:V196"/>
    <mergeCell ref="W194:Y194"/>
    <mergeCell ref="Z194:AB194"/>
    <mergeCell ref="K195:L195"/>
    <mergeCell ref="M195:N195"/>
    <mergeCell ref="O195:P195"/>
    <mergeCell ref="Q195:R195"/>
    <mergeCell ref="S195:T195"/>
    <mergeCell ref="U195:V195"/>
    <mergeCell ref="W195:Y195"/>
    <mergeCell ref="Z195:AB195"/>
    <mergeCell ref="K194:L194"/>
    <mergeCell ref="M194:N194"/>
    <mergeCell ref="O194:P194"/>
    <mergeCell ref="Q194:R194"/>
    <mergeCell ref="S194:T194"/>
    <mergeCell ref="U194:V194"/>
    <mergeCell ref="W192:Y192"/>
    <mergeCell ref="Z192:AB192"/>
    <mergeCell ref="K193:L193"/>
    <mergeCell ref="M193:N193"/>
    <mergeCell ref="O193:P193"/>
    <mergeCell ref="Q193:R193"/>
    <mergeCell ref="S193:T193"/>
    <mergeCell ref="U193:V193"/>
    <mergeCell ref="W193:Y193"/>
    <mergeCell ref="Z193:AB193"/>
    <mergeCell ref="K192:L192"/>
    <mergeCell ref="M192:N192"/>
    <mergeCell ref="O192:P192"/>
    <mergeCell ref="Q192:R192"/>
    <mergeCell ref="S192:T192"/>
    <mergeCell ref="U192:V192"/>
    <mergeCell ref="W190:Y190"/>
    <mergeCell ref="Z190:AB190"/>
    <mergeCell ref="K191:L191"/>
    <mergeCell ref="M191:N191"/>
    <mergeCell ref="O191:P191"/>
    <mergeCell ref="Q191:R191"/>
    <mergeCell ref="S191:T191"/>
    <mergeCell ref="U191:V191"/>
    <mergeCell ref="W191:Y191"/>
    <mergeCell ref="Z191:AB191"/>
    <mergeCell ref="K190:L190"/>
    <mergeCell ref="M190:N190"/>
    <mergeCell ref="O190:P190"/>
    <mergeCell ref="Q190:R190"/>
    <mergeCell ref="S190:T190"/>
    <mergeCell ref="U190:V190"/>
    <mergeCell ref="W188:Y188"/>
    <mergeCell ref="Z188:AB188"/>
    <mergeCell ref="K189:L189"/>
    <mergeCell ref="M189:N189"/>
    <mergeCell ref="O189:P189"/>
    <mergeCell ref="Q189:R189"/>
    <mergeCell ref="S189:T189"/>
    <mergeCell ref="U189:V189"/>
    <mergeCell ref="W189:Y189"/>
    <mergeCell ref="Z189:AB189"/>
    <mergeCell ref="K188:L188"/>
    <mergeCell ref="M188:N188"/>
    <mergeCell ref="O188:P188"/>
    <mergeCell ref="Q188:R188"/>
    <mergeCell ref="S188:T188"/>
    <mergeCell ref="U188:V188"/>
    <mergeCell ref="W186:Y186"/>
    <mergeCell ref="Z186:AB186"/>
    <mergeCell ref="K187:L187"/>
    <mergeCell ref="M187:N187"/>
    <mergeCell ref="O187:P187"/>
    <mergeCell ref="Q187:R187"/>
    <mergeCell ref="S187:T187"/>
    <mergeCell ref="U187:V187"/>
    <mergeCell ref="W187:Y187"/>
    <mergeCell ref="Z187:AB187"/>
    <mergeCell ref="K186:L186"/>
    <mergeCell ref="M186:N186"/>
    <mergeCell ref="O186:P186"/>
    <mergeCell ref="Q186:R186"/>
    <mergeCell ref="S186:T186"/>
    <mergeCell ref="U186:V186"/>
    <mergeCell ref="W184:Y184"/>
    <mergeCell ref="Z184:AB184"/>
    <mergeCell ref="K185:L185"/>
    <mergeCell ref="M185:N185"/>
    <mergeCell ref="O185:P185"/>
    <mergeCell ref="Q185:R185"/>
    <mergeCell ref="S185:T185"/>
    <mergeCell ref="U185:V185"/>
    <mergeCell ref="W185:Y185"/>
    <mergeCell ref="Z185:AB185"/>
    <mergeCell ref="K184:L184"/>
    <mergeCell ref="M184:N184"/>
    <mergeCell ref="O184:P184"/>
    <mergeCell ref="Q184:R184"/>
    <mergeCell ref="S184:T184"/>
    <mergeCell ref="U184:V184"/>
    <mergeCell ref="W182:Y182"/>
    <mergeCell ref="Z182:AB182"/>
    <mergeCell ref="K183:L183"/>
    <mergeCell ref="M183:N183"/>
    <mergeCell ref="O183:P183"/>
    <mergeCell ref="Q183:R183"/>
    <mergeCell ref="S183:T183"/>
    <mergeCell ref="U183:V183"/>
    <mergeCell ref="W183:Y183"/>
    <mergeCell ref="Z183:AB183"/>
    <mergeCell ref="K182:L182"/>
    <mergeCell ref="M182:N182"/>
    <mergeCell ref="O182:P182"/>
    <mergeCell ref="Q182:R182"/>
    <mergeCell ref="S182:T182"/>
    <mergeCell ref="U182:V182"/>
    <mergeCell ref="W180:Y180"/>
    <mergeCell ref="Z180:AB180"/>
    <mergeCell ref="K181:L181"/>
    <mergeCell ref="M181:N181"/>
    <mergeCell ref="O181:P181"/>
    <mergeCell ref="Q181:R181"/>
    <mergeCell ref="S181:T181"/>
    <mergeCell ref="U181:V181"/>
    <mergeCell ref="W181:Y181"/>
    <mergeCell ref="Z181:AB181"/>
    <mergeCell ref="K180:L180"/>
    <mergeCell ref="M180:N180"/>
    <mergeCell ref="O180:P180"/>
    <mergeCell ref="Q180:R180"/>
    <mergeCell ref="S180:T180"/>
    <mergeCell ref="U180:V180"/>
    <mergeCell ref="W178:Y178"/>
    <mergeCell ref="Z178:AB178"/>
    <mergeCell ref="K179:L179"/>
    <mergeCell ref="M179:N179"/>
    <mergeCell ref="O179:P179"/>
    <mergeCell ref="Q179:R179"/>
    <mergeCell ref="S179:T179"/>
    <mergeCell ref="U179:V179"/>
    <mergeCell ref="W179:Y179"/>
    <mergeCell ref="Z179:AB179"/>
    <mergeCell ref="K178:L178"/>
    <mergeCell ref="M178:N178"/>
    <mergeCell ref="O178:P178"/>
    <mergeCell ref="Q178:R178"/>
    <mergeCell ref="S178:T178"/>
    <mergeCell ref="U178:V178"/>
    <mergeCell ref="W176:Y176"/>
    <mergeCell ref="Z176:AB176"/>
    <mergeCell ref="K177:L177"/>
    <mergeCell ref="M177:N177"/>
    <mergeCell ref="O177:P177"/>
    <mergeCell ref="Q177:R177"/>
    <mergeCell ref="S177:T177"/>
    <mergeCell ref="U177:V177"/>
    <mergeCell ref="W177:Y177"/>
    <mergeCell ref="Z177:AB177"/>
    <mergeCell ref="K176:L176"/>
    <mergeCell ref="M176:N176"/>
    <mergeCell ref="O176:P176"/>
    <mergeCell ref="Q176:R176"/>
    <mergeCell ref="S176:T176"/>
    <mergeCell ref="U176:V176"/>
    <mergeCell ref="W174:Y174"/>
    <mergeCell ref="Z174:AB174"/>
    <mergeCell ref="K175:L175"/>
    <mergeCell ref="M175:N175"/>
    <mergeCell ref="O175:P175"/>
    <mergeCell ref="Q175:R175"/>
    <mergeCell ref="S175:T175"/>
    <mergeCell ref="U175:V175"/>
    <mergeCell ref="W175:Y175"/>
    <mergeCell ref="Z175:AB175"/>
    <mergeCell ref="K174:L174"/>
    <mergeCell ref="M174:N174"/>
    <mergeCell ref="O174:P174"/>
    <mergeCell ref="Q174:R174"/>
    <mergeCell ref="S174:T174"/>
    <mergeCell ref="U174:V174"/>
    <mergeCell ref="W172:Y172"/>
    <mergeCell ref="Z172:AB172"/>
    <mergeCell ref="K173:L173"/>
    <mergeCell ref="M173:N173"/>
    <mergeCell ref="O173:P173"/>
    <mergeCell ref="Q173:R173"/>
    <mergeCell ref="S173:T173"/>
    <mergeCell ref="U173:V173"/>
    <mergeCell ref="W173:Y173"/>
    <mergeCell ref="Z173:AB173"/>
    <mergeCell ref="K172:L172"/>
    <mergeCell ref="M172:N172"/>
    <mergeCell ref="O172:P172"/>
    <mergeCell ref="Q172:R172"/>
    <mergeCell ref="S172:T172"/>
    <mergeCell ref="U172:V172"/>
    <mergeCell ref="W170:Y170"/>
    <mergeCell ref="Z170:AB170"/>
    <mergeCell ref="K171:L171"/>
    <mergeCell ref="M171:N171"/>
    <mergeCell ref="O171:P171"/>
    <mergeCell ref="Q171:R171"/>
    <mergeCell ref="S171:T171"/>
    <mergeCell ref="U171:V171"/>
    <mergeCell ref="W171:Y171"/>
    <mergeCell ref="Z171:AB171"/>
    <mergeCell ref="K170:L170"/>
    <mergeCell ref="M170:N170"/>
    <mergeCell ref="O170:P170"/>
    <mergeCell ref="Q170:R170"/>
    <mergeCell ref="S170:T170"/>
    <mergeCell ref="U170:V170"/>
    <mergeCell ref="W168:Y168"/>
    <mergeCell ref="Z168:AB168"/>
    <mergeCell ref="K169:L169"/>
    <mergeCell ref="M169:N169"/>
    <mergeCell ref="O169:P169"/>
    <mergeCell ref="Q169:R169"/>
    <mergeCell ref="S169:T169"/>
    <mergeCell ref="U169:V169"/>
    <mergeCell ref="W169:Y169"/>
    <mergeCell ref="Z169:AB169"/>
    <mergeCell ref="K168:L168"/>
    <mergeCell ref="M168:N168"/>
    <mergeCell ref="O168:P168"/>
    <mergeCell ref="Q168:R168"/>
    <mergeCell ref="S168:T168"/>
    <mergeCell ref="U168:V168"/>
    <mergeCell ref="W166:Y166"/>
    <mergeCell ref="Z166:AB166"/>
    <mergeCell ref="K167:L167"/>
    <mergeCell ref="M167:N167"/>
    <mergeCell ref="O167:P167"/>
    <mergeCell ref="Q167:R167"/>
    <mergeCell ref="S167:T167"/>
    <mergeCell ref="U167:V167"/>
    <mergeCell ref="W167:Y167"/>
    <mergeCell ref="Z167:AB167"/>
    <mergeCell ref="K166:L166"/>
    <mergeCell ref="M166:N166"/>
    <mergeCell ref="O166:P166"/>
    <mergeCell ref="Q166:R166"/>
    <mergeCell ref="S166:T166"/>
    <mergeCell ref="U166:V166"/>
    <mergeCell ref="W164:Y164"/>
    <mergeCell ref="Z164:AB164"/>
    <mergeCell ref="K165:L165"/>
    <mergeCell ref="M165:N165"/>
    <mergeCell ref="O165:P165"/>
    <mergeCell ref="Q165:R165"/>
    <mergeCell ref="S165:T165"/>
    <mergeCell ref="U165:V165"/>
    <mergeCell ref="W165:Y165"/>
    <mergeCell ref="Z165:AB165"/>
    <mergeCell ref="K164:L164"/>
    <mergeCell ref="M164:N164"/>
    <mergeCell ref="O164:P164"/>
    <mergeCell ref="Q164:R164"/>
    <mergeCell ref="S164:T164"/>
    <mergeCell ref="U164:V164"/>
    <mergeCell ref="W162:Y162"/>
    <mergeCell ref="Z162:AB162"/>
    <mergeCell ref="K163:L163"/>
    <mergeCell ref="M163:N163"/>
    <mergeCell ref="O163:P163"/>
    <mergeCell ref="Q163:R163"/>
    <mergeCell ref="S163:T163"/>
    <mergeCell ref="U163:V163"/>
    <mergeCell ref="W163:Y163"/>
    <mergeCell ref="Z163:AB163"/>
    <mergeCell ref="K162:L162"/>
    <mergeCell ref="M162:N162"/>
    <mergeCell ref="O162:P162"/>
    <mergeCell ref="Q162:R162"/>
    <mergeCell ref="S162:T162"/>
    <mergeCell ref="U162:V162"/>
    <mergeCell ref="W160:Y160"/>
    <mergeCell ref="Z160:AB160"/>
    <mergeCell ref="K161:L161"/>
    <mergeCell ref="M161:N161"/>
    <mergeCell ref="O161:P161"/>
    <mergeCell ref="Q161:R161"/>
    <mergeCell ref="S161:T161"/>
    <mergeCell ref="U161:V161"/>
    <mergeCell ref="W161:Y161"/>
    <mergeCell ref="Z161:AB161"/>
    <mergeCell ref="K160:L160"/>
    <mergeCell ref="M160:N160"/>
    <mergeCell ref="O160:P160"/>
    <mergeCell ref="Q160:R160"/>
    <mergeCell ref="S160:T160"/>
    <mergeCell ref="U160:V160"/>
    <mergeCell ref="W158:Y158"/>
    <mergeCell ref="Z158:AB158"/>
    <mergeCell ref="K159:L159"/>
    <mergeCell ref="M159:N159"/>
    <mergeCell ref="O159:P159"/>
    <mergeCell ref="Q159:R159"/>
    <mergeCell ref="S159:T159"/>
    <mergeCell ref="U159:V159"/>
    <mergeCell ref="W159:Y159"/>
    <mergeCell ref="Z159:AB159"/>
    <mergeCell ref="K158:L158"/>
    <mergeCell ref="M158:N158"/>
    <mergeCell ref="O158:P158"/>
    <mergeCell ref="Q158:R158"/>
    <mergeCell ref="S158:T158"/>
    <mergeCell ref="U158:V158"/>
    <mergeCell ref="W156:Y156"/>
    <mergeCell ref="Z156:AB156"/>
    <mergeCell ref="K157:L157"/>
    <mergeCell ref="M157:N157"/>
    <mergeCell ref="O157:P157"/>
    <mergeCell ref="Q157:R157"/>
    <mergeCell ref="S157:T157"/>
    <mergeCell ref="U157:V157"/>
    <mergeCell ref="W157:Y157"/>
    <mergeCell ref="Z157:AB157"/>
    <mergeCell ref="K156:L156"/>
    <mergeCell ref="M156:N156"/>
    <mergeCell ref="O156:P156"/>
    <mergeCell ref="Q156:R156"/>
    <mergeCell ref="S156:T156"/>
    <mergeCell ref="U156:V156"/>
    <mergeCell ref="W154:Y154"/>
    <mergeCell ref="Z154:AB154"/>
    <mergeCell ref="K155:L155"/>
    <mergeCell ref="M155:N155"/>
    <mergeCell ref="O155:P155"/>
    <mergeCell ref="Q155:R155"/>
    <mergeCell ref="S155:T155"/>
    <mergeCell ref="U155:V155"/>
    <mergeCell ref="W155:Y155"/>
    <mergeCell ref="Z155:AB155"/>
    <mergeCell ref="K154:L154"/>
    <mergeCell ref="M154:N154"/>
    <mergeCell ref="O154:P154"/>
    <mergeCell ref="Q154:R154"/>
    <mergeCell ref="S154:T154"/>
    <mergeCell ref="U154:V154"/>
    <mergeCell ref="W152:Y152"/>
    <mergeCell ref="Z152:AB152"/>
    <mergeCell ref="K153:L153"/>
    <mergeCell ref="M153:N153"/>
    <mergeCell ref="O153:P153"/>
    <mergeCell ref="Q153:R153"/>
    <mergeCell ref="S153:T153"/>
    <mergeCell ref="U153:V153"/>
    <mergeCell ref="W153:Y153"/>
    <mergeCell ref="Z153:AB153"/>
    <mergeCell ref="K152:L152"/>
    <mergeCell ref="M152:N152"/>
    <mergeCell ref="O152:P152"/>
    <mergeCell ref="Q152:R152"/>
    <mergeCell ref="S152:T152"/>
    <mergeCell ref="U152:V152"/>
    <mergeCell ref="W150:Y150"/>
    <mergeCell ref="Z150:AB150"/>
    <mergeCell ref="K151:L151"/>
    <mergeCell ref="M151:N151"/>
    <mergeCell ref="O151:P151"/>
    <mergeCell ref="Q151:R151"/>
    <mergeCell ref="S151:T151"/>
    <mergeCell ref="U151:V151"/>
    <mergeCell ref="W151:Y151"/>
    <mergeCell ref="Z151:AB151"/>
    <mergeCell ref="K150:L150"/>
    <mergeCell ref="M150:N150"/>
    <mergeCell ref="O150:P150"/>
    <mergeCell ref="Q150:R150"/>
    <mergeCell ref="S150:T150"/>
    <mergeCell ref="U150:V150"/>
    <mergeCell ref="W148:Y148"/>
    <mergeCell ref="Z148:AB148"/>
    <mergeCell ref="K149:L149"/>
    <mergeCell ref="M149:N149"/>
    <mergeCell ref="O149:P149"/>
    <mergeCell ref="Q149:R149"/>
    <mergeCell ref="S149:T149"/>
    <mergeCell ref="U149:V149"/>
    <mergeCell ref="W149:Y149"/>
    <mergeCell ref="Z149:AB149"/>
    <mergeCell ref="K148:L148"/>
    <mergeCell ref="M148:N148"/>
    <mergeCell ref="O148:P148"/>
    <mergeCell ref="Q148:R148"/>
    <mergeCell ref="S148:T148"/>
    <mergeCell ref="U148:V148"/>
    <mergeCell ref="W146:Y146"/>
    <mergeCell ref="Z146:AB146"/>
    <mergeCell ref="K147:L147"/>
    <mergeCell ref="M147:N147"/>
    <mergeCell ref="O147:P147"/>
    <mergeCell ref="Q147:R147"/>
    <mergeCell ref="S147:T147"/>
    <mergeCell ref="U147:V147"/>
    <mergeCell ref="W147:Y147"/>
    <mergeCell ref="Z147:AB147"/>
    <mergeCell ref="K146:L146"/>
    <mergeCell ref="M146:N146"/>
    <mergeCell ref="O146:P146"/>
    <mergeCell ref="Q146:R146"/>
    <mergeCell ref="S146:T146"/>
    <mergeCell ref="U146:V146"/>
    <mergeCell ref="W144:Y144"/>
    <mergeCell ref="Z144:AB144"/>
    <mergeCell ref="K145:L145"/>
    <mergeCell ref="M145:N145"/>
    <mergeCell ref="O145:P145"/>
    <mergeCell ref="Q145:R145"/>
    <mergeCell ref="S145:T145"/>
    <mergeCell ref="U145:V145"/>
    <mergeCell ref="W145:Y145"/>
    <mergeCell ref="Z145:AB145"/>
    <mergeCell ref="K144:L144"/>
    <mergeCell ref="M144:N144"/>
    <mergeCell ref="O144:P144"/>
    <mergeCell ref="Q144:R144"/>
    <mergeCell ref="S144:T144"/>
    <mergeCell ref="U144:V144"/>
    <mergeCell ref="W142:Y142"/>
    <mergeCell ref="Z142:AB142"/>
    <mergeCell ref="K143:L143"/>
    <mergeCell ref="M143:N143"/>
    <mergeCell ref="O143:P143"/>
    <mergeCell ref="Q143:R143"/>
    <mergeCell ref="S143:T143"/>
    <mergeCell ref="U143:V143"/>
    <mergeCell ref="W143:Y143"/>
    <mergeCell ref="Z143:AB143"/>
    <mergeCell ref="K142:L142"/>
    <mergeCell ref="M142:N142"/>
    <mergeCell ref="O142:P142"/>
    <mergeCell ref="Q142:R142"/>
    <mergeCell ref="S142:T142"/>
    <mergeCell ref="U142:V142"/>
    <mergeCell ref="W140:Y140"/>
    <mergeCell ref="Z140:AB140"/>
    <mergeCell ref="K141:L141"/>
    <mergeCell ref="M141:N141"/>
    <mergeCell ref="O141:P141"/>
    <mergeCell ref="Q141:R141"/>
    <mergeCell ref="S141:T141"/>
    <mergeCell ref="U141:V141"/>
    <mergeCell ref="W141:Y141"/>
    <mergeCell ref="Z141:AB141"/>
    <mergeCell ref="K140:L140"/>
    <mergeCell ref="M140:N140"/>
    <mergeCell ref="O140:P140"/>
    <mergeCell ref="Q140:R140"/>
    <mergeCell ref="S140:T140"/>
    <mergeCell ref="U140:V140"/>
    <mergeCell ref="W138:Y138"/>
    <mergeCell ref="Z138:AB138"/>
    <mergeCell ref="K139:L139"/>
    <mergeCell ref="M139:N139"/>
    <mergeCell ref="O139:P139"/>
    <mergeCell ref="Q139:R139"/>
    <mergeCell ref="S139:T139"/>
    <mergeCell ref="U139:V139"/>
    <mergeCell ref="W139:Y139"/>
    <mergeCell ref="Z139:AB139"/>
    <mergeCell ref="K138:L138"/>
    <mergeCell ref="M138:N138"/>
    <mergeCell ref="O138:P138"/>
    <mergeCell ref="Q138:R138"/>
    <mergeCell ref="S138:T138"/>
    <mergeCell ref="U138:V138"/>
    <mergeCell ref="W136:Y136"/>
    <mergeCell ref="Z136:AB136"/>
    <mergeCell ref="K137:L137"/>
    <mergeCell ref="M137:N137"/>
    <mergeCell ref="O137:P137"/>
    <mergeCell ref="Q137:R137"/>
    <mergeCell ref="S137:T137"/>
    <mergeCell ref="U137:V137"/>
    <mergeCell ref="W137:Y137"/>
    <mergeCell ref="Z137:AB137"/>
    <mergeCell ref="K136:L136"/>
    <mergeCell ref="M136:N136"/>
    <mergeCell ref="O136:P136"/>
    <mergeCell ref="Q136:R136"/>
    <mergeCell ref="S136:T136"/>
    <mergeCell ref="U136:V136"/>
    <mergeCell ref="W134:Y134"/>
    <mergeCell ref="Z134:AB134"/>
    <mergeCell ref="K135:L135"/>
    <mergeCell ref="M135:N135"/>
    <mergeCell ref="O135:P135"/>
    <mergeCell ref="Q135:R135"/>
    <mergeCell ref="S135:T135"/>
    <mergeCell ref="U135:V135"/>
    <mergeCell ref="W135:Y135"/>
    <mergeCell ref="Z135:AB135"/>
    <mergeCell ref="K134:L134"/>
    <mergeCell ref="M134:N134"/>
    <mergeCell ref="O134:P134"/>
    <mergeCell ref="Q134:R134"/>
    <mergeCell ref="S134:T134"/>
    <mergeCell ref="U134:V134"/>
    <mergeCell ref="W132:Y132"/>
    <mergeCell ref="Z132:AB132"/>
    <mergeCell ref="K133:L133"/>
    <mergeCell ref="M133:N133"/>
    <mergeCell ref="O133:P133"/>
    <mergeCell ref="Q133:R133"/>
    <mergeCell ref="S133:T133"/>
    <mergeCell ref="U133:V133"/>
    <mergeCell ref="W133:Y133"/>
    <mergeCell ref="Z133:AB133"/>
    <mergeCell ref="K132:L132"/>
    <mergeCell ref="M132:N132"/>
    <mergeCell ref="O132:P132"/>
    <mergeCell ref="Q132:R132"/>
    <mergeCell ref="S132:T132"/>
    <mergeCell ref="U132:V132"/>
    <mergeCell ref="W130:Y130"/>
    <mergeCell ref="Z130:AB130"/>
    <mergeCell ref="K131:L131"/>
    <mergeCell ref="M131:N131"/>
    <mergeCell ref="O131:P131"/>
    <mergeCell ref="Q131:R131"/>
    <mergeCell ref="S131:T131"/>
    <mergeCell ref="U131:V131"/>
    <mergeCell ref="W131:Y131"/>
    <mergeCell ref="Z131:AB131"/>
    <mergeCell ref="K130:L130"/>
    <mergeCell ref="M130:N130"/>
    <mergeCell ref="O130:P130"/>
    <mergeCell ref="Q130:R130"/>
    <mergeCell ref="S130:T130"/>
    <mergeCell ref="U130:V130"/>
    <mergeCell ref="W128:Y128"/>
    <mergeCell ref="Z128:AB128"/>
    <mergeCell ref="K129:L129"/>
    <mergeCell ref="M129:N129"/>
    <mergeCell ref="O129:P129"/>
    <mergeCell ref="Q129:R129"/>
    <mergeCell ref="S129:T129"/>
    <mergeCell ref="U129:V129"/>
    <mergeCell ref="W129:Y129"/>
    <mergeCell ref="Z129:AB129"/>
    <mergeCell ref="K128:L128"/>
    <mergeCell ref="M128:N128"/>
    <mergeCell ref="O128:P128"/>
    <mergeCell ref="Q128:R128"/>
    <mergeCell ref="S128:T128"/>
    <mergeCell ref="U128:V128"/>
    <mergeCell ref="W126:Y126"/>
    <mergeCell ref="Z126:AB126"/>
    <mergeCell ref="K127:L127"/>
    <mergeCell ref="M127:N127"/>
    <mergeCell ref="O127:P127"/>
    <mergeCell ref="Q127:R127"/>
    <mergeCell ref="S127:T127"/>
    <mergeCell ref="U127:V127"/>
    <mergeCell ref="W127:Y127"/>
    <mergeCell ref="Z127:AB127"/>
    <mergeCell ref="K126:L126"/>
    <mergeCell ref="M126:N126"/>
    <mergeCell ref="O126:P126"/>
    <mergeCell ref="Q126:R126"/>
    <mergeCell ref="S126:T126"/>
    <mergeCell ref="U126:V126"/>
    <mergeCell ref="W124:Y124"/>
    <mergeCell ref="Z124:AB124"/>
    <mergeCell ref="K125:L125"/>
    <mergeCell ref="M125:N125"/>
    <mergeCell ref="O125:P125"/>
    <mergeCell ref="Q125:R125"/>
    <mergeCell ref="S125:T125"/>
    <mergeCell ref="U125:V125"/>
    <mergeCell ref="W125:Y125"/>
    <mergeCell ref="Z125:AB125"/>
    <mergeCell ref="K124:L124"/>
    <mergeCell ref="M124:N124"/>
    <mergeCell ref="O124:P124"/>
    <mergeCell ref="Q124:R124"/>
    <mergeCell ref="S124:T124"/>
    <mergeCell ref="U124:V124"/>
    <mergeCell ref="Z122:AB122"/>
    <mergeCell ref="K123:L123"/>
    <mergeCell ref="M123:N123"/>
    <mergeCell ref="O123:P123"/>
    <mergeCell ref="Q123:R123"/>
    <mergeCell ref="S123:T123"/>
    <mergeCell ref="U123:V123"/>
    <mergeCell ref="W123:Y123"/>
    <mergeCell ref="Z123:AB123"/>
    <mergeCell ref="K122:L122"/>
    <mergeCell ref="M122:N122"/>
    <mergeCell ref="O122:P122"/>
    <mergeCell ref="Q122:R122"/>
    <mergeCell ref="S122:T122"/>
    <mergeCell ref="U122:V122"/>
    <mergeCell ref="W120:Y120"/>
    <mergeCell ref="Z120:AB120"/>
    <mergeCell ref="K121:L121"/>
    <mergeCell ref="M121:N121"/>
    <mergeCell ref="O121:P121"/>
    <mergeCell ref="Q121:R121"/>
    <mergeCell ref="S121:T121"/>
    <mergeCell ref="U121:V121"/>
    <mergeCell ref="W121:Y121"/>
    <mergeCell ref="Z121:AB121"/>
    <mergeCell ref="U119:V119"/>
    <mergeCell ref="W119:Y119"/>
    <mergeCell ref="Z119:AB119"/>
    <mergeCell ref="K120:L120"/>
    <mergeCell ref="M120:N120"/>
    <mergeCell ref="O120:P120"/>
    <mergeCell ref="Q120:R120"/>
    <mergeCell ref="S120:T120"/>
    <mergeCell ref="U120:V120"/>
    <mergeCell ref="A202:C202"/>
    <mergeCell ref="K118:L118"/>
    <mergeCell ref="M118:N118"/>
    <mergeCell ref="O118:P118"/>
    <mergeCell ref="Q118:R118"/>
    <mergeCell ref="S118:T118"/>
    <mergeCell ref="K119:L119"/>
    <mergeCell ref="M119:N119"/>
    <mergeCell ref="O119:P119"/>
    <mergeCell ref="Q119:R119"/>
    <mergeCell ref="A196:C196"/>
    <mergeCell ref="A197:C197"/>
    <mergeCell ref="A198:C198"/>
    <mergeCell ref="A199:C199"/>
    <mergeCell ref="A200:C200"/>
    <mergeCell ref="A201:C201"/>
    <mergeCell ref="A190:C190"/>
    <mergeCell ref="A191:C191"/>
    <mergeCell ref="A192:C192"/>
    <mergeCell ref="A193:C193"/>
    <mergeCell ref="A194:C194"/>
    <mergeCell ref="A195:C195"/>
    <mergeCell ref="W122:Y122"/>
    <mergeCell ref="A184:C184"/>
    <mergeCell ref="A185:C185"/>
    <mergeCell ref="A186:C186"/>
    <mergeCell ref="A187:C187"/>
    <mergeCell ref="A188:C188"/>
    <mergeCell ref="A189:C189"/>
    <mergeCell ref="A178:C178"/>
    <mergeCell ref="A179:C179"/>
    <mergeCell ref="A180:C180"/>
    <mergeCell ref="A181:C181"/>
    <mergeCell ref="A182:C182"/>
    <mergeCell ref="A183:C183"/>
    <mergeCell ref="A172:C172"/>
    <mergeCell ref="A173:C173"/>
    <mergeCell ref="A174:C174"/>
    <mergeCell ref="A175:C175"/>
    <mergeCell ref="A176:C176"/>
    <mergeCell ref="A177:C177"/>
    <mergeCell ref="A166:C166"/>
    <mergeCell ref="A167:C167"/>
    <mergeCell ref="A168:C168"/>
    <mergeCell ref="A169:C169"/>
    <mergeCell ref="A170:C170"/>
    <mergeCell ref="A171:C171"/>
    <mergeCell ref="A160:C160"/>
    <mergeCell ref="A161:C161"/>
    <mergeCell ref="A162:C162"/>
    <mergeCell ref="A163:C163"/>
    <mergeCell ref="A164:C164"/>
    <mergeCell ref="A165:C165"/>
    <mergeCell ref="A154:C154"/>
    <mergeCell ref="A155:C155"/>
    <mergeCell ref="A156:C156"/>
    <mergeCell ref="A157:C157"/>
    <mergeCell ref="A158:C158"/>
    <mergeCell ref="A159:C159"/>
    <mergeCell ref="A148:C148"/>
    <mergeCell ref="A149:C149"/>
    <mergeCell ref="A150:C150"/>
    <mergeCell ref="A151:C151"/>
    <mergeCell ref="A152:C152"/>
    <mergeCell ref="A153:C153"/>
    <mergeCell ref="A142:C142"/>
    <mergeCell ref="A143:C143"/>
    <mergeCell ref="A144:C144"/>
    <mergeCell ref="A145:C145"/>
    <mergeCell ref="A146:C146"/>
    <mergeCell ref="A147:C147"/>
    <mergeCell ref="A136:C136"/>
    <mergeCell ref="A137:C137"/>
    <mergeCell ref="A138:C138"/>
    <mergeCell ref="A139:C139"/>
    <mergeCell ref="A140:C140"/>
    <mergeCell ref="A141:C141"/>
    <mergeCell ref="A130:C130"/>
    <mergeCell ref="A131:C131"/>
    <mergeCell ref="A132:C132"/>
    <mergeCell ref="A133:C133"/>
    <mergeCell ref="A134:C134"/>
    <mergeCell ref="A135:C135"/>
    <mergeCell ref="A124:C124"/>
    <mergeCell ref="A125:C125"/>
    <mergeCell ref="A126:C126"/>
    <mergeCell ref="A127:C127"/>
    <mergeCell ref="A128:C128"/>
    <mergeCell ref="A129:C129"/>
    <mergeCell ref="A118:C118"/>
    <mergeCell ref="A119:C119"/>
    <mergeCell ref="A120:C120"/>
    <mergeCell ref="A121:C121"/>
    <mergeCell ref="A122:C122"/>
    <mergeCell ref="A123:C123"/>
    <mergeCell ref="D197:I197"/>
    <mergeCell ref="D198:I198"/>
    <mergeCell ref="D199:I199"/>
    <mergeCell ref="D200:I200"/>
    <mergeCell ref="D201:I201"/>
    <mergeCell ref="D202:I202"/>
    <mergeCell ref="D191:I191"/>
    <mergeCell ref="D192:I192"/>
    <mergeCell ref="D193:I193"/>
    <mergeCell ref="D194:I194"/>
    <mergeCell ref="D195:I195"/>
    <mergeCell ref="D196:I196"/>
    <mergeCell ref="D185:I185"/>
    <mergeCell ref="D186:I186"/>
    <mergeCell ref="D187:I187"/>
    <mergeCell ref="D188:I188"/>
    <mergeCell ref="D189:I189"/>
    <mergeCell ref="D190:I190"/>
    <mergeCell ref="D179:I179"/>
    <mergeCell ref="D180:I180"/>
    <mergeCell ref="D181:I181"/>
    <mergeCell ref="D182:I182"/>
    <mergeCell ref="D183:I183"/>
    <mergeCell ref="D184:I184"/>
    <mergeCell ref="D173:I173"/>
    <mergeCell ref="D174:I174"/>
    <mergeCell ref="D175:I175"/>
    <mergeCell ref="D176:I176"/>
    <mergeCell ref="D177:I177"/>
    <mergeCell ref="D178:I178"/>
    <mergeCell ref="D167:I167"/>
    <mergeCell ref="D168:I168"/>
    <mergeCell ref="D169:I169"/>
    <mergeCell ref="D170:I170"/>
    <mergeCell ref="D171:I171"/>
    <mergeCell ref="D172:I172"/>
    <mergeCell ref="D161:I161"/>
    <mergeCell ref="D162:I162"/>
    <mergeCell ref="D163:I163"/>
    <mergeCell ref="D164:I164"/>
    <mergeCell ref="D165:I165"/>
    <mergeCell ref="D166:I166"/>
    <mergeCell ref="D155:I155"/>
    <mergeCell ref="D156:I156"/>
    <mergeCell ref="D157:I157"/>
    <mergeCell ref="D158:I158"/>
    <mergeCell ref="D159:I159"/>
    <mergeCell ref="D160:I160"/>
    <mergeCell ref="D149:I149"/>
    <mergeCell ref="D150:I150"/>
    <mergeCell ref="D151:I151"/>
    <mergeCell ref="D152:I152"/>
    <mergeCell ref="D153:I153"/>
    <mergeCell ref="D154:I154"/>
    <mergeCell ref="D143:I143"/>
    <mergeCell ref="D144:I144"/>
    <mergeCell ref="D145:I145"/>
    <mergeCell ref="D146:I146"/>
    <mergeCell ref="D147:I147"/>
    <mergeCell ref="D148:I148"/>
    <mergeCell ref="D137:I137"/>
    <mergeCell ref="D138:I138"/>
    <mergeCell ref="D139:I139"/>
    <mergeCell ref="D140:I140"/>
    <mergeCell ref="D141:I141"/>
    <mergeCell ref="D142:I142"/>
    <mergeCell ref="D131:I131"/>
    <mergeCell ref="D132:I132"/>
    <mergeCell ref="D133:I133"/>
    <mergeCell ref="D134:I134"/>
    <mergeCell ref="D135:I135"/>
    <mergeCell ref="D136:I136"/>
    <mergeCell ref="D125:I125"/>
    <mergeCell ref="D126:I126"/>
    <mergeCell ref="D127:I127"/>
    <mergeCell ref="D128:I128"/>
    <mergeCell ref="D129:I129"/>
    <mergeCell ref="D130:I130"/>
    <mergeCell ref="D119:I119"/>
    <mergeCell ref="D120:I120"/>
    <mergeCell ref="D121:I121"/>
    <mergeCell ref="D122:I122"/>
    <mergeCell ref="D123:I123"/>
    <mergeCell ref="D124:I124"/>
    <mergeCell ref="W117:Y117"/>
    <mergeCell ref="Z117:AB117"/>
    <mergeCell ref="D109:AB109"/>
    <mergeCell ref="AC109:AE109"/>
    <mergeCell ref="AF109:AH109"/>
    <mergeCell ref="D118:I118"/>
    <mergeCell ref="U118:V118"/>
    <mergeCell ref="W118:Y118"/>
    <mergeCell ref="Z118:AB118"/>
    <mergeCell ref="W116:Y116"/>
    <mergeCell ref="Z116:AB116"/>
    <mergeCell ref="W114:Y114"/>
    <mergeCell ref="Z114:AB114"/>
    <mergeCell ref="W113:Y113"/>
    <mergeCell ref="Z113:AB113"/>
    <mergeCell ref="W111:Y111"/>
    <mergeCell ref="Z111:AB111"/>
    <mergeCell ref="W110:Y110"/>
    <mergeCell ref="Z110:AB110"/>
    <mergeCell ref="S119:T119"/>
    <mergeCell ref="A117:C117"/>
    <mergeCell ref="D117:I117"/>
    <mergeCell ref="K117:L117"/>
    <mergeCell ref="M117:N117"/>
    <mergeCell ref="O117:P117"/>
    <mergeCell ref="Q117:R117"/>
    <mergeCell ref="S117:T117"/>
    <mergeCell ref="U117:V117"/>
    <mergeCell ref="W115:Y115"/>
    <mergeCell ref="Z115:AB115"/>
    <mergeCell ref="A116:C116"/>
    <mergeCell ref="D116:I116"/>
    <mergeCell ref="K116:L116"/>
    <mergeCell ref="M116:N116"/>
    <mergeCell ref="O116:P116"/>
    <mergeCell ref="Q116:R116"/>
    <mergeCell ref="S116:T116"/>
    <mergeCell ref="U116:V116"/>
    <mergeCell ref="A115:C115"/>
    <mergeCell ref="D115:I115"/>
    <mergeCell ref="K115:L115"/>
    <mergeCell ref="M115:N115"/>
    <mergeCell ref="O115:P115"/>
    <mergeCell ref="Q115:R115"/>
    <mergeCell ref="S115:T115"/>
    <mergeCell ref="U115:V115"/>
    <mergeCell ref="A114:C114"/>
    <mergeCell ref="D114:I114"/>
    <mergeCell ref="K114:L114"/>
    <mergeCell ref="M114:N114"/>
    <mergeCell ref="O114:P114"/>
    <mergeCell ref="Q114:R114"/>
    <mergeCell ref="S114:T114"/>
    <mergeCell ref="U114:V114"/>
    <mergeCell ref="W112:Y112"/>
    <mergeCell ref="Z112:AB112"/>
    <mergeCell ref="A113:C113"/>
    <mergeCell ref="D113:I113"/>
    <mergeCell ref="K113:L113"/>
    <mergeCell ref="M113:N113"/>
    <mergeCell ref="O113:P113"/>
    <mergeCell ref="Q113:R113"/>
    <mergeCell ref="S113:T113"/>
    <mergeCell ref="U113:V113"/>
    <mergeCell ref="A112:C112"/>
    <mergeCell ref="D112:I112"/>
    <mergeCell ref="K112:L112"/>
    <mergeCell ref="M112:N112"/>
    <mergeCell ref="O112:P112"/>
    <mergeCell ref="Q112:R112"/>
    <mergeCell ref="S112:T112"/>
    <mergeCell ref="U112:V112"/>
    <mergeCell ref="A111:C111"/>
    <mergeCell ref="D111:I111"/>
    <mergeCell ref="K111:L111"/>
    <mergeCell ref="M111:N111"/>
    <mergeCell ref="O111:P111"/>
    <mergeCell ref="Q111:R111"/>
    <mergeCell ref="S111:T111"/>
    <mergeCell ref="U111:V111"/>
    <mergeCell ref="A110:C110"/>
    <mergeCell ref="D110:I110"/>
    <mergeCell ref="K110:L110"/>
    <mergeCell ref="M110:N110"/>
    <mergeCell ref="O110:P110"/>
    <mergeCell ref="Q110:R110"/>
    <mergeCell ref="S110:T110"/>
    <mergeCell ref="U110:V110"/>
    <mergeCell ref="W108:Y108"/>
    <mergeCell ref="Z108:AB108"/>
    <mergeCell ref="A109:C109"/>
    <mergeCell ref="W107:Y107"/>
    <mergeCell ref="Z107:AB107"/>
    <mergeCell ref="A108:C108"/>
    <mergeCell ref="D108:I108"/>
    <mergeCell ref="K108:L108"/>
    <mergeCell ref="M108:N108"/>
    <mergeCell ref="O108:P108"/>
    <mergeCell ref="Q108:R108"/>
    <mergeCell ref="S108:T108"/>
    <mergeCell ref="U108:V108"/>
    <mergeCell ref="W106:Y106"/>
    <mergeCell ref="Z106:AB106"/>
    <mergeCell ref="A107:C107"/>
    <mergeCell ref="D107:I107"/>
    <mergeCell ref="K107:L107"/>
    <mergeCell ref="M107:N107"/>
    <mergeCell ref="O107:P107"/>
    <mergeCell ref="Q107:R107"/>
    <mergeCell ref="S107:T107"/>
    <mergeCell ref="U107:V107"/>
    <mergeCell ref="W105:Y105"/>
    <mergeCell ref="Z105:AB105"/>
    <mergeCell ref="A106:C106"/>
    <mergeCell ref="D106:I106"/>
    <mergeCell ref="K106:L106"/>
    <mergeCell ref="M106:N106"/>
    <mergeCell ref="O106:P106"/>
    <mergeCell ref="Q106:R106"/>
    <mergeCell ref="S106:T106"/>
    <mergeCell ref="U106:V106"/>
    <mergeCell ref="W104:Y104"/>
    <mergeCell ref="Z104:AB104"/>
    <mergeCell ref="A105:C105"/>
    <mergeCell ref="D105:I105"/>
    <mergeCell ref="K105:L105"/>
    <mergeCell ref="M105:N105"/>
    <mergeCell ref="O105:P105"/>
    <mergeCell ref="Q105:R105"/>
    <mergeCell ref="S105:T105"/>
    <mergeCell ref="U105:V105"/>
    <mergeCell ref="W103:Y103"/>
    <mergeCell ref="Z103:AB103"/>
    <mergeCell ref="A104:C104"/>
    <mergeCell ref="D104:I104"/>
    <mergeCell ref="K104:L104"/>
    <mergeCell ref="M104:N104"/>
    <mergeCell ref="O104:P104"/>
    <mergeCell ref="Q104:R104"/>
    <mergeCell ref="S104:T104"/>
    <mergeCell ref="U104:V104"/>
    <mergeCell ref="W102:Y102"/>
    <mergeCell ref="Z102:AB102"/>
    <mergeCell ref="A103:C103"/>
    <mergeCell ref="D103:I103"/>
    <mergeCell ref="K103:L103"/>
    <mergeCell ref="M103:N103"/>
    <mergeCell ref="O103:P103"/>
    <mergeCell ref="Q103:R103"/>
    <mergeCell ref="S103:T103"/>
    <mergeCell ref="U103:V103"/>
    <mergeCell ref="W101:Y101"/>
    <mergeCell ref="Z101:AB101"/>
    <mergeCell ref="A102:C102"/>
    <mergeCell ref="D102:I102"/>
    <mergeCell ref="K102:L102"/>
    <mergeCell ref="M102:N102"/>
    <mergeCell ref="O102:P102"/>
    <mergeCell ref="Q102:R102"/>
    <mergeCell ref="S102:T102"/>
    <mergeCell ref="U102:V102"/>
    <mergeCell ref="W100:Y100"/>
    <mergeCell ref="Z100:AB100"/>
    <mergeCell ref="A101:C101"/>
    <mergeCell ref="D101:I101"/>
    <mergeCell ref="K101:L101"/>
    <mergeCell ref="M101:N101"/>
    <mergeCell ref="O101:P101"/>
    <mergeCell ref="Q101:R101"/>
    <mergeCell ref="S101:T101"/>
    <mergeCell ref="U101:V101"/>
    <mergeCell ref="W99:Y99"/>
    <mergeCell ref="Z99:AB99"/>
    <mergeCell ref="A100:C100"/>
    <mergeCell ref="D100:I100"/>
    <mergeCell ref="K100:L100"/>
    <mergeCell ref="M100:N100"/>
    <mergeCell ref="O100:P100"/>
    <mergeCell ref="Q100:R100"/>
    <mergeCell ref="S100:T100"/>
    <mergeCell ref="U100:V100"/>
    <mergeCell ref="W98:Y98"/>
    <mergeCell ref="Z98:AB98"/>
    <mergeCell ref="A99:C99"/>
    <mergeCell ref="D99:I99"/>
    <mergeCell ref="K99:L99"/>
    <mergeCell ref="M99:N99"/>
    <mergeCell ref="O99:P99"/>
    <mergeCell ref="Q99:R99"/>
    <mergeCell ref="S99:T99"/>
    <mergeCell ref="U99:V99"/>
    <mergeCell ref="W97:Y97"/>
    <mergeCell ref="Z97:AB97"/>
    <mergeCell ref="A98:C98"/>
    <mergeCell ref="D98:I98"/>
    <mergeCell ref="K98:L98"/>
    <mergeCell ref="M98:N98"/>
    <mergeCell ref="O98:P98"/>
    <mergeCell ref="Q98:R98"/>
    <mergeCell ref="S98:T98"/>
    <mergeCell ref="U98:V98"/>
    <mergeCell ref="W96:Y96"/>
    <mergeCell ref="Z96:AB96"/>
    <mergeCell ref="A97:C97"/>
    <mergeCell ref="D97:I97"/>
    <mergeCell ref="K97:L97"/>
    <mergeCell ref="M97:N97"/>
    <mergeCell ref="O97:P97"/>
    <mergeCell ref="Q97:R97"/>
    <mergeCell ref="S97:T97"/>
    <mergeCell ref="U97:V97"/>
    <mergeCell ref="W95:Y95"/>
    <mergeCell ref="Z95:AB95"/>
    <mergeCell ref="A96:C96"/>
    <mergeCell ref="D96:I96"/>
    <mergeCell ref="K96:L96"/>
    <mergeCell ref="M96:N96"/>
    <mergeCell ref="O96:P96"/>
    <mergeCell ref="Q96:R96"/>
    <mergeCell ref="S96:T96"/>
    <mergeCell ref="U96:V96"/>
    <mergeCell ref="W94:Y94"/>
    <mergeCell ref="Z94:AB94"/>
    <mergeCell ref="A95:C95"/>
    <mergeCell ref="D95:I95"/>
    <mergeCell ref="K95:L95"/>
    <mergeCell ref="M95:N95"/>
    <mergeCell ref="O95:P95"/>
    <mergeCell ref="Q95:R95"/>
    <mergeCell ref="S95:T95"/>
    <mergeCell ref="U95:V95"/>
    <mergeCell ref="W93:Y93"/>
    <mergeCell ref="Z93:AB93"/>
    <mergeCell ref="A94:C94"/>
    <mergeCell ref="D94:I94"/>
    <mergeCell ref="K94:L94"/>
    <mergeCell ref="M94:N94"/>
    <mergeCell ref="O94:P94"/>
    <mergeCell ref="Q94:R94"/>
    <mergeCell ref="S94:T94"/>
    <mergeCell ref="U94:V94"/>
    <mergeCell ref="Z92:AB92"/>
    <mergeCell ref="A92:C92"/>
    <mergeCell ref="A93:C93"/>
    <mergeCell ref="D93:I93"/>
    <mergeCell ref="K93:L93"/>
    <mergeCell ref="M93:N93"/>
    <mergeCell ref="O93:P93"/>
    <mergeCell ref="Q93:R93"/>
    <mergeCell ref="S93:T93"/>
    <mergeCell ref="U93:V93"/>
    <mergeCell ref="W91:Y91"/>
    <mergeCell ref="Z91:AB91"/>
    <mergeCell ref="D92:I92"/>
    <mergeCell ref="K92:L92"/>
    <mergeCell ref="M92:N92"/>
    <mergeCell ref="O92:P92"/>
    <mergeCell ref="Q92:R92"/>
    <mergeCell ref="S92:T92"/>
    <mergeCell ref="U92:V92"/>
    <mergeCell ref="W92:Y92"/>
    <mergeCell ref="U90:V90"/>
    <mergeCell ref="W90:Y90"/>
    <mergeCell ref="Z90:AB90"/>
    <mergeCell ref="D91:I91"/>
    <mergeCell ref="K91:L91"/>
    <mergeCell ref="M91:N91"/>
    <mergeCell ref="O91:P91"/>
    <mergeCell ref="Q91:R91"/>
    <mergeCell ref="S91:T91"/>
    <mergeCell ref="U91:V91"/>
    <mergeCell ref="D90:I90"/>
    <mergeCell ref="K90:L90"/>
    <mergeCell ref="M90:N90"/>
    <mergeCell ref="O90:P90"/>
    <mergeCell ref="Q90:R90"/>
    <mergeCell ref="S90:T90"/>
    <mergeCell ref="Z88:AB88"/>
    <mergeCell ref="D89:I89"/>
    <mergeCell ref="K89:L89"/>
    <mergeCell ref="M89:N89"/>
    <mergeCell ref="O89:P89"/>
    <mergeCell ref="Q89:R89"/>
    <mergeCell ref="S89:T89"/>
    <mergeCell ref="U89:V89"/>
    <mergeCell ref="W89:Y89"/>
    <mergeCell ref="Z89:AB89"/>
    <mergeCell ref="W87:Y87"/>
    <mergeCell ref="Z87:AB87"/>
    <mergeCell ref="D88:I88"/>
    <mergeCell ref="K88:L88"/>
    <mergeCell ref="M88:N88"/>
    <mergeCell ref="O88:P88"/>
    <mergeCell ref="Q88:R88"/>
    <mergeCell ref="S88:T88"/>
    <mergeCell ref="U88:V88"/>
    <mergeCell ref="W88:Y88"/>
    <mergeCell ref="U86:V86"/>
    <mergeCell ref="W86:Y86"/>
    <mergeCell ref="Z86:AB86"/>
    <mergeCell ref="D87:I87"/>
    <mergeCell ref="K87:L87"/>
    <mergeCell ref="M87:N87"/>
    <mergeCell ref="O87:P87"/>
    <mergeCell ref="Q87:R87"/>
    <mergeCell ref="S87:T87"/>
    <mergeCell ref="U87:V87"/>
    <mergeCell ref="D86:I86"/>
    <mergeCell ref="K86:L86"/>
    <mergeCell ref="M86:N86"/>
    <mergeCell ref="O86:P86"/>
    <mergeCell ref="Q86:R86"/>
    <mergeCell ref="S86:T86"/>
    <mergeCell ref="Z84:AB84"/>
    <mergeCell ref="D85:I85"/>
    <mergeCell ref="K85:L85"/>
    <mergeCell ref="M85:N85"/>
    <mergeCell ref="O85:P85"/>
    <mergeCell ref="Q85:R85"/>
    <mergeCell ref="S85:T85"/>
    <mergeCell ref="U85:V85"/>
    <mergeCell ref="W85:Y85"/>
    <mergeCell ref="Z85:AB85"/>
    <mergeCell ref="W83:Y83"/>
    <mergeCell ref="Z83:AB83"/>
    <mergeCell ref="D84:I84"/>
    <mergeCell ref="K84:L84"/>
    <mergeCell ref="M84:N84"/>
    <mergeCell ref="O84:P84"/>
    <mergeCell ref="Q84:R84"/>
    <mergeCell ref="S84:T84"/>
    <mergeCell ref="U84:V84"/>
    <mergeCell ref="W84:Y84"/>
    <mergeCell ref="U82:V82"/>
    <mergeCell ref="W82:Y82"/>
    <mergeCell ref="Z82:AB82"/>
    <mergeCell ref="D83:I83"/>
    <mergeCell ref="K83:L83"/>
    <mergeCell ref="M83:N83"/>
    <mergeCell ref="O83:P83"/>
    <mergeCell ref="Q83:R83"/>
    <mergeCell ref="S83:T83"/>
    <mergeCell ref="U83:V83"/>
    <mergeCell ref="D82:I82"/>
    <mergeCell ref="K82:L82"/>
    <mergeCell ref="M82:N82"/>
    <mergeCell ref="O82:P82"/>
    <mergeCell ref="Q82:R82"/>
    <mergeCell ref="S82:T82"/>
    <mergeCell ref="Z80:AB80"/>
    <mergeCell ref="D81:I81"/>
    <mergeCell ref="K81:L81"/>
    <mergeCell ref="M81:N81"/>
    <mergeCell ref="O81:P81"/>
    <mergeCell ref="Q81:R81"/>
    <mergeCell ref="S81:T81"/>
    <mergeCell ref="U81:V81"/>
    <mergeCell ref="W81:Y81"/>
    <mergeCell ref="Z81:AB81"/>
    <mergeCell ref="W79:Y79"/>
    <mergeCell ref="Z79:AB79"/>
    <mergeCell ref="D80:I80"/>
    <mergeCell ref="K80:L80"/>
    <mergeCell ref="M80:N80"/>
    <mergeCell ref="O80:P80"/>
    <mergeCell ref="Q80:R80"/>
    <mergeCell ref="S80:T80"/>
    <mergeCell ref="U80:V80"/>
    <mergeCell ref="W80:Y80"/>
    <mergeCell ref="U78:V78"/>
    <mergeCell ref="W78:Y78"/>
    <mergeCell ref="Z78:AB78"/>
    <mergeCell ref="D79:I79"/>
    <mergeCell ref="K79:L79"/>
    <mergeCell ref="M79:N79"/>
    <mergeCell ref="O79:P79"/>
    <mergeCell ref="Q79:R79"/>
    <mergeCell ref="S79:T79"/>
    <mergeCell ref="U79:V79"/>
    <mergeCell ref="D78:I78"/>
    <mergeCell ref="K78:L78"/>
    <mergeCell ref="M78:N78"/>
    <mergeCell ref="O78:P78"/>
    <mergeCell ref="Q78:R78"/>
    <mergeCell ref="S78:T78"/>
    <mergeCell ref="Z76:AB76"/>
    <mergeCell ref="D77:I77"/>
    <mergeCell ref="K77:L77"/>
    <mergeCell ref="M77:N77"/>
    <mergeCell ref="O77:P77"/>
    <mergeCell ref="Q77:R77"/>
    <mergeCell ref="S77:T77"/>
    <mergeCell ref="U77:V77"/>
    <mergeCell ref="W77:Y77"/>
    <mergeCell ref="Z77:AB77"/>
    <mergeCell ref="O72:P72"/>
    <mergeCell ref="Q72:R72"/>
    <mergeCell ref="S72:T72"/>
    <mergeCell ref="U72:V72"/>
    <mergeCell ref="W72:Y72"/>
    <mergeCell ref="W75:Y75"/>
    <mergeCell ref="Z75:AB75"/>
    <mergeCell ref="D76:I76"/>
    <mergeCell ref="K76:L76"/>
    <mergeCell ref="M76:N76"/>
    <mergeCell ref="O76:P76"/>
    <mergeCell ref="Q76:R76"/>
    <mergeCell ref="S76:T76"/>
    <mergeCell ref="U76:V76"/>
    <mergeCell ref="W76:Y76"/>
    <mergeCell ref="U74:V74"/>
    <mergeCell ref="W74:Y74"/>
    <mergeCell ref="Z74:AB74"/>
    <mergeCell ref="D75:I75"/>
    <mergeCell ref="K75:L75"/>
    <mergeCell ref="M75:N75"/>
    <mergeCell ref="O75:P75"/>
    <mergeCell ref="Q75:R75"/>
    <mergeCell ref="S75:T75"/>
    <mergeCell ref="U75:V75"/>
    <mergeCell ref="D74:I74"/>
    <mergeCell ref="K74:L74"/>
    <mergeCell ref="M74:N74"/>
    <mergeCell ref="O74:P74"/>
    <mergeCell ref="Q74:R74"/>
    <mergeCell ref="S74:T74"/>
    <mergeCell ref="U70:V70"/>
    <mergeCell ref="W70:Y70"/>
    <mergeCell ref="Z70:AB70"/>
    <mergeCell ref="D71:I71"/>
    <mergeCell ref="K71:L71"/>
    <mergeCell ref="M71:N71"/>
    <mergeCell ref="O71:P71"/>
    <mergeCell ref="Q71:R71"/>
    <mergeCell ref="S71:T71"/>
    <mergeCell ref="U71:V71"/>
    <mergeCell ref="D70:I70"/>
    <mergeCell ref="K70:L70"/>
    <mergeCell ref="M70:N70"/>
    <mergeCell ref="O70:P70"/>
    <mergeCell ref="Q70:R70"/>
    <mergeCell ref="S70:T70"/>
    <mergeCell ref="A86:C86"/>
    <mergeCell ref="Z72:AB72"/>
    <mergeCell ref="D73:I73"/>
    <mergeCell ref="K73:L73"/>
    <mergeCell ref="M73:N73"/>
    <mergeCell ref="O73:P73"/>
    <mergeCell ref="Q73:R73"/>
    <mergeCell ref="S73:T73"/>
    <mergeCell ref="U73:V73"/>
    <mergeCell ref="W73:Y73"/>
    <mergeCell ref="Z73:AB73"/>
    <mergeCell ref="W71:Y71"/>
    <mergeCell ref="Z71:AB71"/>
    <mergeCell ref="D72:I72"/>
    <mergeCell ref="K72:L72"/>
    <mergeCell ref="M72:N72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Z69:AB69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W68:Y68"/>
    <mergeCell ref="Z68:AB68"/>
    <mergeCell ref="D69:I69"/>
    <mergeCell ref="K69:L69"/>
    <mergeCell ref="M69:N69"/>
    <mergeCell ref="O69:P69"/>
    <mergeCell ref="Q69:R69"/>
    <mergeCell ref="S69:T69"/>
    <mergeCell ref="U69:V69"/>
    <mergeCell ref="W69:Y69"/>
    <mergeCell ref="U67:V67"/>
    <mergeCell ref="W67:Y67"/>
    <mergeCell ref="Z67:AB67"/>
    <mergeCell ref="D68:I68"/>
    <mergeCell ref="K68:L68"/>
    <mergeCell ref="M68:N68"/>
    <mergeCell ref="O68:P68"/>
    <mergeCell ref="Q68:R68"/>
    <mergeCell ref="S68:T68"/>
    <mergeCell ref="U68:V68"/>
    <mergeCell ref="D67:I67"/>
    <mergeCell ref="K67:L67"/>
    <mergeCell ref="M67:N67"/>
    <mergeCell ref="O67:P67"/>
    <mergeCell ref="Q67:R67"/>
    <mergeCell ref="S67:T67"/>
    <mergeCell ref="Z65:AB65"/>
    <mergeCell ref="D66:I66"/>
    <mergeCell ref="K66:L66"/>
    <mergeCell ref="M66:N66"/>
    <mergeCell ref="O66:P66"/>
    <mergeCell ref="Q66:R66"/>
    <mergeCell ref="S66:T66"/>
    <mergeCell ref="U66:V66"/>
    <mergeCell ref="W66:Y66"/>
    <mergeCell ref="Z66:AB66"/>
    <mergeCell ref="W64:Y64"/>
    <mergeCell ref="Z64:AB64"/>
    <mergeCell ref="D65:I65"/>
    <mergeCell ref="K65:L65"/>
    <mergeCell ref="M65:N65"/>
    <mergeCell ref="O65:P65"/>
    <mergeCell ref="Q65:R65"/>
    <mergeCell ref="S65:T65"/>
    <mergeCell ref="U65:V65"/>
    <mergeCell ref="W65:Y65"/>
    <mergeCell ref="U63:V63"/>
    <mergeCell ref="W63:Y63"/>
    <mergeCell ref="Z63:AB63"/>
    <mergeCell ref="D64:I64"/>
    <mergeCell ref="K64:L64"/>
    <mergeCell ref="M64:N64"/>
    <mergeCell ref="O64:P64"/>
    <mergeCell ref="Q64:R64"/>
    <mergeCell ref="S64:T64"/>
    <mergeCell ref="U64:V64"/>
    <mergeCell ref="D63:I63"/>
    <mergeCell ref="K63:L63"/>
    <mergeCell ref="M63:N63"/>
    <mergeCell ref="O63:P63"/>
    <mergeCell ref="Q63:R63"/>
    <mergeCell ref="S63:T63"/>
    <mergeCell ref="Z61:AB61"/>
    <mergeCell ref="D62:I62"/>
    <mergeCell ref="K62:L62"/>
    <mergeCell ref="M62:N62"/>
    <mergeCell ref="O62:P62"/>
    <mergeCell ref="Q62:R62"/>
    <mergeCell ref="S62:T62"/>
    <mergeCell ref="U62:V62"/>
    <mergeCell ref="W62:Y62"/>
    <mergeCell ref="Z62:AB62"/>
    <mergeCell ref="W60:Y60"/>
    <mergeCell ref="Z60:AB60"/>
    <mergeCell ref="D61:I61"/>
    <mergeCell ref="K61:L61"/>
    <mergeCell ref="M61:N61"/>
    <mergeCell ref="O61:P61"/>
    <mergeCell ref="Q61:R61"/>
    <mergeCell ref="S61:T61"/>
    <mergeCell ref="U61:V61"/>
    <mergeCell ref="W61:Y61"/>
    <mergeCell ref="U59:V59"/>
    <mergeCell ref="W59:Y59"/>
    <mergeCell ref="Z59:AB59"/>
    <mergeCell ref="D60:I60"/>
    <mergeCell ref="K60:L60"/>
    <mergeCell ref="M60:N60"/>
    <mergeCell ref="O60:P60"/>
    <mergeCell ref="Q60:R60"/>
    <mergeCell ref="S60:T60"/>
    <mergeCell ref="U60:V60"/>
    <mergeCell ref="D59:I59"/>
    <mergeCell ref="K59:L59"/>
    <mergeCell ref="M59:N59"/>
    <mergeCell ref="O59:P59"/>
    <mergeCell ref="Q59:R59"/>
    <mergeCell ref="S59:T59"/>
    <mergeCell ref="Z57:AB57"/>
    <mergeCell ref="D58:I58"/>
    <mergeCell ref="K58:L58"/>
    <mergeCell ref="M58:N58"/>
    <mergeCell ref="O58:P58"/>
    <mergeCell ref="Q58:R58"/>
    <mergeCell ref="S58:T58"/>
    <mergeCell ref="U58:V58"/>
    <mergeCell ref="W58:Y58"/>
    <mergeCell ref="Z58:AB58"/>
    <mergeCell ref="W56:Y56"/>
    <mergeCell ref="Z56:AB56"/>
    <mergeCell ref="D57:I57"/>
    <mergeCell ref="K57:L57"/>
    <mergeCell ref="M57:N57"/>
    <mergeCell ref="O57:P57"/>
    <mergeCell ref="Q57:R57"/>
    <mergeCell ref="S57:T57"/>
    <mergeCell ref="U57:V57"/>
    <mergeCell ref="W57:Y57"/>
    <mergeCell ref="U55:V55"/>
    <mergeCell ref="W55:Y55"/>
    <mergeCell ref="Z55:AB55"/>
    <mergeCell ref="D56:I56"/>
    <mergeCell ref="K56:L56"/>
    <mergeCell ref="M56:N56"/>
    <mergeCell ref="O56:P56"/>
    <mergeCell ref="Q56:R56"/>
    <mergeCell ref="S56:T56"/>
    <mergeCell ref="U56:V56"/>
    <mergeCell ref="D55:I55"/>
    <mergeCell ref="K55:L55"/>
    <mergeCell ref="M55:N55"/>
    <mergeCell ref="O55:P55"/>
    <mergeCell ref="Q55:R55"/>
    <mergeCell ref="S55:T55"/>
    <mergeCell ref="Z53:AB53"/>
    <mergeCell ref="D54:I54"/>
    <mergeCell ref="K54:L54"/>
    <mergeCell ref="M54:N54"/>
    <mergeCell ref="O54:P54"/>
    <mergeCell ref="Q54:R54"/>
    <mergeCell ref="S54:T54"/>
    <mergeCell ref="U54:V54"/>
    <mergeCell ref="W54:Y54"/>
    <mergeCell ref="Z54:AB54"/>
    <mergeCell ref="W52:Y52"/>
    <mergeCell ref="Z52:AB52"/>
    <mergeCell ref="D53:I53"/>
    <mergeCell ref="K53:L53"/>
    <mergeCell ref="M53:N53"/>
    <mergeCell ref="O53:P53"/>
    <mergeCell ref="Q53:R53"/>
    <mergeCell ref="S53:T53"/>
    <mergeCell ref="U53:V53"/>
    <mergeCell ref="W53:Y53"/>
    <mergeCell ref="U51:V51"/>
    <mergeCell ref="W51:Y51"/>
    <mergeCell ref="Z51:AB51"/>
    <mergeCell ref="D52:I52"/>
    <mergeCell ref="K52:L52"/>
    <mergeCell ref="M52:N52"/>
    <mergeCell ref="O52:P52"/>
    <mergeCell ref="Q52:R52"/>
    <mergeCell ref="S52:T52"/>
    <mergeCell ref="U52:V52"/>
    <mergeCell ref="D51:I51"/>
    <mergeCell ref="K51:L51"/>
    <mergeCell ref="M51:N51"/>
    <mergeCell ref="O51:P51"/>
    <mergeCell ref="Q51:R51"/>
    <mergeCell ref="S51:T51"/>
    <mergeCell ref="Z49:AB49"/>
    <mergeCell ref="D50:I50"/>
    <mergeCell ref="K50:L50"/>
    <mergeCell ref="M50:N50"/>
    <mergeCell ref="O50:P50"/>
    <mergeCell ref="Q50:R50"/>
    <mergeCell ref="S50:T50"/>
    <mergeCell ref="U50:V50"/>
    <mergeCell ref="W50:Y50"/>
    <mergeCell ref="Z50:AB50"/>
    <mergeCell ref="W48:Y48"/>
    <mergeCell ref="Z48:AB48"/>
    <mergeCell ref="D49:I49"/>
    <mergeCell ref="K49:L49"/>
    <mergeCell ref="M49:N49"/>
    <mergeCell ref="O49:P49"/>
    <mergeCell ref="Q49:R49"/>
    <mergeCell ref="S49:T49"/>
    <mergeCell ref="U49:V49"/>
    <mergeCell ref="W49:Y49"/>
    <mergeCell ref="U47:V47"/>
    <mergeCell ref="W47:Y47"/>
    <mergeCell ref="Z47:AB47"/>
    <mergeCell ref="D48:I48"/>
    <mergeCell ref="K48:L48"/>
    <mergeCell ref="M48:N48"/>
    <mergeCell ref="O48:P48"/>
    <mergeCell ref="Q48:R48"/>
    <mergeCell ref="S48:T48"/>
    <mergeCell ref="U48:V48"/>
    <mergeCell ref="D47:I47"/>
    <mergeCell ref="K47:L47"/>
    <mergeCell ref="M47:N47"/>
    <mergeCell ref="O47:P47"/>
    <mergeCell ref="Q47:R47"/>
    <mergeCell ref="S47:T47"/>
    <mergeCell ref="Z45:AB45"/>
    <mergeCell ref="D46:I46"/>
    <mergeCell ref="K46:L46"/>
    <mergeCell ref="M46:N46"/>
    <mergeCell ref="O46:P46"/>
    <mergeCell ref="Q46:R46"/>
    <mergeCell ref="S46:T46"/>
    <mergeCell ref="U46:V46"/>
    <mergeCell ref="W46:Y46"/>
    <mergeCell ref="Z46:AB46"/>
    <mergeCell ref="W44:Y44"/>
    <mergeCell ref="Z44:AB44"/>
    <mergeCell ref="D45:I45"/>
    <mergeCell ref="K45:L45"/>
    <mergeCell ref="M45:N45"/>
    <mergeCell ref="O45:P45"/>
    <mergeCell ref="Q45:R45"/>
    <mergeCell ref="S45:T45"/>
    <mergeCell ref="U45:V45"/>
    <mergeCell ref="W45:Y45"/>
    <mergeCell ref="U43:V43"/>
    <mergeCell ref="W43:Y43"/>
    <mergeCell ref="Z43:AB43"/>
    <mergeCell ref="D44:I44"/>
    <mergeCell ref="K44:L44"/>
    <mergeCell ref="M44:N44"/>
    <mergeCell ref="O44:P44"/>
    <mergeCell ref="Q44:R44"/>
    <mergeCell ref="S44:T44"/>
    <mergeCell ref="U44:V44"/>
    <mergeCell ref="D43:I43"/>
    <mergeCell ref="K43:L43"/>
    <mergeCell ref="M43:N43"/>
    <mergeCell ref="O43:P43"/>
    <mergeCell ref="Q43:R43"/>
    <mergeCell ref="S43:T43"/>
    <mergeCell ref="Z41:AB41"/>
    <mergeCell ref="D42:I42"/>
    <mergeCell ref="K42:L42"/>
    <mergeCell ref="M42:N42"/>
    <mergeCell ref="O42:P42"/>
    <mergeCell ref="Q42:R42"/>
    <mergeCell ref="S42:T42"/>
    <mergeCell ref="U42:V42"/>
    <mergeCell ref="W42:Y42"/>
    <mergeCell ref="Z42:AB42"/>
    <mergeCell ref="M41:N41"/>
    <mergeCell ref="O41:P41"/>
    <mergeCell ref="Q41:R41"/>
    <mergeCell ref="S41:T41"/>
    <mergeCell ref="U41:V41"/>
    <mergeCell ref="W41:Y41"/>
    <mergeCell ref="D37:I37"/>
    <mergeCell ref="D38:I38"/>
    <mergeCell ref="D39:I39"/>
    <mergeCell ref="D40:I40"/>
    <mergeCell ref="D41:I41"/>
    <mergeCell ref="K41:L41"/>
    <mergeCell ref="W40:Y40"/>
    <mergeCell ref="Z40:AB40"/>
    <mergeCell ref="K37:L37"/>
    <mergeCell ref="M37:N37"/>
    <mergeCell ref="O37:P37"/>
    <mergeCell ref="Q37:R37"/>
    <mergeCell ref="S37:T37"/>
    <mergeCell ref="U37:V37"/>
    <mergeCell ref="W37:Y37"/>
    <mergeCell ref="Z37:AB37"/>
    <mergeCell ref="D30:I30"/>
    <mergeCell ref="D31:I31"/>
    <mergeCell ref="D32:I32"/>
    <mergeCell ref="D33:I33"/>
    <mergeCell ref="D34:I34"/>
    <mergeCell ref="D35:I35"/>
    <mergeCell ref="D36:I36"/>
    <mergeCell ref="K40:L40"/>
    <mergeCell ref="M40:N40"/>
    <mergeCell ref="O40:P40"/>
    <mergeCell ref="Q40:R40"/>
    <mergeCell ref="S40:T40"/>
    <mergeCell ref="U40:V40"/>
    <mergeCell ref="W38:Y38"/>
    <mergeCell ref="Z38:AB38"/>
    <mergeCell ref="K39:L39"/>
    <mergeCell ref="M39:N39"/>
    <mergeCell ref="O39:P39"/>
    <mergeCell ref="Q39:R39"/>
    <mergeCell ref="S39:T39"/>
    <mergeCell ref="U39:V39"/>
    <mergeCell ref="W39:Y39"/>
    <mergeCell ref="Z39:AB39"/>
    <mergeCell ref="K38:L38"/>
    <mergeCell ref="M38:N38"/>
    <mergeCell ref="O38:P38"/>
    <mergeCell ref="Q38:R38"/>
    <mergeCell ref="S38:T38"/>
    <mergeCell ref="U38:V38"/>
    <mergeCell ref="W36:Y36"/>
    <mergeCell ref="Z36:AB36"/>
    <mergeCell ref="K36:L36"/>
    <mergeCell ref="M36:N36"/>
    <mergeCell ref="O36:P36"/>
    <mergeCell ref="Q36:R36"/>
    <mergeCell ref="S36:T36"/>
    <mergeCell ref="U36:V36"/>
    <mergeCell ref="W34:Y34"/>
    <mergeCell ref="Z34:AB34"/>
    <mergeCell ref="K35:L35"/>
    <mergeCell ref="M35:N35"/>
    <mergeCell ref="O35:P35"/>
    <mergeCell ref="Q35:R35"/>
    <mergeCell ref="S35:T35"/>
    <mergeCell ref="U35:V35"/>
    <mergeCell ref="W35:Y35"/>
    <mergeCell ref="Z35:AB35"/>
    <mergeCell ref="K34:L34"/>
    <mergeCell ref="M34:N34"/>
    <mergeCell ref="O34:P34"/>
    <mergeCell ref="Q34:R34"/>
    <mergeCell ref="S34:T34"/>
    <mergeCell ref="U34:V34"/>
    <mergeCell ref="W32:Y32"/>
    <mergeCell ref="Z32:AB32"/>
    <mergeCell ref="K33:L33"/>
    <mergeCell ref="M33:N33"/>
    <mergeCell ref="O33:P33"/>
    <mergeCell ref="Q33:R33"/>
    <mergeCell ref="S33:T33"/>
    <mergeCell ref="U33:V33"/>
    <mergeCell ref="W33:Y33"/>
    <mergeCell ref="Z33:AB33"/>
    <mergeCell ref="K32:L32"/>
    <mergeCell ref="M32:N32"/>
    <mergeCell ref="O32:P32"/>
    <mergeCell ref="Q32:R32"/>
    <mergeCell ref="S32:T32"/>
    <mergeCell ref="U32:V32"/>
    <mergeCell ref="W30:Y30"/>
    <mergeCell ref="Z30:AB30"/>
    <mergeCell ref="K31:L31"/>
    <mergeCell ref="M31:N31"/>
    <mergeCell ref="O31:P31"/>
    <mergeCell ref="Q31:R31"/>
    <mergeCell ref="S31:T31"/>
    <mergeCell ref="U31:V31"/>
    <mergeCell ref="W31:Y31"/>
    <mergeCell ref="Z31:AB31"/>
    <mergeCell ref="K30:L30"/>
    <mergeCell ref="M30:N30"/>
    <mergeCell ref="O30:P30"/>
    <mergeCell ref="Q30:R30"/>
    <mergeCell ref="S30:T30"/>
    <mergeCell ref="U30:V30"/>
    <mergeCell ref="Z28:AB28"/>
    <mergeCell ref="K29:L29"/>
    <mergeCell ref="M29:N29"/>
    <mergeCell ref="O29:P29"/>
    <mergeCell ref="Q29:R29"/>
    <mergeCell ref="S29:T29"/>
    <mergeCell ref="U29:V29"/>
    <mergeCell ref="W29:Y29"/>
    <mergeCell ref="Z29:AB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D29:I29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U17:V17"/>
    <mergeCell ref="W17:Y17"/>
    <mergeCell ref="Z17:AB17"/>
    <mergeCell ref="D18:I18"/>
    <mergeCell ref="K18:L18"/>
    <mergeCell ref="M18:N18"/>
    <mergeCell ref="O18:P18"/>
    <mergeCell ref="Q18:R18"/>
    <mergeCell ref="S18:T18"/>
    <mergeCell ref="U18:V18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A16:C16"/>
    <mergeCell ref="D16:I16"/>
    <mergeCell ref="K16:L16"/>
    <mergeCell ref="M16:N16"/>
    <mergeCell ref="O16:P16"/>
    <mergeCell ref="Q16:R16"/>
    <mergeCell ref="Z10:AB11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3" manualBreakCount="3">
    <brk id="146" max="33" man="1"/>
    <brk id="293" max="33" man="1"/>
    <brk id="439" max="3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I155"/>
  <sheetViews>
    <sheetView view="pageBreakPreview" topLeftCell="A136" zoomScale="62" zoomScaleNormal="50" zoomScaleSheetLayoutView="62" workbookViewId="0">
      <selection activeCell="U163" sqref="U163"/>
    </sheetView>
  </sheetViews>
  <sheetFormatPr defaultRowHeight="15" x14ac:dyDescent="0.25"/>
  <cols>
    <col min="1" max="1" width="4" customWidth="1"/>
    <col min="2" max="2" width="4.7109375" customWidth="1"/>
    <col min="3" max="3" width="3.28515625" customWidth="1"/>
    <col min="5" max="5" width="1.42578125" customWidth="1"/>
    <col min="7" max="7" width="3.28515625" customWidth="1"/>
  </cols>
  <sheetData>
    <row r="1" spans="1:35" x14ac:dyDescent="0.25">
      <c r="A1" s="206" t="s">
        <v>611</v>
      </c>
      <c r="B1" s="207"/>
      <c r="C1" s="207"/>
      <c r="D1" s="207"/>
      <c r="E1" s="207"/>
      <c r="F1" s="207"/>
      <c r="G1" s="207"/>
      <c r="H1" s="207"/>
      <c r="I1" s="208"/>
      <c r="J1" s="212" t="s">
        <v>792</v>
      </c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4"/>
    </row>
    <row r="2" spans="1:35" x14ac:dyDescent="0.25">
      <c r="A2" s="206"/>
      <c r="B2" s="207"/>
      <c r="C2" s="207"/>
      <c r="D2" s="207"/>
      <c r="E2" s="207"/>
      <c r="F2" s="207"/>
      <c r="G2" s="207"/>
      <c r="H2" s="207"/>
      <c r="I2" s="208"/>
      <c r="J2" s="212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4"/>
    </row>
    <row r="3" spans="1:35" x14ac:dyDescent="0.25">
      <c r="A3" s="206"/>
      <c r="B3" s="207"/>
      <c r="C3" s="207"/>
      <c r="D3" s="207"/>
      <c r="E3" s="207"/>
      <c r="F3" s="207"/>
      <c r="G3" s="207"/>
      <c r="H3" s="207"/>
      <c r="I3" s="208"/>
      <c r="J3" s="212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4"/>
    </row>
    <row r="4" spans="1:35" x14ac:dyDescent="0.25">
      <c r="A4" s="206"/>
      <c r="B4" s="207"/>
      <c r="C4" s="207"/>
      <c r="D4" s="207"/>
      <c r="E4" s="207"/>
      <c r="F4" s="207"/>
      <c r="G4" s="207"/>
      <c r="H4" s="207"/>
      <c r="I4" s="208"/>
      <c r="J4" s="212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4"/>
    </row>
    <row r="5" spans="1:35" x14ac:dyDescent="0.25">
      <c r="A5" s="206"/>
      <c r="B5" s="207"/>
      <c r="C5" s="207"/>
      <c r="D5" s="207"/>
      <c r="E5" s="207"/>
      <c r="F5" s="207"/>
      <c r="G5" s="207"/>
      <c r="H5" s="207"/>
      <c r="I5" s="208"/>
      <c r="J5" s="215" t="s">
        <v>613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7"/>
    </row>
    <row r="6" spans="1:35" x14ac:dyDescent="0.25">
      <c r="A6" s="206"/>
      <c r="B6" s="207"/>
      <c r="C6" s="207"/>
      <c r="D6" s="207"/>
      <c r="E6" s="207"/>
      <c r="F6" s="207"/>
      <c r="G6" s="207"/>
      <c r="H6" s="207"/>
      <c r="I6" s="208"/>
      <c r="J6" s="215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7"/>
    </row>
    <row r="7" spans="1:35" x14ac:dyDescent="0.25">
      <c r="A7" s="209"/>
      <c r="B7" s="210"/>
      <c r="C7" s="210"/>
      <c r="D7" s="210"/>
      <c r="E7" s="210"/>
      <c r="F7" s="210"/>
      <c r="G7" s="210"/>
      <c r="H7" s="210"/>
      <c r="I7" s="211"/>
      <c r="J7" s="215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7"/>
    </row>
    <row r="8" spans="1:35" x14ac:dyDescent="0.25">
      <c r="A8" s="39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</row>
    <row r="9" spans="1:35" x14ac:dyDescent="0.25">
      <c r="A9" s="185" t="s">
        <v>0</v>
      </c>
      <c r="B9" s="186"/>
      <c r="C9" s="186"/>
      <c r="D9" s="187" t="s">
        <v>2</v>
      </c>
      <c r="E9" s="187"/>
      <c r="F9" s="187"/>
      <c r="G9" s="187"/>
      <c r="H9" s="187"/>
      <c r="I9" s="187"/>
      <c r="J9" s="186" t="s">
        <v>626</v>
      </c>
      <c r="K9" s="178" t="s">
        <v>627</v>
      </c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 t="s">
        <v>628</v>
      </c>
      <c r="X9" s="178"/>
      <c r="Y9" s="178"/>
      <c r="Z9" s="178"/>
      <c r="AA9" s="178"/>
      <c r="AB9" s="178"/>
      <c r="AC9" s="178"/>
      <c r="AD9" s="178"/>
      <c r="AE9" s="178"/>
      <c r="AF9" s="186" t="s">
        <v>629</v>
      </c>
      <c r="AG9" s="186"/>
      <c r="AH9" s="188"/>
    </row>
    <row r="10" spans="1:35" x14ac:dyDescent="0.25">
      <c r="A10" s="185"/>
      <c r="B10" s="186"/>
      <c r="C10" s="186"/>
      <c r="D10" s="187"/>
      <c r="E10" s="187"/>
      <c r="F10" s="187"/>
      <c r="G10" s="187"/>
      <c r="H10" s="187"/>
      <c r="I10" s="187"/>
      <c r="J10" s="186"/>
      <c r="K10" s="178" t="s">
        <v>630</v>
      </c>
      <c r="L10" s="178"/>
      <c r="M10" s="178" t="s">
        <v>631</v>
      </c>
      <c r="N10" s="178"/>
      <c r="O10" s="178" t="s">
        <v>632</v>
      </c>
      <c r="P10" s="178"/>
      <c r="Q10" s="178" t="s">
        <v>633</v>
      </c>
      <c r="R10" s="178"/>
      <c r="S10" s="178" t="s">
        <v>634</v>
      </c>
      <c r="T10" s="178"/>
      <c r="U10" s="178" t="s">
        <v>635</v>
      </c>
      <c r="V10" s="178"/>
      <c r="W10" s="178" t="s">
        <v>636</v>
      </c>
      <c r="X10" s="178"/>
      <c r="Y10" s="178"/>
      <c r="Z10" s="178" t="s">
        <v>617</v>
      </c>
      <c r="AA10" s="178"/>
      <c r="AB10" s="178"/>
      <c r="AC10" s="178" t="s">
        <v>637</v>
      </c>
      <c r="AD10" s="178"/>
      <c r="AE10" s="178"/>
      <c r="AF10" s="186"/>
      <c r="AG10" s="186"/>
      <c r="AH10" s="188"/>
    </row>
    <row r="11" spans="1:35" x14ac:dyDescent="0.25">
      <c r="A11" s="185"/>
      <c r="B11" s="186"/>
      <c r="C11" s="186"/>
      <c r="D11" s="187"/>
      <c r="E11" s="187"/>
      <c r="F11" s="187"/>
      <c r="G11" s="187"/>
      <c r="H11" s="187"/>
      <c r="I11" s="187"/>
      <c r="J11" s="186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  <c r="AC11" s="178"/>
      <c r="AD11" s="178"/>
      <c r="AE11" s="178"/>
      <c r="AF11" s="186"/>
      <c r="AG11" s="186"/>
      <c r="AH11" s="188"/>
    </row>
    <row r="12" spans="1:35" x14ac:dyDescent="0.25">
      <c r="A12" s="42"/>
      <c r="B12" s="43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5"/>
    </row>
    <row r="13" spans="1:35" ht="15.75" x14ac:dyDescent="0.25">
      <c r="A13" s="179" t="str">
        <f>'MEMORIA BM 04'!A32</f>
        <v>5</v>
      </c>
      <c r="B13" s="180"/>
      <c r="C13" s="181"/>
      <c r="D13" s="182">
        <f>'MEMORIA BM 04'!B32:E32</f>
        <v>0</v>
      </c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4"/>
    </row>
    <row r="14" spans="1:35" x14ac:dyDescent="0.25">
      <c r="A14" s="46"/>
      <c r="B14" s="47"/>
      <c r="C14" s="47"/>
      <c r="D14" s="47"/>
      <c r="E14" s="47"/>
      <c r="F14" s="48"/>
      <c r="G14" s="48"/>
      <c r="H14" s="48"/>
      <c r="I14" s="48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50"/>
    </row>
    <row r="15" spans="1:35" ht="15.75" x14ac:dyDescent="0.25">
      <c r="A15" s="189" t="str">
        <f>'MEMORIA BM 04'!A33</f>
        <v>5.1</v>
      </c>
      <c r="B15" s="190"/>
      <c r="C15" s="191"/>
      <c r="D15" s="192" t="str">
        <f>'MEMORIA BM 04'!B33</f>
        <v>Forma plana para estruturas, em compensado plastificado de 12mm, 07 usos, inclusive escoramento - Revisada 07.2015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4"/>
      <c r="AC15" s="195">
        <f>SUM(Z16:AB41)</f>
        <v>360.35399999999993</v>
      </c>
      <c r="AD15" s="190"/>
      <c r="AE15" s="191"/>
      <c r="AF15" s="195" t="str">
        <f>'MEMORIA BM 04'!C33</f>
        <v>m2</v>
      </c>
      <c r="AG15" s="190"/>
      <c r="AH15" s="196"/>
      <c r="AI15">
        <v>360.35</v>
      </c>
    </row>
    <row r="16" spans="1:35" ht="15.75" x14ac:dyDescent="0.25">
      <c r="A16" s="197"/>
      <c r="B16" s="198"/>
      <c r="C16" s="199"/>
      <c r="D16" s="218" t="s">
        <v>760</v>
      </c>
      <c r="E16" s="219"/>
      <c r="F16" s="219"/>
      <c r="G16" s="219"/>
      <c r="H16" s="219"/>
      <c r="I16" s="219"/>
      <c r="J16" s="63"/>
      <c r="K16" s="202">
        <v>0.15</v>
      </c>
      <c r="L16" s="199"/>
      <c r="M16" s="202"/>
      <c r="N16" s="199"/>
      <c r="O16" s="202">
        <v>0.3</v>
      </c>
      <c r="P16" s="199"/>
      <c r="Q16" s="202"/>
      <c r="R16" s="199"/>
      <c r="S16" s="202">
        <f>11.89+11.86</f>
        <v>23.75</v>
      </c>
      <c r="T16" s="199"/>
      <c r="U16" s="202"/>
      <c r="V16" s="199"/>
      <c r="W16" s="203">
        <f>K16*O16</f>
        <v>4.4999999999999998E-2</v>
      </c>
      <c r="X16" s="204"/>
      <c r="Y16" s="205"/>
      <c r="Z16" s="203">
        <f>((K16*S16)+(O16*S16*2))</f>
        <v>17.8125</v>
      </c>
      <c r="AA16" s="204"/>
      <c r="AB16" s="205"/>
      <c r="AC16" s="51"/>
      <c r="AD16" s="52"/>
      <c r="AE16" s="53"/>
      <c r="AF16" s="51"/>
      <c r="AG16" s="52"/>
      <c r="AH16" s="54"/>
    </row>
    <row r="17" spans="1:34" ht="15.75" x14ac:dyDescent="0.25">
      <c r="A17" s="73"/>
      <c r="B17" s="74"/>
      <c r="C17" s="72"/>
      <c r="D17" s="218" t="s">
        <v>761</v>
      </c>
      <c r="E17" s="219"/>
      <c r="F17" s="219"/>
      <c r="G17" s="219"/>
      <c r="H17" s="219"/>
      <c r="I17" s="219"/>
      <c r="J17" s="63"/>
      <c r="K17" s="202">
        <v>0.15</v>
      </c>
      <c r="L17" s="199"/>
      <c r="M17" s="202"/>
      <c r="N17" s="199"/>
      <c r="O17" s="202">
        <v>0.3</v>
      </c>
      <c r="P17" s="199"/>
      <c r="Q17" s="202"/>
      <c r="R17" s="199"/>
      <c r="S17" s="202">
        <v>3.39</v>
      </c>
      <c r="T17" s="199"/>
      <c r="U17" s="202"/>
      <c r="V17" s="199"/>
      <c r="W17" s="203">
        <f t="shared" ref="W17:W41" si="0">K17*O17</f>
        <v>4.4999999999999998E-2</v>
      </c>
      <c r="X17" s="204"/>
      <c r="Y17" s="205"/>
      <c r="Z17" s="203">
        <f t="shared" ref="Z17:Z41" si="1">((K17*S17)+(O17*S17*2))</f>
        <v>2.5424999999999995</v>
      </c>
      <c r="AA17" s="204"/>
      <c r="AB17" s="205"/>
      <c r="AC17" s="51"/>
      <c r="AD17" s="52"/>
      <c r="AE17" s="53"/>
      <c r="AF17" s="51"/>
      <c r="AG17" s="52"/>
      <c r="AH17" s="54"/>
    </row>
    <row r="18" spans="1:34" ht="15.75" x14ac:dyDescent="0.25">
      <c r="A18" s="73"/>
      <c r="B18" s="74"/>
      <c r="C18" s="72"/>
      <c r="D18" s="218" t="s">
        <v>762</v>
      </c>
      <c r="E18" s="219"/>
      <c r="F18" s="219"/>
      <c r="G18" s="219"/>
      <c r="H18" s="219"/>
      <c r="I18" s="219"/>
      <c r="J18" s="63"/>
      <c r="K18" s="202">
        <v>0.15</v>
      </c>
      <c r="L18" s="199"/>
      <c r="M18" s="202"/>
      <c r="N18" s="199"/>
      <c r="O18" s="202">
        <v>0.3</v>
      </c>
      <c r="P18" s="199"/>
      <c r="Q18" s="202"/>
      <c r="R18" s="199"/>
      <c r="S18" s="202">
        <v>3.39</v>
      </c>
      <c r="T18" s="199"/>
      <c r="U18" s="202"/>
      <c r="V18" s="199"/>
      <c r="W18" s="203">
        <f t="shared" si="0"/>
        <v>4.4999999999999998E-2</v>
      </c>
      <c r="X18" s="204"/>
      <c r="Y18" s="205"/>
      <c r="Z18" s="203">
        <f t="shared" si="1"/>
        <v>2.5424999999999995</v>
      </c>
      <c r="AA18" s="204"/>
      <c r="AB18" s="205"/>
      <c r="AC18" s="51"/>
      <c r="AD18" s="52"/>
      <c r="AE18" s="53"/>
      <c r="AF18" s="51"/>
      <c r="AG18" s="52"/>
      <c r="AH18" s="54"/>
    </row>
    <row r="19" spans="1:34" ht="15.75" x14ac:dyDescent="0.25">
      <c r="A19" s="73"/>
      <c r="B19" s="74"/>
      <c r="C19" s="72"/>
      <c r="D19" s="218" t="s">
        <v>763</v>
      </c>
      <c r="E19" s="219"/>
      <c r="F19" s="219"/>
      <c r="G19" s="219"/>
      <c r="H19" s="219"/>
      <c r="I19" s="219"/>
      <c r="J19" s="64"/>
      <c r="K19" s="202">
        <v>0.15</v>
      </c>
      <c r="L19" s="199"/>
      <c r="M19" s="202"/>
      <c r="N19" s="199"/>
      <c r="O19" s="202">
        <v>0.3</v>
      </c>
      <c r="P19" s="199"/>
      <c r="Q19" s="202"/>
      <c r="R19" s="199"/>
      <c r="S19" s="202">
        <v>3.26</v>
      </c>
      <c r="T19" s="199"/>
      <c r="U19" s="202"/>
      <c r="V19" s="199"/>
      <c r="W19" s="203">
        <f t="shared" si="0"/>
        <v>4.4999999999999998E-2</v>
      </c>
      <c r="X19" s="204"/>
      <c r="Y19" s="205"/>
      <c r="Z19" s="203">
        <f t="shared" si="1"/>
        <v>2.4449999999999998</v>
      </c>
      <c r="AA19" s="204"/>
      <c r="AB19" s="205"/>
      <c r="AC19" s="51"/>
      <c r="AD19" s="52"/>
      <c r="AE19" s="53"/>
      <c r="AF19" s="51"/>
      <c r="AG19" s="52"/>
      <c r="AH19" s="54"/>
    </row>
    <row r="20" spans="1:34" ht="15.75" x14ac:dyDescent="0.25">
      <c r="A20" s="73"/>
      <c r="B20" s="74"/>
      <c r="C20" s="72"/>
      <c r="D20" s="218" t="s">
        <v>764</v>
      </c>
      <c r="E20" s="219"/>
      <c r="F20" s="219"/>
      <c r="G20" s="219"/>
      <c r="H20" s="219"/>
      <c r="I20" s="219"/>
      <c r="J20" s="63"/>
      <c r="K20" s="202">
        <v>0.15</v>
      </c>
      <c r="L20" s="199"/>
      <c r="M20" s="202"/>
      <c r="N20" s="199"/>
      <c r="O20" s="202">
        <v>0.3</v>
      </c>
      <c r="P20" s="199"/>
      <c r="Q20" s="202"/>
      <c r="R20" s="199"/>
      <c r="S20" s="202">
        <v>6.4</v>
      </c>
      <c r="T20" s="199"/>
      <c r="U20" s="202"/>
      <c r="V20" s="199"/>
      <c r="W20" s="203">
        <f t="shared" si="0"/>
        <v>4.4999999999999998E-2</v>
      </c>
      <c r="X20" s="204"/>
      <c r="Y20" s="205"/>
      <c r="Z20" s="203">
        <f t="shared" si="1"/>
        <v>4.8</v>
      </c>
      <c r="AA20" s="204"/>
      <c r="AB20" s="205"/>
      <c r="AC20" s="51"/>
      <c r="AD20" s="52"/>
      <c r="AE20" s="53"/>
      <c r="AF20" s="51"/>
      <c r="AG20" s="52"/>
      <c r="AH20" s="54"/>
    </row>
    <row r="21" spans="1:34" ht="15.75" x14ac:dyDescent="0.25">
      <c r="A21" s="73"/>
      <c r="B21" s="74"/>
      <c r="C21" s="72"/>
      <c r="D21" s="218" t="s">
        <v>765</v>
      </c>
      <c r="E21" s="219"/>
      <c r="F21" s="219"/>
      <c r="G21" s="219"/>
      <c r="H21" s="219"/>
      <c r="I21" s="219"/>
      <c r="J21" s="63"/>
      <c r="K21" s="202">
        <v>0.15</v>
      </c>
      <c r="L21" s="199"/>
      <c r="M21" s="202"/>
      <c r="N21" s="199"/>
      <c r="O21" s="202">
        <v>0.3</v>
      </c>
      <c r="P21" s="199"/>
      <c r="Q21" s="202"/>
      <c r="R21" s="199"/>
      <c r="S21" s="202">
        <v>2.04</v>
      </c>
      <c r="T21" s="199"/>
      <c r="U21" s="202"/>
      <c r="V21" s="199"/>
      <c r="W21" s="203">
        <f t="shared" si="0"/>
        <v>4.4999999999999998E-2</v>
      </c>
      <c r="X21" s="204"/>
      <c r="Y21" s="205"/>
      <c r="Z21" s="203">
        <f t="shared" si="1"/>
        <v>1.53</v>
      </c>
      <c r="AA21" s="204"/>
      <c r="AB21" s="205"/>
      <c r="AC21" s="51"/>
      <c r="AD21" s="52"/>
      <c r="AE21" s="53"/>
      <c r="AF21" s="51"/>
      <c r="AG21" s="52"/>
      <c r="AH21" s="54"/>
    </row>
    <row r="22" spans="1:34" ht="15.75" x14ac:dyDescent="0.25">
      <c r="A22" s="73"/>
      <c r="B22" s="74"/>
      <c r="C22" s="72"/>
      <c r="D22" s="218" t="s">
        <v>766</v>
      </c>
      <c r="E22" s="219"/>
      <c r="F22" s="219"/>
      <c r="G22" s="219"/>
      <c r="H22" s="219"/>
      <c r="I22" s="219"/>
      <c r="J22" s="63"/>
      <c r="K22" s="202">
        <v>0.15</v>
      </c>
      <c r="L22" s="199"/>
      <c r="M22" s="202"/>
      <c r="N22" s="199"/>
      <c r="O22" s="202">
        <v>0.3</v>
      </c>
      <c r="P22" s="199"/>
      <c r="Q22" s="202"/>
      <c r="R22" s="199"/>
      <c r="S22" s="202">
        <f>11.89+12+12+3.74</f>
        <v>39.630000000000003</v>
      </c>
      <c r="T22" s="199"/>
      <c r="U22" s="202"/>
      <c r="V22" s="199"/>
      <c r="W22" s="203">
        <f t="shared" si="0"/>
        <v>4.4999999999999998E-2</v>
      </c>
      <c r="X22" s="204"/>
      <c r="Y22" s="205"/>
      <c r="Z22" s="203">
        <f t="shared" si="1"/>
        <v>29.722500000000004</v>
      </c>
      <c r="AA22" s="204"/>
      <c r="AB22" s="205"/>
      <c r="AC22" s="51"/>
      <c r="AD22" s="52"/>
      <c r="AE22" s="53"/>
      <c r="AF22" s="51"/>
      <c r="AG22" s="52"/>
      <c r="AH22" s="54"/>
    </row>
    <row r="23" spans="1:34" ht="15.75" x14ac:dyDescent="0.25">
      <c r="A23" s="73"/>
      <c r="B23" s="74"/>
      <c r="C23" s="72"/>
      <c r="D23" s="218" t="s">
        <v>767</v>
      </c>
      <c r="E23" s="219"/>
      <c r="F23" s="219"/>
      <c r="G23" s="219"/>
      <c r="H23" s="219"/>
      <c r="I23" s="219"/>
      <c r="J23" s="63"/>
      <c r="K23" s="202">
        <v>0.15</v>
      </c>
      <c r="L23" s="199"/>
      <c r="M23" s="202"/>
      <c r="N23" s="199"/>
      <c r="O23" s="202">
        <v>0.3</v>
      </c>
      <c r="P23" s="199"/>
      <c r="Q23" s="202"/>
      <c r="R23" s="199"/>
      <c r="S23" s="202">
        <v>6.4</v>
      </c>
      <c r="T23" s="199"/>
      <c r="U23" s="202"/>
      <c r="V23" s="199"/>
      <c r="W23" s="203">
        <f t="shared" si="0"/>
        <v>4.4999999999999998E-2</v>
      </c>
      <c r="X23" s="204"/>
      <c r="Y23" s="205"/>
      <c r="Z23" s="203">
        <f t="shared" si="1"/>
        <v>4.8</v>
      </c>
      <c r="AA23" s="204"/>
      <c r="AB23" s="205"/>
      <c r="AC23" s="51"/>
      <c r="AD23" s="52"/>
      <c r="AE23" s="53"/>
      <c r="AF23" s="51"/>
      <c r="AG23" s="52"/>
      <c r="AH23" s="54"/>
    </row>
    <row r="24" spans="1:34" ht="15.75" x14ac:dyDescent="0.25">
      <c r="A24" s="197"/>
      <c r="B24" s="198"/>
      <c r="C24" s="199"/>
      <c r="D24" s="218" t="s">
        <v>768</v>
      </c>
      <c r="E24" s="219"/>
      <c r="F24" s="219"/>
      <c r="G24" s="219"/>
      <c r="H24" s="219"/>
      <c r="I24" s="219"/>
      <c r="J24" s="63"/>
      <c r="K24" s="202">
        <v>0.15</v>
      </c>
      <c r="L24" s="199"/>
      <c r="M24" s="202"/>
      <c r="N24" s="199"/>
      <c r="O24" s="202">
        <v>0.3</v>
      </c>
      <c r="P24" s="199"/>
      <c r="Q24" s="202"/>
      <c r="R24" s="199"/>
      <c r="S24" s="202">
        <v>1.7</v>
      </c>
      <c r="T24" s="199"/>
      <c r="U24" s="202"/>
      <c r="V24" s="199"/>
      <c r="W24" s="203">
        <f t="shared" si="0"/>
        <v>4.4999999999999998E-2</v>
      </c>
      <c r="X24" s="204"/>
      <c r="Y24" s="205"/>
      <c r="Z24" s="203">
        <f t="shared" si="1"/>
        <v>1.2749999999999999</v>
      </c>
      <c r="AA24" s="204"/>
      <c r="AB24" s="205"/>
      <c r="AC24" s="51"/>
      <c r="AD24" s="52"/>
      <c r="AE24" s="53"/>
      <c r="AF24" s="51"/>
      <c r="AG24" s="52"/>
      <c r="AH24" s="54"/>
    </row>
    <row r="25" spans="1:34" ht="15.75" x14ac:dyDescent="0.25">
      <c r="A25" s="197"/>
      <c r="B25" s="198"/>
      <c r="C25" s="199"/>
      <c r="D25" s="218" t="s">
        <v>769</v>
      </c>
      <c r="E25" s="219"/>
      <c r="F25" s="219"/>
      <c r="G25" s="219"/>
      <c r="H25" s="219"/>
      <c r="I25" s="219"/>
      <c r="J25" s="63"/>
      <c r="K25" s="202">
        <v>0.15</v>
      </c>
      <c r="L25" s="199"/>
      <c r="M25" s="202"/>
      <c r="N25" s="199"/>
      <c r="O25" s="202">
        <v>0.4</v>
      </c>
      <c r="P25" s="199"/>
      <c r="Q25" s="202"/>
      <c r="R25" s="199"/>
      <c r="S25" s="202">
        <f>11.81+8.84+12+6.85</f>
        <v>39.5</v>
      </c>
      <c r="T25" s="199"/>
      <c r="U25" s="202"/>
      <c r="V25" s="199"/>
      <c r="W25" s="203">
        <f t="shared" si="0"/>
        <v>0.06</v>
      </c>
      <c r="X25" s="204"/>
      <c r="Y25" s="205"/>
      <c r="Z25" s="203">
        <f t="shared" si="1"/>
        <v>37.524999999999999</v>
      </c>
      <c r="AA25" s="204"/>
      <c r="AB25" s="205"/>
      <c r="AC25" s="51"/>
      <c r="AD25" s="52"/>
      <c r="AE25" s="53"/>
      <c r="AF25" s="51"/>
      <c r="AG25" s="52"/>
      <c r="AH25" s="54"/>
    </row>
    <row r="26" spans="1:34" ht="15.75" x14ac:dyDescent="0.25">
      <c r="A26" s="197"/>
      <c r="B26" s="198"/>
      <c r="C26" s="199"/>
      <c r="D26" s="218" t="s">
        <v>770</v>
      </c>
      <c r="E26" s="219"/>
      <c r="F26" s="219"/>
      <c r="G26" s="219"/>
      <c r="H26" s="219"/>
      <c r="I26" s="219"/>
      <c r="J26" s="63"/>
      <c r="K26" s="202">
        <v>0.15</v>
      </c>
      <c r="L26" s="199"/>
      <c r="M26" s="202"/>
      <c r="N26" s="199"/>
      <c r="O26" s="202">
        <v>0.3</v>
      </c>
      <c r="P26" s="199"/>
      <c r="Q26" s="202"/>
      <c r="R26" s="199"/>
      <c r="S26" s="202">
        <v>4.24</v>
      </c>
      <c r="T26" s="199"/>
      <c r="U26" s="202"/>
      <c r="V26" s="199"/>
      <c r="W26" s="203">
        <f t="shared" si="0"/>
        <v>4.4999999999999998E-2</v>
      </c>
      <c r="X26" s="204"/>
      <c r="Y26" s="205"/>
      <c r="Z26" s="203">
        <f t="shared" si="1"/>
        <v>3.18</v>
      </c>
      <c r="AA26" s="204"/>
      <c r="AB26" s="205"/>
      <c r="AC26" s="51"/>
      <c r="AD26" s="52"/>
      <c r="AE26" s="53"/>
      <c r="AF26" s="51"/>
      <c r="AG26" s="52"/>
      <c r="AH26" s="54"/>
    </row>
    <row r="27" spans="1:34" ht="15.75" x14ac:dyDescent="0.25">
      <c r="A27" s="197"/>
      <c r="B27" s="198"/>
      <c r="C27" s="199"/>
      <c r="D27" s="218" t="s">
        <v>771</v>
      </c>
      <c r="E27" s="219"/>
      <c r="F27" s="219"/>
      <c r="G27" s="219"/>
      <c r="H27" s="219"/>
      <c r="I27" s="219"/>
      <c r="J27" s="63"/>
      <c r="K27" s="202">
        <v>0.15</v>
      </c>
      <c r="L27" s="199"/>
      <c r="M27" s="202"/>
      <c r="N27" s="199"/>
      <c r="O27" s="202">
        <v>0.3</v>
      </c>
      <c r="P27" s="199"/>
      <c r="Q27" s="202"/>
      <c r="R27" s="199"/>
      <c r="S27" s="202">
        <v>5.64</v>
      </c>
      <c r="T27" s="199"/>
      <c r="U27" s="202"/>
      <c r="V27" s="199"/>
      <c r="W27" s="203">
        <f t="shared" si="0"/>
        <v>4.4999999999999998E-2</v>
      </c>
      <c r="X27" s="204"/>
      <c r="Y27" s="205"/>
      <c r="Z27" s="203">
        <f t="shared" si="1"/>
        <v>4.2299999999999995</v>
      </c>
      <c r="AA27" s="204"/>
      <c r="AB27" s="205"/>
      <c r="AC27" s="51"/>
      <c r="AD27" s="52"/>
      <c r="AE27" s="53"/>
      <c r="AF27" s="51"/>
      <c r="AG27" s="52"/>
      <c r="AH27" s="54"/>
    </row>
    <row r="28" spans="1:34" ht="15.75" x14ac:dyDescent="0.25">
      <c r="A28" s="197"/>
      <c r="B28" s="198"/>
      <c r="C28" s="199"/>
      <c r="D28" s="218" t="s">
        <v>772</v>
      </c>
      <c r="E28" s="219"/>
      <c r="F28" s="219"/>
      <c r="G28" s="219"/>
      <c r="H28" s="219"/>
      <c r="I28" s="219"/>
      <c r="J28" s="63"/>
      <c r="K28" s="202">
        <v>0.15</v>
      </c>
      <c r="L28" s="199"/>
      <c r="M28" s="202"/>
      <c r="N28" s="199"/>
      <c r="O28" s="202">
        <v>0.4</v>
      </c>
      <c r="P28" s="199"/>
      <c r="Q28" s="202"/>
      <c r="R28" s="199"/>
      <c r="S28" s="202">
        <f>11.81+9.24+12+6.41</f>
        <v>39.459999999999994</v>
      </c>
      <c r="T28" s="199"/>
      <c r="U28" s="202"/>
      <c r="V28" s="199"/>
      <c r="W28" s="203">
        <f t="shared" si="0"/>
        <v>0.06</v>
      </c>
      <c r="X28" s="204"/>
      <c r="Y28" s="205"/>
      <c r="Z28" s="203">
        <f t="shared" si="1"/>
        <v>37.486999999999995</v>
      </c>
      <c r="AA28" s="204"/>
      <c r="AB28" s="205"/>
      <c r="AC28" s="51"/>
      <c r="AD28" s="52"/>
      <c r="AE28" s="53"/>
      <c r="AF28" s="51"/>
      <c r="AG28" s="52"/>
      <c r="AH28" s="54"/>
    </row>
    <row r="29" spans="1:34" ht="15.75" x14ac:dyDescent="0.25">
      <c r="A29" s="197"/>
      <c r="B29" s="198"/>
      <c r="C29" s="199"/>
      <c r="D29" s="220" t="s">
        <v>773</v>
      </c>
      <c r="E29" s="221"/>
      <c r="F29" s="221"/>
      <c r="G29" s="221"/>
      <c r="H29" s="221"/>
      <c r="I29" s="222"/>
      <c r="J29" s="63"/>
      <c r="K29" s="202">
        <v>0.15</v>
      </c>
      <c r="L29" s="199"/>
      <c r="M29" s="202"/>
      <c r="N29" s="199"/>
      <c r="O29" s="202">
        <v>0.4</v>
      </c>
      <c r="P29" s="199"/>
      <c r="Q29" s="202"/>
      <c r="R29" s="199"/>
      <c r="S29" s="202">
        <f>10.61</f>
        <v>10.61</v>
      </c>
      <c r="T29" s="199"/>
      <c r="U29" s="202"/>
      <c r="V29" s="199"/>
      <c r="W29" s="203">
        <f t="shared" si="0"/>
        <v>0.06</v>
      </c>
      <c r="X29" s="204"/>
      <c r="Y29" s="205"/>
      <c r="Z29" s="203">
        <f t="shared" si="1"/>
        <v>10.079499999999999</v>
      </c>
      <c r="AA29" s="204"/>
      <c r="AB29" s="205"/>
      <c r="AC29" s="51"/>
      <c r="AD29" s="52"/>
      <c r="AE29" s="53"/>
      <c r="AF29" s="51"/>
      <c r="AG29" s="52"/>
      <c r="AH29" s="54"/>
    </row>
    <row r="30" spans="1:34" ht="15.75" x14ac:dyDescent="0.25">
      <c r="A30" s="197"/>
      <c r="B30" s="198"/>
      <c r="C30" s="199"/>
      <c r="D30" s="220" t="s">
        <v>774</v>
      </c>
      <c r="E30" s="221"/>
      <c r="F30" s="221"/>
      <c r="G30" s="221"/>
      <c r="H30" s="221"/>
      <c r="I30" s="222"/>
      <c r="J30" s="63"/>
      <c r="K30" s="202">
        <v>0.15</v>
      </c>
      <c r="L30" s="199"/>
      <c r="M30" s="202"/>
      <c r="N30" s="199"/>
      <c r="O30" s="202">
        <v>0.3</v>
      </c>
      <c r="P30" s="199"/>
      <c r="Q30" s="202"/>
      <c r="R30" s="199"/>
      <c r="S30" s="202">
        <f>11.89+12+12+3.96</f>
        <v>39.85</v>
      </c>
      <c r="T30" s="199"/>
      <c r="U30" s="202"/>
      <c r="V30" s="199"/>
      <c r="W30" s="203">
        <f t="shared" si="0"/>
        <v>4.4999999999999998E-2</v>
      </c>
      <c r="X30" s="204"/>
      <c r="Y30" s="205"/>
      <c r="Z30" s="203">
        <f t="shared" si="1"/>
        <v>29.887499999999999</v>
      </c>
      <c r="AA30" s="204"/>
      <c r="AB30" s="205"/>
      <c r="AC30" s="51"/>
      <c r="AD30" s="52"/>
      <c r="AE30" s="53"/>
      <c r="AF30" s="51"/>
      <c r="AG30" s="52"/>
      <c r="AH30" s="54"/>
    </row>
    <row r="31" spans="1:34" ht="15.75" x14ac:dyDescent="0.25">
      <c r="A31" s="197"/>
      <c r="B31" s="198"/>
      <c r="C31" s="199"/>
      <c r="D31" s="220" t="s">
        <v>775</v>
      </c>
      <c r="E31" s="221"/>
      <c r="F31" s="221"/>
      <c r="G31" s="221"/>
      <c r="H31" s="221"/>
      <c r="I31" s="222"/>
      <c r="J31" s="63"/>
      <c r="K31" s="202">
        <v>0.15</v>
      </c>
      <c r="L31" s="199"/>
      <c r="M31" s="202"/>
      <c r="N31" s="199"/>
      <c r="O31" s="202">
        <v>0.3</v>
      </c>
      <c r="P31" s="199"/>
      <c r="Q31" s="202"/>
      <c r="R31" s="199"/>
      <c r="S31" s="202">
        <v>10.62</v>
      </c>
      <c r="T31" s="199"/>
      <c r="U31" s="202"/>
      <c r="V31" s="199"/>
      <c r="W31" s="203">
        <f t="shared" si="0"/>
        <v>4.4999999999999998E-2</v>
      </c>
      <c r="X31" s="204"/>
      <c r="Y31" s="205"/>
      <c r="Z31" s="203">
        <f t="shared" si="1"/>
        <v>7.964999999999999</v>
      </c>
      <c r="AA31" s="204"/>
      <c r="AB31" s="205"/>
      <c r="AC31" s="51"/>
      <c r="AD31" s="52"/>
      <c r="AE31" s="53"/>
      <c r="AF31" s="51"/>
      <c r="AG31" s="52"/>
      <c r="AH31" s="54"/>
    </row>
    <row r="32" spans="1:34" ht="15.75" x14ac:dyDescent="0.25">
      <c r="A32" s="197"/>
      <c r="B32" s="198"/>
      <c r="C32" s="199"/>
      <c r="D32" s="220" t="s">
        <v>776</v>
      </c>
      <c r="E32" s="221"/>
      <c r="F32" s="221"/>
      <c r="G32" s="221"/>
      <c r="H32" s="221"/>
      <c r="I32" s="222"/>
      <c r="J32" s="63"/>
      <c r="K32" s="202">
        <v>0.15</v>
      </c>
      <c r="L32" s="199"/>
      <c r="M32" s="202"/>
      <c r="N32" s="199"/>
      <c r="O32" s="202">
        <v>0.3</v>
      </c>
      <c r="P32" s="199"/>
      <c r="Q32" s="202"/>
      <c r="R32" s="199"/>
      <c r="S32" s="202">
        <f>12+7.43</f>
        <v>19.43</v>
      </c>
      <c r="T32" s="199"/>
      <c r="U32" s="202"/>
      <c r="V32" s="199"/>
      <c r="W32" s="203">
        <f t="shared" si="0"/>
        <v>4.4999999999999998E-2</v>
      </c>
      <c r="X32" s="204"/>
      <c r="Y32" s="205"/>
      <c r="Z32" s="203">
        <f t="shared" si="1"/>
        <v>14.5725</v>
      </c>
      <c r="AA32" s="204"/>
      <c r="AB32" s="205"/>
      <c r="AC32" s="51"/>
      <c r="AD32" s="52"/>
      <c r="AE32" s="53"/>
      <c r="AF32" s="51"/>
      <c r="AG32" s="52"/>
      <c r="AH32" s="54"/>
    </row>
    <row r="33" spans="1:35" ht="15.75" x14ac:dyDescent="0.25">
      <c r="A33" s="197"/>
      <c r="B33" s="198"/>
      <c r="C33" s="199"/>
      <c r="D33" s="220" t="s">
        <v>777</v>
      </c>
      <c r="E33" s="221"/>
      <c r="F33" s="221"/>
      <c r="G33" s="221"/>
      <c r="H33" s="221"/>
      <c r="I33" s="222"/>
      <c r="J33" s="63"/>
      <c r="K33" s="202">
        <v>0.15</v>
      </c>
      <c r="L33" s="199"/>
      <c r="M33" s="202"/>
      <c r="N33" s="199"/>
      <c r="O33" s="202">
        <v>0.3</v>
      </c>
      <c r="P33" s="199"/>
      <c r="Q33" s="202"/>
      <c r="R33" s="199"/>
      <c r="S33" s="202">
        <f>12+12+8.05</f>
        <v>32.049999999999997</v>
      </c>
      <c r="T33" s="199"/>
      <c r="U33" s="202"/>
      <c r="V33" s="199"/>
      <c r="W33" s="203">
        <f t="shared" si="0"/>
        <v>4.4999999999999998E-2</v>
      </c>
      <c r="X33" s="204"/>
      <c r="Y33" s="205"/>
      <c r="Z33" s="203">
        <f t="shared" si="1"/>
        <v>24.037499999999994</v>
      </c>
      <c r="AA33" s="204"/>
      <c r="AB33" s="205"/>
      <c r="AC33" s="51"/>
      <c r="AD33" s="52"/>
      <c r="AE33" s="53"/>
      <c r="AF33" s="51"/>
      <c r="AG33" s="52"/>
      <c r="AH33" s="54"/>
    </row>
    <row r="34" spans="1:35" ht="15.75" x14ac:dyDescent="0.25">
      <c r="A34" s="197"/>
      <c r="B34" s="198"/>
      <c r="C34" s="199"/>
      <c r="D34" s="220" t="s">
        <v>778</v>
      </c>
      <c r="E34" s="221"/>
      <c r="F34" s="221"/>
      <c r="G34" s="221"/>
      <c r="H34" s="221"/>
      <c r="I34" s="222"/>
      <c r="J34" s="63"/>
      <c r="K34" s="202">
        <v>0.15</v>
      </c>
      <c r="L34" s="199"/>
      <c r="M34" s="202"/>
      <c r="N34" s="199"/>
      <c r="O34" s="202">
        <v>0.3</v>
      </c>
      <c r="P34" s="199"/>
      <c r="Q34" s="202"/>
      <c r="R34" s="199"/>
      <c r="S34" s="202">
        <f>12+7.24</f>
        <v>19.240000000000002</v>
      </c>
      <c r="T34" s="199"/>
      <c r="U34" s="202"/>
      <c r="V34" s="199"/>
      <c r="W34" s="203">
        <f t="shared" si="0"/>
        <v>4.4999999999999998E-2</v>
      </c>
      <c r="X34" s="204"/>
      <c r="Y34" s="205"/>
      <c r="Z34" s="203">
        <f t="shared" si="1"/>
        <v>14.43</v>
      </c>
      <c r="AA34" s="204"/>
      <c r="AB34" s="205"/>
      <c r="AC34" s="51"/>
      <c r="AD34" s="52"/>
      <c r="AE34" s="53"/>
      <c r="AF34" s="51"/>
      <c r="AG34" s="52"/>
      <c r="AH34" s="54"/>
    </row>
    <row r="35" spans="1:35" ht="15.75" x14ac:dyDescent="0.25">
      <c r="A35" s="197"/>
      <c r="B35" s="198"/>
      <c r="C35" s="199"/>
      <c r="D35" s="220" t="s">
        <v>779</v>
      </c>
      <c r="E35" s="221"/>
      <c r="F35" s="221"/>
      <c r="G35" s="221"/>
      <c r="H35" s="221"/>
      <c r="I35" s="222"/>
      <c r="J35" s="63"/>
      <c r="K35" s="202">
        <v>0.15</v>
      </c>
      <c r="L35" s="199"/>
      <c r="M35" s="202"/>
      <c r="N35" s="199"/>
      <c r="O35" s="202">
        <v>0.3</v>
      </c>
      <c r="P35" s="199"/>
      <c r="Q35" s="202"/>
      <c r="R35" s="199"/>
      <c r="S35" s="202">
        <f>12+12+8.27</f>
        <v>32.269999999999996</v>
      </c>
      <c r="T35" s="199"/>
      <c r="U35" s="202"/>
      <c r="V35" s="199"/>
      <c r="W35" s="203">
        <f t="shared" si="0"/>
        <v>4.4999999999999998E-2</v>
      </c>
      <c r="X35" s="204"/>
      <c r="Y35" s="205"/>
      <c r="Z35" s="203">
        <f t="shared" si="1"/>
        <v>24.202499999999997</v>
      </c>
      <c r="AA35" s="204"/>
      <c r="AB35" s="205"/>
      <c r="AC35" s="51"/>
      <c r="AD35" s="52"/>
      <c r="AE35" s="53"/>
      <c r="AF35" s="51"/>
      <c r="AG35" s="52"/>
      <c r="AH35" s="54"/>
    </row>
    <row r="36" spans="1:35" ht="15.75" x14ac:dyDescent="0.25">
      <c r="A36" s="197"/>
      <c r="B36" s="198"/>
      <c r="C36" s="199"/>
      <c r="D36" s="220" t="s">
        <v>780</v>
      </c>
      <c r="E36" s="221"/>
      <c r="F36" s="221"/>
      <c r="G36" s="221"/>
      <c r="H36" s="221"/>
      <c r="I36" s="222"/>
      <c r="J36" s="63"/>
      <c r="K36" s="202">
        <v>0.15</v>
      </c>
      <c r="L36" s="199"/>
      <c r="M36" s="202"/>
      <c r="N36" s="199"/>
      <c r="O36" s="202">
        <v>0.3</v>
      </c>
      <c r="P36" s="199"/>
      <c r="Q36" s="202"/>
      <c r="R36" s="199"/>
      <c r="S36" s="202">
        <f>9.74</f>
        <v>9.74</v>
      </c>
      <c r="T36" s="199"/>
      <c r="U36" s="202"/>
      <c r="V36" s="199"/>
      <c r="W36" s="203">
        <f t="shared" si="0"/>
        <v>4.4999999999999998E-2</v>
      </c>
      <c r="X36" s="204"/>
      <c r="Y36" s="205"/>
      <c r="Z36" s="203">
        <f t="shared" si="1"/>
        <v>7.3050000000000006</v>
      </c>
      <c r="AA36" s="204"/>
      <c r="AB36" s="205"/>
      <c r="AC36" s="51"/>
      <c r="AD36" s="52"/>
      <c r="AE36" s="53"/>
      <c r="AF36" s="51"/>
      <c r="AG36" s="52"/>
      <c r="AH36" s="54"/>
    </row>
    <row r="37" spans="1:35" ht="15.75" x14ac:dyDescent="0.25">
      <c r="A37" s="197"/>
      <c r="B37" s="198"/>
      <c r="C37" s="199"/>
      <c r="D37" s="220" t="s">
        <v>781</v>
      </c>
      <c r="E37" s="221"/>
      <c r="F37" s="221"/>
      <c r="G37" s="221"/>
      <c r="H37" s="221"/>
      <c r="I37" s="222"/>
      <c r="J37" s="63"/>
      <c r="K37" s="202">
        <v>0.15</v>
      </c>
      <c r="L37" s="199"/>
      <c r="M37" s="202"/>
      <c r="N37" s="199"/>
      <c r="O37" s="202">
        <v>0.3</v>
      </c>
      <c r="P37" s="199"/>
      <c r="Q37" s="202"/>
      <c r="R37" s="199"/>
      <c r="S37" s="202">
        <v>1.7</v>
      </c>
      <c r="T37" s="199"/>
      <c r="U37" s="202"/>
      <c r="V37" s="199"/>
      <c r="W37" s="203">
        <f t="shared" si="0"/>
        <v>4.4999999999999998E-2</v>
      </c>
      <c r="X37" s="204"/>
      <c r="Y37" s="205"/>
      <c r="Z37" s="203">
        <f t="shared" si="1"/>
        <v>1.2749999999999999</v>
      </c>
      <c r="AA37" s="204"/>
      <c r="AB37" s="205"/>
      <c r="AC37" s="51"/>
      <c r="AD37" s="52"/>
      <c r="AE37" s="53"/>
      <c r="AF37" s="51"/>
      <c r="AG37" s="52"/>
      <c r="AH37" s="54"/>
    </row>
    <row r="38" spans="1:35" ht="15.75" x14ac:dyDescent="0.25">
      <c r="A38" s="197"/>
      <c r="B38" s="198"/>
      <c r="C38" s="199"/>
      <c r="D38" s="220" t="s">
        <v>782</v>
      </c>
      <c r="E38" s="221"/>
      <c r="F38" s="221"/>
      <c r="G38" s="221"/>
      <c r="H38" s="221"/>
      <c r="I38" s="222"/>
      <c r="J38" s="63"/>
      <c r="K38" s="202">
        <v>0.15</v>
      </c>
      <c r="L38" s="199"/>
      <c r="M38" s="202"/>
      <c r="N38" s="199"/>
      <c r="O38" s="202">
        <v>0.3</v>
      </c>
      <c r="P38" s="199"/>
      <c r="Q38" s="202"/>
      <c r="R38" s="199"/>
      <c r="S38" s="202">
        <v>10.61</v>
      </c>
      <c r="T38" s="199"/>
      <c r="U38" s="202"/>
      <c r="V38" s="199"/>
      <c r="W38" s="203">
        <f t="shared" si="0"/>
        <v>4.4999999999999998E-2</v>
      </c>
      <c r="X38" s="204"/>
      <c r="Y38" s="205"/>
      <c r="Z38" s="203">
        <f t="shared" si="1"/>
        <v>7.9574999999999996</v>
      </c>
      <c r="AA38" s="204"/>
      <c r="AB38" s="205"/>
      <c r="AC38" s="51"/>
      <c r="AD38" s="52"/>
      <c r="AE38" s="53"/>
      <c r="AF38" s="51"/>
      <c r="AG38" s="52"/>
      <c r="AH38" s="54"/>
    </row>
    <row r="39" spans="1:35" ht="15.75" x14ac:dyDescent="0.25">
      <c r="A39" s="197"/>
      <c r="B39" s="198"/>
      <c r="C39" s="199"/>
      <c r="D39" s="220" t="s">
        <v>783</v>
      </c>
      <c r="E39" s="221"/>
      <c r="F39" s="221"/>
      <c r="G39" s="221"/>
      <c r="H39" s="221"/>
      <c r="I39" s="222"/>
      <c r="J39" s="63"/>
      <c r="K39" s="202">
        <v>0.15</v>
      </c>
      <c r="L39" s="199"/>
      <c r="M39" s="202"/>
      <c r="N39" s="199"/>
      <c r="O39" s="202">
        <v>0.3</v>
      </c>
      <c r="P39" s="199"/>
      <c r="Q39" s="202"/>
      <c r="R39" s="199"/>
      <c r="S39" s="202">
        <f>12+7.53</f>
        <v>19.53</v>
      </c>
      <c r="T39" s="199"/>
      <c r="U39" s="202"/>
      <c r="V39" s="199"/>
      <c r="W39" s="203">
        <f t="shared" si="0"/>
        <v>4.4999999999999998E-2</v>
      </c>
      <c r="X39" s="204"/>
      <c r="Y39" s="205"/>
      <c r="Z39" s="203">
        <f t="shared" si="1"/>
        <v>14.647500000000001</v>
      </c>
      <c r="AA39" s="204"/>
      <c r="AB39" s="205"/>
      <c r="AC39" s="51"/>
      <c r="AD39" s="52"/>
      <c r="AE39" s="53"/>
      <c r="AF39" s="51"/>
      <c r="AG39" s="52"/>
      <c r="AH39" s="54"/>
    </row>
    <row r="40" spans="1:35" ht="15.75" x14ac:dyDescent="0.25">
      <c r="A40" s="197"/>
      <c r="B40" s="198"/>
      <c r="C40" s="199"/>
      <c r="D40" s="220" t="s">
        <v>784</v>
      </c>
      <c r="E40" s="221"/>
      <c r="F40" s="221"/>
      <c r="G40" s="221"/>
      <c r="H40" s="221"/>
      <c r="I40" s="222"/>
      <c r="J40" s="63"/>
      <c r="K40" s="202">
        <v>0.15</v>
      </c>
      <c r="L40" s="199"/>
      <c r="M40" s="202"/>
      <c r="N40" s="199"/>
      <c r="O40" s="202">
        <v>0.4</v>
      </c>
      <c r="P40" s="199"/>
      <c r="Q40" s="202"/>
      <c r="R40" s="199"/>
      <c r="S40" s="202">
        <f>12+12+8.39</f>
        <v>32.39</v>
      </c>
      <c r="T40" s="199"/>
      <c r="U40" s="202"/>
      <c r="V40" s="199"/>
      <c r="W40" s="203">
        <f t="shared" si="0"/>
        <v>0.06</v>
      </c>
      <c r="X40" s="204"/>
      <c r="Y40" s="205"/>
      <c r="Z40" s="203">
        <f t="shared" si="1"/>
        <v>30.770500000000002</v>
      </c>
      <c r="AA40" s="204"/>
      <c r="AB40" s="205"/>
      <c r="AC40" s="51"/>
      <c r="AD40" s="52"/>
      <c r="AE40" s="53"/>
      <c r="AF40" s="51"/>
      <c r="AG40" s="52"/>
      <c r="AH40" s="54"/>
    </row>
    <row r="41" spans="1:35" ht="15.75" x14ac:dyDescent="0.25">
      <c r="A41" s="197"/>
      <c r="B41" s="198"/>
      <c r="C41" s="199"/>
      <c r="D41" s="220" t="s">
        <v>785</v>
      </c>
      <c r="E41" s="221"/>
      <c r="F41" s="221"/>
      <c r="G41" s="221"/>
      <c r="H41" s="221"/>
      <c r="I41" s="222"/>
      <c r="J41" s="63"/>
      <c r="K41" s="202">
        <v>0.15</v>
      </c>
      <c r="L41" s="199"/>
      <c r="M41" s="202"/>
      <c r="N41" s="199"/>
      <c r="O41" s="202">
        <v>0.4</v>
      </c>
      <c r="P41" s="199"/>
      <c r="Q41" s="202"/>
      <c r="R41" s="199"/>
      <c r="S41" s="202">
        <f>11.85+10.69+2.02</f>
        <v>24.56</v>
      </c>
      <c r="T41" s="199"/>
      <c r="U41" s="202"/>
      <c r="V41" s="199"/>
      <c r="W41" s="203">
        <f t="shared" si="0"/>
        <v>0.06</v>
      </c>
      <c r="X41" s="204"/>
      <c r="Y41" s="205"/>
      <c r="Z41" s="203">
        <f t="shared" si="1"/>
        <v>23.332000000000001</v>
      </c>
      <c r="AA41" s="204"/>
      <c r="AB41" s="205"/>
      <c r="AC41" s="51"/>
      <c r="AD41" s="52"/>
      <c r="AE41" s="53"/>
      <c r="AF41" s="51"/>
      <c r="AG41" s="52"/>
      <c r="AH41" s="54"/>
    </row>
    <row r="42" spans="1:35" ht="15.75" customHeight="1" x14ac:dyDescent="0.25">
      <c r="A42" s="189" t="str">
        <f>'MEMORIA BM 04'!A34</f>
        <v>5.2</v>
      </c>
      <c r="B42" s="190"/>
      <c r="C42" s="191"/>
      <c r="D42" s="228" t="str">
        <f>'MEMORIA BM 04'!B34</f>
        <v>ARMAÇÃO DE PILAR OU VIGA DE UMA ESTRUTURA CONVENCIONAL DE CONCRETO ARMADO EM UMA EDIFICAÇÃO TÉRREA OU SOBRADO UTILIZANDO AÇO CA-50 DE 6,3 MM - MONTAGEM. AF_12/2015</v>
      </c>
      <c r="E42" s="229"/>
      <c r="F42" s="229"/>
      <c r="G42" s="229"/>
      <c r="H42" s="229"/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30"/>
      <c r="AC42" s="195">
        <f>SUM(Z43:AB44)</f>
        <v>8.0359999999999996</v>
      </c>
      <c r="AD42" s="190"/>
      <c r="AE42" s="191"/>
      <c r="AF42" s="195" t="str">
        <f>'MEMORIA BM 04'!C34</f>
        <v>KG</v>
      </c>
      <c r="AG42" s="190"/>
      <c r="AH42" s="196"/>
      <c r="AI42">
        <v>8.0399999999999991</v>
      </c>
    </row>
    <row r="43" spans="1:35" ht="15.75" x14ac:dyDescent="0.25">
      <c r="A43" s="197"/>
      <c r="B43" s="198"/>
      <c r="C43" s="199"/>
      <c r="D43" s="218" t="s">
        <v>769</v>
      </c>
      <c r="E43" s="219"/>
      <c r="F43" s="219"/>
      <c r="G43" s="219"/>
      <c r="H43" s="219"/>
      <c r="I43" s="219"/>
      <c r="J43" s="75"/>
      <c r="K43" s="226">
        <f>16*0.98</f>
        <v>15.68</v>
      </c>
      <c r="L43" s="227"/>
      <c r="M43" s="226"/>
      <c r="N43" s="227"/>
      <c r="O43" s="226">
        <v>1</v>
      </c>
      <c r="P43" s="227"/>
      <c r="Q43" s="226"/>
      <c r="R43" s="227"/>
      <c r="S43" s="226"/>
      <c r="T43" s="227"/>
      <c r="U43" s="226"/>
      <c r="V43" s="227"/>
      <c r="W43" s="223">
        <f t="shared" ref="W43:W44" si="2">K43*O43</f>
        <v>15.68</v>
      </c>
      <c r="X43" s="224"/>
      <c r="Y43" s="225"/>
      <c r="Z43" s="223">
        <f t="shared" ref="Z43:Z44" si="3">W43*0.245</f>
        <v>3.8415999999999997</v>
      </c>
      <c r="AA43" s="224"/>
      <c r="AB43" s="225"/>
      <c r="AC43" s="51"/>
      <c r="AD43" s="52"/>
      <c r="AE43" s="53"/>
      <c r="AF43" s="51"/>
      <c r="AG43" s="52"/>
      <c r="AH43" s="54"/>
    </row>
    <row r="44" spans="1:35" ht="15.75" x14ac:dyDescent="0.25">
      <c r="A44" s="197"/>
      <c r="B44" s="198"/>
      <c r="C44" s="199"/>
      <c r="D44" s="220" t="s">
        <v>773</v>
      </c>
      <c r="E44" s="221"/>
      <c r="F44" s="221"/>
      <c r="G44" s="221"/>
      <c r="H44" s="221"/>
      <c r="I44" s="222"/>
      <c r="J44" s="75"/>
      <c r="K44" s="226">
        <f>2*2*4.28</f>
        <v>17.12</v>
      </c>
      <c r="L44" s="227"/>
      <c r="M44" s="226"/>
      <c r="N44" s="227"/>
      <c r="O44" s="202">
        <v>1</v>
      </c>
      <c r="P44" s="199"/>
      <c r="Q44" s="226"/>
      <c r="R44" s="227"/>
      <c r="S44" s="226"/>
      <c r="T44" s="227"/>
      <c r="U44" s="226"/>
      <c r="V44" s="227"/>
      <c r="W44" s="223">
        <f t="shared" si="2"/>
        <v>17.12</v>
      </c>
      <c r="X44" s="224"/>
      <c r="Y44" s="225"/>
      <c r="Z44" s="223">
        <f t="shared" si="3"/>
        <v>4.1943999999999999</v>
      </c>
      <c r="AA44" s="224"/>
      <c r="AB44" s="225"/>
      <c r="AC44" s="51"/>
      <c r="AD44" s="52"/>
      <c r="AE44" s="53"/>
      <c r="AF44" s="51"/>
      <c r="AG44" s="52"/>
      <c r="AH44" s="54"/>
    </row>
    <row r="45" spans="1:35" ht="41.25" customHeight="1" x14ac:dyDescent="0.25">
      <c r="A45" s="189" t="str">
        <f>'MEMORIA BM 04'!A35</f>
        <v>5.3</v>
      </c>
      <c r="B45" s="190"/>
      <c r="C45" s="191"/>
      <c r="D45" s="228" t="str">
        <f>'MEMORIA BM 04'!B35</f>
        <v>ARMAÇÃO DE PILAR OU VIGA DE UMA ESTRUTURA CONVENCIONAL DE CONCRETO ARMADO EM UMA EDIFICAÇÃO TÉRREA OU SOBRADO UTILIZANDO AÇO CA-50 DE 10,0 MM - MONTAGEM. AF_12/2015</v>
      </c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30"/>
      <c r="AC45" s="195">
        <f>SUM(Z46:AB71)</f>
        <v>1149.18101</v>
      </c>
      <c r="AD45" s="190"/>
      <c r="AE45" s="191"/>
      <c r="AF45" s="195" t="s">
        <v>361</v>
      </c>
      <c r="AG45" s="190"/>
      <c r="AH45" s="196"/>
      <c r="AI45">
        <v>1149.18</v>
      </c>
    </row>
    <row r="46" spans="1:35" ht="15.75" x14ac:dyDescent="0.25">
      <c r="A46" s="197"/>
      <c r="B46" s="198"/>
      <c r="C46" s="199"/>
      <c r="D46" s="218" t="s">
        <v>760</v>
      </c>
      <c r="E46" s="219"/>
      <c r="F46" s="219"/>
      <c r="G46" s="219"/>
      <c r="H46" s="219"/>
      <c r="I46" s="219"/>
      <c r="J46" s="63"/>
      <c r="K46" s="226">
        <f>((2*11.57)+(2*4.26)+(2*11.9)+(2*11.96)+1.65+1.45+(2*11.99))</f>
        <v>106.46000000000001</v>
      </c>
      <c r="L46" s="227"/>
      <c r="M46" s="226"/>
      <c r="N46" s="227"/>
      <c r="O46" s="226">
        <v>1</v>
      </c>
      <c r="P46" s="227"/>
      <c r="Q46" s="226"/>
      <c r="R46" s="227"/>
      <c r="S46" s="226"/>
      <c r="T46" s="227"/>
      <c r="U46" s="226"/>
      <c r="V46" s="227"/>
      <c r="W46" s="223">
        <f t="shared" ref="W46:W71" si="4">K46*O46</f>
        <v>106.46000000000001</v>
      </c>
      <c r="X46" s="224"/>
      <c r="Y46" s="225"/>
      <c r="Z46" s="223">
        <f>W46*0.617</f>
        <v>65.685820000000007</v>
      </c>
      <c r="AA46" s="224"/>
      <c r="AB46" s="225"/>
      <c r="AC46" s="51"/>
      <c r="AD46" s="52"/>
      <c r="AE46" s="53"/>
      <c r="AF46" s="51"/>
      <c r="AG46" s="52"/>
      <c r="AH46" s="54"/>
    </row>
    <row r="47" spans="1:35" ht="15.75" x14ac:dyDescent="0.25">
      <c r="A47" s="197"/>
      <c r="B47" s="198"/>
      <c r="C47" s="199"/>
      <c r="D47" s="218" t="s">
        <v>761</v>
      </c>
      <c r="E47" s="219"/>
      <c r="F47" s="219"/>
      <c r="G47" s="219"/>
      <c r="H47" s="219"/>
      <c r="I47" s="219"/>
      <c r="J47" s="63"/>
      <c r="K47" s="226">
        <f>((2*3.58)+(2*3.6))</f>
        <v>14.36</v>
      </c>
      <c r="L47" s="227"/>
      <c r="M47" s="226"/>
      <c r="N47" s="227"/>
      <c r="O47" s="226">
        <v>1</v>
      </c>
      <c r="P47" s="227"/>
      <c r="Q47" s="226"/>
      <c r="R47" s="227"/>
      <c r="S47" s="226"/>
      <c r="T47" s="227"/>
      <c r="U47" s="226"/>
      <c r="V47" s="227"/>
      <c r="W47" s="223">
        <f t="shared" si="4"/>
        <v>14.36</v>
      </c>
      <c r="X47" s="224"/>
      <c r="Y47" s="225"/>
      <c r="Z47" s="223">
        <f t="shared" ref="Z47:Z71" si="5">W47*0.617</f>
        <v>8.8601200000000002</v>
      </c>
      <c r="AA47" s="224"/>
      <c r="AB47" s="225"/>
      <c r="AC47" s="51"/>
      <c r="AD47" s="52"/>
      <c r="AE47" s="53"/>
      <c r="AF47" s="51"/>
      <c r="AG47" s="52"/>
      <c r="AH47" s="54"/>
    </row>
    <row r="48" spans="1:35" ht="15.75" x14ac:dyDescent="0.25">
      <c r="A48" s="197"/>
      <c r="B48" s="198"/>
      <c r="C48" s="199"/>
      <c r="D48" s="218" t="s">
        <v>762</v>
      </c>
      <c r="E48" s="219"/>
      <c r="F48" s="219"/>
      <c r="G48" s="219"/>
      <c r="H48" s="219"/>
      <c r="I48" s="219"/>
      <c r="J48" s="63"/>
      <c r="K48" s="226">
        <f>((2*3.39)+(2*3.51))</f>
        <v>13.8</v>
      </c>
      <c r="L48" s="227"/>
      <c r="M48" s="226"/>
      <c r="N48" s="227"/>
      <c r="O48" s="226">
        <v>1</v>
      </c>
      <c r="P48" s="227"/>
      <c r="Q48" s="226"/>
      <c r="R48" s="227"/>
      <c r="S48" s="226"/>
      <c r="T48" s="227"/>
      <c r="U48" s="226"/>
      <c r="V48" s="227"/>
      <c r="W48" s="223">
        <f t="shared" si="4"/>
        <v>13.8</v>
      </c>
      <c r="X48" s="224"/>
      <c r="Y48" s="225"/>
      <c r="Z48" s="223">
        <f t="shared" si="5"/>
        <v>8.5145999999999997</v>
      </c>
      <c r="AA48" s="224"/>
      <c r="AB48" s="225"/>
      <c r="AC48" s="51"/>
      <c r="AD48" s="52"/>
      <c r="AE48" s="53"/>
      <c r="AF48" s="51"/>
      <c r="AG48" s="52"/>
      <c r="AH48" s="54"/>
    </row>
    <row r="49" spans="1:34" ht="15.75" x14ac:dyDescent="0.25">
      <c r="A49" s="197"/>
      <c r="B49" s="198"/>
      <c r="C49" s="199"/>
      <c r="D49" s="218" t="s">
        <v>763</v>
      </c>
      <c r="E49" s="219"/>
      <c r="F49" s="219"/>
      <c r="G49" s="219"/>
      <c r="H49" s="219"/>
      <c r="I49" s="219"/>
      <c r="J49" s="63"/>
      <c r="K49" s="226">
        <f>((2*3.26)+(2*3.49))</f>
        <v>13.5</v>
      </c>
      <c r="L49" s="227"/>
      <c r="M49" s="226"/>
      <c r="N49" s="227"/>
      <c r="O49" s="226">
        <v>1</v>
      </c>
      <c r="P49" s="227"/>
      <c r="Q49" s="226"/>
      <c r="R49" s="227"/>
      <c r="S49" s="226"/>
      <c r="T49" s="227"/>
      <c r="U49" s="226"/>
      <c r="V49" s="227"/>
      <c r="W49" s="223">
        <f t="shared" si="4"/>
        <v>13.5</v>
      </c>
      <c r="X49" s="224"/>
      <c r="Y49" s="225"/>
      <c r="Z49" s="223">
        <f t="shared" si="5"/>
        <v>8.3294999999999995</v>
      </c>
      <c r="AA49" s="224"/>
      <c r="AB49" s="225"/>
      <c r="AC49" s="51"/>
      <c r="AD49" s="52"/>
      <c r="AE49" s="53"/>
      <c r="AF49" s="51"/>
      <c r="AG49" s="52"/>
      <c r="AH49" s="54"/>
    </row>
    <row r="50" spans="1:34" ht="15.75" x14ac:dyDescent="0.25">
      <c r="A50" s="197"/>
      <c r="B50" s="198"/>
      <c r="C50" s="199"/>
      <c r="D50" s="218" t="s">
        <v>764</v>
      </c>
      <c r="E50" s="219"/>
      <c r="F50" s="219"/>
      <c r="G50" s="219"/>
      <c r="H50" s="219"/>
      <c r="I50" s="219"/>
      <c r="J50" s="63"/>
      <c r="K50" s="226">
        <f>((2*6.4)+(2*6.63))</f>
        <v>26.060000000000002</v>
      </c>
      <c r="L50" s="227"/>
      <c r="M50" s="226"/>
      <c r="N50" s="227"/>
      <c r="O50" s="226">
        <v>1</v>
      </c>
      <c r="P50" s="227"/>
      <c r="Q50" s="202"/>
      <c r="R50" s="199"/>
      <c r="S50" s="202"/>
      <c r="T50" s="199"/>
      <c r="U50" s="202"/>
      <c r="V50" s="199"/>
      <c r="W50" s="223">
        <f t="shared" si="4"/>
        <v>26.060000000000002</v>
      </c>
      <c r="X50" s="224"/>
      <c r="Y50" s="225"/>
      <c r="Z50" s="223">
        <f t="shared" si="5"/>
        <v>16.07902</v>
      </c>
      <c r="AA50" s="224"/>
      <c r="AB50" s="225"/>
      <c r="AC50" s="51"/>
      <c r="AD50" s="52"/>
      <c r="AE50" s="53"/>
      <c r="AF50" s="51"/>
      <c r="AG50" s="52"/>
      <c r="AH50" s="54"/>
    </row>
    <row r="51" spans="1:34" ht="15.75" x14ac:dyDescent="0.25">
      <c r="A51" s="197"/>
      <c r="B51" s="198"/>
      <c r="C51" s="199"/>
      <c r="D51" s="218" t="s">
        <v>765</v>
      </c>
      <c r="E51" s="219"/>
      <c r="F51" s="219"/>
      <c r="G51" s="219"/>
      <c r="H51" s="219"/>
      <c r="I51" s="219"/>
      <c r="J51" s="63"/>
      <c r="K51" s="226">
        <f>((2*2.14)+(2*2.37))</f>
        <v>9.02</v>
      </c>
      <c r="L51" s="227"/>
      <c r="M51" s="226"/>
      <c r="N51" s="227"/>
      <c r="O51" s="226">
        <v>1</v>
      </c>
      <c r="P51" s="227"/>
      <c r="Q51" s="226"/>
      <c r="R51" s="227"/>
      <c r="S51" s="226"/>
      <c r="T51" s="227"/>
      <c r="U51" s="226"/>
      <c r="V51" s="227"/>
      <c r="W51" s="223">
        <f t="shared" si="4"/>
        <v>9.02</v>
      </c>
      <c r="X51" s="224"/>
      <c r="Y51" s="225"/>
      <c r="Z51" s="223">
        <f t="shared" si="5"/>
        <v>5.56534</v>
      </c>
      <c r="AA51" s="224"/>
      <c r="AB51" s="225"/>
      <c r="AC51" s="51"/>
      <c r="AD51" s="52"/>
      <c r="AE51" s="53"/>
      <c r="AF51" s="51"/>
      <c r="AG51" s="52"/>
      <c r="AH51" s="54"/>
    </row>
    <row r="52" spans="1:34" ht="15.75" x14ac:dyDescent="0.25">
      <c r="A52" s="197"/>
      <c r="B52" s="198"/>
      <c r="C52" s="199"/>
      <c r="D52" s="218" t="s">
        <v>766</v>
      </c>
      <c r="E52" s="219"/>
      <c r="F52" s="219"/>
      <c r="G52" s="219"/>
      <c r="H52" s="219"/>
      <c r="I52" s="219"/>
      <c r="J52" s="63"/>
      <c r="K52" s="226">
        <f>((2*11.57)+(2*11.18)+(2*4.26)+(2*9.38)+(2*5.89)+(2*3.84)+(2*12)+1.65+1.55+(2*12)+(2*11.99))</f>
        <v>167.42</v>
      </c>
      <c r="L52" s="227"/>
      <c r="M52" s="226"/>
      <c r="N52" s="227"/>
      <c r="O52" s="226">
        <v>1</v>
      </c>
      <c r="P52" s="227"/>
      <c r="Q52" s="226"/>
      <c r="R52" s="227"/>
      <c r="S52" s="226"/>
      <c r="T52" s="227"/>
      <c r="U52" s="226"/>
      <c r="V52" s="227"/>
      <c r="W52" s="223">
        <f t="shared" si="4"/>
        <v>167.42</v>
      </c>
      <c r="X52" s="224"/>
      <c r="Y52" s="225"/>
      <c r="Z52" s="223">
        <f t="shared" si="5"/>
        <v>103.29813999999999</v>
      </c>
      <c r="AA52" s="224"/>
      <c r="AB52" s="225"/>
      <c r="AC52" s="51"/>
      <c r="AD52" s="52"/>
      <c r="AE52" s="53"/>
      <c r="AF52" s="51"/>
      <c r="AG52" s="52"/>
      <c r="AH52" s="54"/>
    </row>
    <row r="53" spans="1:34" ht="15.75" x14ac:dyDescent="0.25">
      <c r="A53" s="197"/>
      <c r="B53" s="198"/>
      <c r="C53" s="199"/>
      <c r="D53" s="218" t="s">
        <v>767</v>
      </c>
      <c r="E53" s="219"/>
      <c r="F53" s="219"/>
      <c r="G53" s="219"/>
      <c r="H53" s="219"/>
      <c r="I53" s="219"/>
      <c r="J53" s="63"/>
      <c r="K53" s="226">
        <f>((2*6.4)+(2*6.63))</f>
        <v>26.060000000000002</v>
      </c>
      <c r="L53" s="227"/>
      <c r="M53" s="226"/>
      <c r="N53" s="227"/>
      <c r="O53" s="226">
        <v>1</v>
      </c>
      <c r="P53" s="227"/>
      <c r="Q53" s="226"/>
      <c r="R53" s="227"/>
      <c r="S53" s="226"/>
      <c r="T53" s="227"/>
      <c r="U53" s="226"/>
      <c r="V53" s="227"/>
      <c r="W53" s="223">
        <f t="shared" si="4"/>
        <v>26.060000000000002</v>
      </c>
      <c r="X53" s="224"/>
      <c r="Y53" s="225"/>
      <c r="Z53" s="223">
        <f t="shared" si="5"/>
        <v>16.07902</v>
      </c>
      <c r="AA53" s="224"/>
      <c r="AB53" s="225"/>
      <c r="AC53" s="51"/>
      <c r="AD53" s="52"/>
      <c r="AE53" s="53"/>
      <c r="AF53" s="51"/>
      <c r="AG53" s="52"/>
      <c r="AH53" s="54"/>
    </row>
    <row r="54" spans="1:34" ht="15.75" x14ac:dyDescent="0.25">
      <c r="A54" s="197"/>
      <c r="B54" s="198"/>
      <c r="C54" s="199"/>
      <c r="D54" s="218" t="s">
        <v>768</v>
      </c>
      <c r="E54" s="219"/>
      <c r="F54" s="219"/>
      <c r="G54" s="219"/>
      <c r="H54" s="219"/>
      <c r="I54" s="219"/>
      <c r="J54" s="63"/>
      <c r="K54" s="226">
        <f>((2*1.78)+(2*2.11))</f>
        <v>7.7799999999999994</v>
      </c>
      <c r="L54" s="227"/>
      <c r="M54" s="226"/>
      <c r="N54" s="227"/>
      <c r="O54" s="226">
        <v>1</v>
      </c>
      <c r="P54" s="227"/>
      <c r="Q54" s="226"/>
      <c r="R54" s="227"/>
      <c r="S54" s="226"/>
      <c r="T54" s="227"/>
      <c r="U54" s="226"/>
      <c r="V54" s="227"/>
      <c r="W54" s="223">
        <f t="shared" si="4"/>
        <v>7.7799999999999994</v>
      </c>
      <c r="X54" s="224"/>
      <c r="Y54" s="225"/>
      <c r="Z54" s="223">
        <f t="shared" si="5"/>
        <v>4.8002599999999997</v>
      </c>
      <c r="AA54" s="224"/>
      <c r="AB54" s="225"/>
      <c r="AC54" s="51"/>
      <c r="AD54" s="52"/>
      <c r="AE54" s="53"/>
      <c r="AF54" s="51"/>
      <c r="AG54" s="52"/>
      <c r="AH54" s="54"/>
    </row>
    <row r="55" spans="1:34" ht="15.75" x14ac:dyDescent="0.25">
      <c r="A55" s="197"/>
      <c r="B55" s="198"/>
      <c r="C55" s="199"/>
      <c r="D55" s="218" t="s">
        <v>769</v>
      </c>
      <c r="E55" s="219"/>
      <c r="F55" s="219"/>
      <c r="G55" s="219"/>
      <c r="H55" s="219"/>
      <c r="I55" s="219"/>
      <c r="J55" s="63"/>
      <c r="K55" s="226">
        <f>((2*11.57)+(2*10.95)+(2*4.26)+(2*4.26)+(2*10.85)+(2*4.67)+2.72+(2*6.85)+7.37+2.85+24+(2*2.95)+1.85+(2*8.84)+(2*11.98))</f>
        <v>193.15</v>
      </c>
      <c r="L55" s="227"/>
      <c r="M55" s="226"/>
      <c r="N55" s="227"/>
      <c r="O55" s="226">
        <v>1</v>
      </c>
      <c r="P55" s="227"/>
      <c r="Q55" s="226"/>
      <c r="R55" s="227"/>
      <c r="S55" s="226"/>
      <c r="T55" s="227"/>
      <c r="U55" s="226"/>
      <c r="V55" s="227"/>
      <c r="W55" s="223">
        <f t="shared" si="4"/>
        <v>193.15</v>
      </c>
      <c r="X55" s="224"/>
      <c r="Y55" s="225"/>
      <c r="Z55" s="223">
        <f t="shared" si="5"/>
        <v>119.17355000000001</v>
      </c>
      <c r="AA55" s="224"/>
      <c r="AB55" s="225"/>
      <c r="AC55" s="51"/>
      <c r="AD55" s="52"/>
      <c r="AE55" s="53"/>
      <c r="AF55" s="51"/>
      <c r="AG55" s="52"/>
      <c r="AH55" s="54"/>
    </row>
    <row r="56" spans="1:34" ht="15.75" x14ac:dyDescent="0.25">
      <c r="A56" s="197"/>
      <c r="B56" s="198"/>
      <c r="C56" s="199"/>
      <c r="D56" s="218" t="s">
        <v>770</v>
      </c>
      <c r="E56" s="219"/>
      <c r="F56" s="219"/>
      <c r="G56" s="219"/>
      <c r="H56" s="219"/>
      <c r="I56" s="219"/>
      <c r="J56" s="63"/>
      <c r="K56" s="226">
        <f>((2*4.24)+(2*4.51))</f>
        <v>17.5</v>
      </c>
      <c r="L56" s="227"/>
      <c r="M56" s="226"/>
      <c r="N56" s="227"/>
      <c r="O56" s="226">
        <v>1</v>
      </c>
      <c r="P56" s="227"/>
      <c r="Q56" s="226"/>
      <c r="R56" s="227"/>
      <c r="S56" s="226"/>
      <c r="T56" s="227"/>
      <c r="U56" s="226"/>
      <c r="V56" s="227"/>
      <c r="W56" s="223">
        <f t="shared" si="4"/>
        <v>17.5</v>
      </c>
      <c r="X56" s="224"/>
      <c r="Y56" s="225"/>
      <c r="Z56" s="223">
        <f t="shared" si="5"/>
        <v>10.797499999999999</v>
      </c>
      <c r="AA56" s="224"/>
      <c r="AB56" s="225"/>
      <c r="AC56" s="51"/>
      <c r="AD56" s="52"/>
      <c r="AE56" s="53"/>
      <c r="AF56" s="51"/>
      <c r="AG56" s="52"/>
      <c r="AH56" s="54"/>
    </row>
    <row r="57" spans="1:34" ht="15.75" x14ac:dyDescent="0.25">
      <c r="A57" s="197"/>
      <c r="B57" s="198"/>
      <c r="C57" s="199"/>
      <c r="D57" s="218" t="s">
        <v>771</v>
      </c>
      <c r="E57" s="219"/>
      <c r="F57" s="219"/>
      <c r="G57" s="219"/>
      <c r="H57" s="219"/>
      <c r="I57" s="219"/>
      <c r="J57" s="63"/>
      <c r="K57" s="226">
        <f>((2*5.74)+(2*5.97))</f>
        <v>23.42</v>
      </c>
      <c r="L57" s="227"/>
      <c r="M57" s="226"/>
      <c r="N57" s="227"/>
      <c r="O57" s="226">
        <v>1</v>
      </c>
      <c r="P57" s="227"/>
      <c r="Q57" s="226"/>
      <c r="R57" s="227"/>
      <c r="S57" s="226"/>
      <c r="T57" s="227"/>
      <c r="U57" s="226"/>
      <c r="V57" s="227"/>
      <c r="W57" s="223">
        <f t="shared" si="4"/>
        <v>23.42</v>
      </c>
      <c r="X57" s="224"/>
      <c r="Y57" s="225"/>
      <c r="Z57" s="223">
        <f t="shared" si="5"/>
        <v>14.450140000000001</v>
      </c>
      <c r="AA57" s="224"/>
      <c r="AB57" s="225"/>
      <c r="AC57" s="51"/>
      <c r="AD57" s="52"/>
      <c r="AE57" s="53"/>
      <c r="AF57" s="51"/>
      <c r="AG57" s="52"/>
      <c r="AH57" s="54"/>
    </row>
    <row r="58" spans="1:34" ht="15.75" x14ac:dyDescent="0.25">
      <c r="A58" s="197"/>
      <c r="B58" s="198"/>
      <c r="C58" s="199"/>
      <c r="D58" s="218" t="s">
        <v>772</v>
      </c>
      <c r="E58" s="219"/>
      <c r="F58" s="219"/>
      <c r="G58" s="219"/>
      <c r="H58" s="219"/>
      <c r="I58" s="219"/>
      <c r="J58" s="63"/>
      <c r="K58" s="202">
        <f>((2*11.57)+(2*10.95)+(2*4.2)+(2*4.2)+2.73+(2*11.37)+(2*6.41)+24+6.73+6.78+2.65+2+(2*9.24)+(2*11.98))</f>
        <v>184.73</v>
      </c>
      <c r="L58" s="199"/>
      <c r="M58" s="202"/>
      <c r="N58" s="199"/>
      <c r="O58" s="202">
        <v>1</v>
      </c>
      <c r="P58" s="199"/>
      <c r="Q58" s="202"/>
      <c r="R58" s="199"/>
      <c r="S58" s="202"/>
      <c r="T58" s="199"/>
      <c r="U58" s="202"/>
      <c r="V58" s="199"/>
      <c r="W58" s="223">
        <f t="shared" si="4"/>
        <v>184.73</v>
      </c>
      <c r="X58" s="224"/>
      <c r="Y58" s="225"/>
      <c r="Z58" s="223">
        <f t="shared" si="5"/>
        <v>113.97841</v>
      </c>
      <c r="AA58" s="224"/>
      <c r="AB58" s="225"/>
      <c r="AC58" s="51"/>
      <c r="AD58" s="52"/>
      <c r="AE58" s="53"/>
      <c r="AF58" s="51"/>
      <c r="AG58" s="52"/>
      <c r="AH58" s="54"/>
    </row>
    <row r="59" spans="1:34" ht="15.75" x14ac:dyDescent="0.25">
      <c r="A59" s="197"/>
      <c r="B59" s="198"/>
      <c r="C59" s="199"/>
      <c r="D59" s="220" t="s">
        <v>773</v>
      </c>
      <c r="E59" s="221"/>
      <c r="F59" s="221"/>
      <c r="G59" s="221"/>
      <c r="H59" s="221"/>
      <c r="I59" s="222"/>
      <c r="J59" s="63"/>
      <c r="K59" s="226">
        <f>((2*10.71)+(2*11.12)+3.43+3.66+7.71)</f>
        <v>58.46</v>
      </c>
      <c r="L59" s="227"/>
      <c r="M59" s="226"/>
      <c r="N59" s="227"/>
      <c r="O59" s="202">
        <v>1</v>
      </c>
      <c r="P59" s="199"/>
      <c r="Q59" s="226"/>
      <c r="R59" s="227"/>
      <c r="S59" s="226"/>
      <c r="T59" s="227"/>
      <c r="U59" s="226"/>
      <c r="V59" s="227"/>
      <c r="W59" s="223">
        <f t="shared" si="4"/>
        <v>58.46</v>
      </c>
      <c r="X59" s="224"/>
      <c r="Y59" s="225"/>
      <c r="Z59" s="223">
        <f t="shared" si="5"/>
        <v>36.06982</v>
      </c>
      <c r="AA59" s="224"/>
      <c r="AB59" s="225"/>
      <c r="AC59" s="51"/>
      <c r="AD59" s="52"/>
      <c r="AE59" s="53"/>
      <c r="AF59" s="51"/>
      <c r="AG59" s="52"/>
      <c r="AH59" s="54"/>
    </row>
    <row r="60" spans="1:34" ht="15.75" x14ac:dyDescent="0.25">
      <c r="A60" s="197"/>
      <c r="B60" s="198"/>
      <c r="C60" s="199"/>
      <c r="D60" s="220" t="s">
        <v>774</v>
      </c>
      <c r="E60" s="221"/>
      <c r="F60" s="221"/>
      <c r="G60" s="221"/>
      <c r="H60" s="221"/>
      <c r="I60" s="222"/>
      <c r="J60" s="63"/>
      <c r="K60" s="226">
        <f>((2*11.57)+(2*11.13)+(2*4.2)+(2*9.98)+(2*5.82)+(2*3.96)+(2*12)+1.4+6.35+1.45+24+(2*11.99))</f>
        <v>174.5</v>
      </c>
      <c r="L60" s="227"/>
      <c r="M60" s="226"/>
      <c r="N60" s="227"/>
      <c r="O60" s="202">
        <v>1</v>
      </c>
      <c r="P60" s="199"/>
      <c r="Q60" s="226"/>
      <c r="R60" s="227"/>
      <c r="S60" s="226"/>
      <c r="T60" s="227"/>
      <c r="U60" s="226"/>
      <c r="V60" s="227"/>
      <c r="W60" s="223">
        <f t="shared" si="4"/>
        <v>174.5</v>
      </c>
      <c r="X60" s="224"/>
      <c r="Y60" s="225"/>
      <c r="Z60" s="223">
        <f t="shared" si="5"/>
        <v>107.6665</v>
      </c>
      <c r="AA60" s="224"/>
      <c r="AB60" s="225"/>
      <c r="AC60" s="51"/>
      <c r="AD60" s="52"/>
      <c r="AE60" s="53"/>
      <c r="AF60" s="51"/>
      <c r="AG60" s="52"/>
      <c r="AH60" s="54"/>
    </row>
    <row r="61" spans="1:34" ht="15.75" x14ac:dyDescent="0.25">
      <c r="A61" s="197"/>
      <c r="B61" s="198"/>
      <c r="C61" s="199"/>
      <c r="D61" s="220" t="s">
        <v>775</v>
      </c>
      <c r="E61" s="221"/>
      <c r="F61" s="221"/>
      <c r="G61" s="221"/>
      <c r="H61" s="221"/>
      <c r="I61" s="222"/>
      <c r="J61" s="63"/>
      <c r="K61" s="226">
        <f>((2*10.72)+(2*4.26)+2.09+6.15+(2*10.74))</f>
        <v>59.679999999999993</v>
      </c>
      <c r="L61" s="227"/>
      <c r="M61" s="226"/>
      <c r="N61" s="227"/>
      <c r="O61" s="226">
        <v>1</v>
      </c>
      <c r="P61" s="227"/>
      <c r="Q61" s="226"/>
      <c r="R61" s="227"/>
      <c r="S61" s="226"/>
      <c r="T61" s="227"/>
      <c r="U61" s="226"/>
      <c r="V61" s="227"/>
      <c r="W61" s="223">
        <f t="shared" si="4"/>
        <v>59.679999999999993</v>
      </c>
      <c r="X61" s="224"/>
      <c r="Y61" s="225"/>
      <c r="Z61" s="223">
        <f t="shared" si="5"/>
        <v>36.822559999999996</v>
      </c>
      <c r="AA61" s="224"/>
      <c r="AB61" s="225"/>
      <c r="AC61" s="51"/>
      <c r="AD61" s="52"/>
      <c r="AE61" s="53"/>
      <c r="AF61" s="51"/>
      <c r="AG61" s="52"/>
      <c r="AH61" s="54"/>
    </row>
    <row r="62" spans="1:34" ht="15.75" x14ac:dyDescent="0.25">
      <c r="A62" s="197"/>
      <c r="B62" s="198"/>
      <c r="C62" s="199"/>
      <c r="D62" s="220" t="s">
        <v>776</v>
      </c>
      <c r="E62" s="221"/>
      <c r="F62" s="221"/>
      <c r="G62" s="221"/>
      <c r="H62" s="221"/>
      <c r="I62" s="222"/>
      <c r="J62" s="63"/>
      <c r="K62" s="226">
        <f>((2*10.6)+(2*8.43)+(2*7.43)+24)</f>
        <v>76.92</v>
      </c>
      <c r="L62" s="227"/>
      <c r="M62" s="226"/>
      <c r="N62" s="227"/>
      <c r="O62" s="202">
        <v>1</v>
      </c>
      <c r="P62" s="199"/>
      <c r="Q62" s="226"/>
      <c r="R62" s="227"/>
      <c r="S62" s="226"/>
      <c r="T62" s="227"/>
      <c r="U62" s="226"/>
      <c r="V62" s="227"/>
      <c r="W62" s="223">
        <f t="shared" si="4"/>
        <v>76.92</v>
      </c>
      <c r="X62" s="224"/>
      <c r="Y62" s="225"/>
      <c r="Z62" s="223">
        <f t="shared" si="5"/>
        <v>47.45964</v>
      </c>
      <c r="AA62" s="224"/>
      <c r="AB62" s="225"/>
      <c r="AC62" s="51"/>
      <c r="AD62" s="52"/>
      <c r="AE62" s="53"/>
      <c r="AF62" s="51"/>
      <c r="AG62" s="52"/>
      <c r="AH62" s="54"/>
    </row>
    <row r="63" spans="1:34" ht="15.75" x14ac:dyDescent="0.25">
      <c r="A63" s="197"/>
      <c r="B63" s="198"/>
      <c r="C63" s="199"/>
      <c r="D63" s="220" t="s">
        <v>777</v>
      </c>
      <c r="E63" s="221"/>
      <c r="F63" s="221"/>
      <c r="G63" s="221"/>
      <c r="H63" s="221"/>
      <c r="I63" s="222"/>
      <c r="J63" s="63"/>
      <c r="K63" s="226">
        <f>((2*10.57)+(2*10.71)+(2*9.72)+(2*8.05)+(2*12)+(2*12))</f>
        <v>126.1</v>
      </c>
      <c r="L63" s="227"/>
      <c r="M63" s="226"/>
      <c r="N63" s="227"/>
      <c r="O63" s="226">
        <v>1</v>
      </c>
      <c r="P63" s="227"/>
      <c r="Q63" s="226"/>
      <c r="R63" s="227"/>
      <c r="S63" s="226"/>
      <c r="T63" s="227"/>
      <c r="U63" s="226"/>
      <c r="V63" s="227"/>
      <c r="W63" s="223">
        <f t="shared" si="4"/>
        <v>126.1</v>
      </c>
      <c r="X63" s="224"/>
      <c r="Y63" s="225"/>
      <c r="Z63" s="223">
        <f t="shared" si="5"/>
        <v>77.803699999999992</v>
      </c>
      <c r="AA63" s="224"/>
      <c r="AB63" s="225"/>
      <c r="AC63" s="51"/>
      <c r="AD63" s="52"/>
      <c r="AE63" s="53"/>
      <c r="AF63" s="51"/>
      <c r="AG63" s="52"/>
      <c r="AH63" s="54"/>
    </row>
    <row r="64" spans="1:34" ht="15.75" x14ac:dyDescent="0.25">
      <c r="A64" s="197"/>
      <c r="B64" s="198"/>
      <c r="C64" s="199"/>
      <c r="D64" s="220" t="s">
        <v>778</v>
      </c>
      <c r="E64" s="221"/>
      <c r="F64" s="221"/>
      <c r="G64" s="221"/>
      <c r="H64" s="221"/>
      <c r="I64" s="222"/>
      <c r="J64" s="63"/>
      <c r="K64" s="226">
        <f>((2*10.57)+(2*8.07)+(2*7.24)+(2*12))</f>
        <v>75.760000000000005</v>
      </c>
      <c r="L64" s="227"/>
      <c r="M64" s="226"/>
      <c r="N64" s="227"/>
      <c r="O64" s="226">
        <v>1</v>
      </c>
      <c r="P64" s="227"/>
      <c r="Q64" s="226"/>
      <c r="R64" s="227"/>
      <c r="S64" s="226"/>
      <c r="T64" s="227"/>
      <c r="U64" s="226"/>
      <c r="V64" s="227"/>
      <c r="W64" s="223">
        <f t="shared" si="4"/>
        <v>75.760000000000005</v>
      </c>
      <c r="X64" s="224"/>
      <c r="Y64" s="225"/>
      <c r="Z64" s="223">
        <f t="shared" si="5"/>
        <v>46.743920000000003</v>
      </c>
      <c r="AA64" s="224"/>
      <c r="AB64" s="225"/>
      <c r="AC64" s="51"/>
      <c r="AD64" s="52"/>
      <c r="AE64" s="53"/>
      <c r="AF64" s="51"/>
      <c r="AG64" s="52"/>
      <c r="AH64" s="54"/>
    </row>
    <row r="65" spans="1:35" ht="15.75" x14ac:dyDescent="0.25">
      <c r="A65" s="197"/>
      <c r="B65" s="198"/>
      <c r="C65" s="199"/>
      <c r="D65" s="220" t="s">
        <v>779</v>
      </c>
      <c r="E65" s="221"/>
      <c r="F65" s="221"/>
      <c r="G65" s="221"/>
      <c r="H65" s="221"/>
      <c r="I65" s="222"/>
      <c r="J65" s="63"/>
      <c r="K65" s="226">
        <f>((2*10.57)+(2*11.08)+(2*9.57)+(2*8.27)+1.65+(2*12)+(2*12))</f>
        <v>128.63</v>
      </c>
      <c r="L65" s="227"/>
      <c r="M65" s="226"/>
      <c r="N65" s="227"/>
      <c r="O65" s="226">
        <v>1</v>
      </c>
      <c r="P65" s="227"/>
      <c r="Q65" s="226"/>
      <c r="R65" s="227"/>
      <c r="S65" s="226"/>
      <c r="T65" s="227"/>
      <c r="U65" s="226"/>
      <c r="V65" s="227"/>
      <c r="W65" s="223">
        <f t="shared" si="4"/>
        <v>128.63</v>
      </c>
      <c r="X65" s="224"/>
      <c r="Y65" s="225"/>
      <c r="Z65" s="223">
        <f t="shared" si="5"/>
        <v>79.364710000000002</v>
      </c>
      <c r="AA65" s="224"/>
      <c r="AB65" s="225"/>
      <c r="AC65" s="51"/>
      <c r="AD65" s="52"/>
      <c r="AE65" s="53"/>
      <c r="AF65" s="51"/>
      <c r="AG65" s="52"/>
      <c r="AH65" s="54"/>
    </row>
    <row r="66" spans="1:35" ht="15.75" x14ac:dyDescent="0.25">
      <c r="A66" s="197"/>
      <c r="B66" s="198"/>
      <c r="C66" s="199"/>
      <c r="D66" s="220" t="s">
        <v>780</v>
      </c>
      <c r="E66" s="221"/>
      <c r="F66" s="221"/>
      <c r="G66" s="221"/>
      <c r="H66" s="221"/>
      <c r="I66" s="222"/>
      <c r="J66" s="63"/>
      <c r="K66" s="202">
        <f>((2*9.74)+(2*9.74))</f>
        <v>38.96</v>
      </c>
      <c r="L66" s="199"/>
      <c r="M66" s="202"/>
      <c r="N66" s="199"/>
      <c r="O66" s="226">
        <v>1</v>
      </c>
      <c r="P66" s="227"/>
      <c r="Q66" s="202"/>
      <c r="R66" s="199"/>
      <c r="S66" s="202"/>
      <c r="T66" s="199"/>
      <c r="U66" s="202"/>
      <c r="V66" s="199"/>
      <c r="W66" s="223">
        <f t="shared" si="4"/>
        <v>38.96</v>
      </c>
      <c r="X66" s="224"/>
      <c r="Y66" s="225"/>
      <c r="Z66" s="223">
        <f t="shared" si="5"/>
        <v>24.038319999999999</v>
      </c>
      <c r="AA66" s="224"/>
      <c r="AB66" s="225"/>
      <c r="AC66" s="51"/>
      <c r="AD66" s="52"/>
      <c r="AE66" s="53"/>
      <c r="AF66" s="51"/>
      <c r="AG66" s="52"/>
      <c r="AH66" s="54"/>
    </row>
    <row r="67" spans="1:35" ht="15.75" x14ac:dyDescent="0.25">
      <c r="A67" s="197"/>
      <c r="B67" s="198"/>
      <c r="C67" s="199"/>
      <c r="D67" s="220" t="s">
        <v>781</v>
      </c>
      <c r="E67" s="221"/>
      <c r="F67" s="221"/>
      <c r="G67" s="221"/>
      <c r="H67" s="221"/>
      <c r="I67" s="222"/>
      <c r="J67" s="63"/>
      <c r="K67" s="226">
        <f>1.78+1.78+2.12+2.12</f>
        <v>7.8</v>
      </c>
      <c r="L67" s="227"/>
      <c r="M67" s="226"/>
      <c r="N67" s="227"/>
      <c r="O67" s="226">
        <v>1</v>
      </c>
      <c r="P67" s="227"/>
      <c r="Q67" s="226"/>
      <c r="R67" s="227"/>
      <c r="S67" s="226"/>
      <c r="T67" s="227"/>
      <c r="U67" s="226"/>
      <c r="V67" s="227"/>
      <c r="W67" s="223">
        <f t="shared" si="4"/>
        <v>7.8</v>
      </c>
      <c r="X67" s="224"/>
      <c r="Y67" s="225"/>
      <c r="Z67" s="223">
        <f t="shared" si="5"/>
        <v>4.8125999999999998</v>
      </c>
      <c r="AA67" s="224"/>
      <c r="AB67" s="225"/>
      <c r="AC67" s="51"/>
      <c r="AD67" s="52"/>
      <c r="AE67" s="53"/>
      <c r="AF67" s="51"/>
      <c r="AG67" s="52"/>
      <c r="AH67" s="54"/>
    </row>
    <row r="68" spans="1:35" ht="15.75" x14ac:dyDescent="0.25">
      <c r="A68" s="197"/>
      <c r="B68" s="198"/>
      <c r="C68" s="199"/>
      <c r="D68" s="220" t="s">
        <v>782</v>
      </c>
      <c r="E68" s="221"/>
      <c r="F68" s="221"/>
      <c r="G68" s="221"/>
      <c r="H68" s="221"/>
      <c r="I68" s="222"/>
      <c r="J68" s="63"/>
      <c r="K68" s="226">
        <f>10.61+10.61+10.83+10.83</f>
        <v>42.879999999999995</v>
      </c>
      <c r="L68" s="227"/>
      <c r="M68" s="226"/>
      <c r="N68" s="227"/>
      <c r="O68" s="226">
        <v>1</v>
      </c>
      <c r="P68" s="227"/>
      <c r="Q68" s="226"/>
      <c r="R68" s="227"/>
      <c r="S68" s="226"/>
      <c r="T68" s="227"/>
      <c r="U68" s="226"/>
      <c r="V68" s="227"/>
      <c r="W68" s="223">
        <f t="shared" si="4"/>
        <v>42.879999999999995</v>
      </c>
      <c r="X68" s="224"/>
      <c r="Y68" s="225"/>
      <c r="Z68" s="223">
        <f t="shared" si="5"/>
        <v>26.456959999999995</v>
      </c>
      <c r="AA68" s="224"/>
      <c r="AB68" s="225"/>
      <c r="AC68" s="51"/>
      <c r="AD68" s="52"/>
      <c r="AE68" s="53"/>
      <c r="AF68" s="51"/>
      <c r="AG68" s="52"/>
      <c r="AH68" s="54"/>
    </row>
    <row r="69" spans="1:35" ht="15.75" x14ac:dyDescent="0.25">
      <c r="A69" s="197"/>
      <c r="B69" s="198"/>
      <c r="C69" s="199"/>
      <c r="D69" s="220" t="s">
        <v>783</v>
      </c>
      <c r="E69" s="221"/>
      <c r="F69" s="221"/>
      <c r="G69" s="221"/>
      <c r="H69" s="221"/>
      <c r="I69" s="222"/>
      <c r="J69" s="63"/>
      <c r="K69" s="226">
        <f>10.66+10.66+8.47+8.47+4.26+4.26+7.53+7.53+12+12</f>
        <v>85.84</v>
      </c>
      <c r="L69" s="227"/>
      <c r="M69" s="226"/>
      <c r="N69" s="227"/>
      <c r="O69" s="226">
        <v>1</v>
      </c>
      <c r="P69" s="227"/>
      <c r="Q69" s="226"/>
      <c r="R69" s="227"/>
      <c r="S69" s="226"/>
      <c r="T69" s="227"/>
      <c r="U69" s="226"/>
      <c r="V69" s="227"/>
      <c r="W69" s="223">
        <f t="shared" si="4"/>
        <v>85.84</v>
      </c>
      <c r="X69" s="224"/>
      <c r="Y69" s="225"/>
      <c r="Z69" s="223">
        <f t="shared" si="5"/>
        <v>52.963280000000005</v>
      </c>
      <c r="AA69" s="224"/>
      <c r="AB69" s="225"/>
      <c r="AC69" s="51"/>
      <c r="AD69" s="52"/>
      <c r="AE69" s="53"/>
      <c r="AF69" s="51"/>
      <c r="AG69" s="52"/>
      <c r="AH69" s="54"/>
    </row>
    <row r="70" spans="1:35" ht="15.75" x14ac:dyDescent="0.25">
      <c r="A70" s="197"/>
      <c r="B70" s="198"/>
      <c r="C70" s="199"/>
      <c r="D70" s="220" t="s">
        <v>784</v>
      </c>
      <c r="E70" s="221"/>
      <c r="F70" s="221"/>
      <c r="G70" s="221"/>
      <c r="H70" s="221"/>
      <c r="I70" s="222"/>
      <c r="J70" s="63"/>
      <c r="K70" s="226">
        <f>8.07+8.07+10.04+10.04+9.72+9.72+8.56+8.56+12+12+1.8+1.8+4.47+5.02+12+12</f>
        <v>133.87</v>
      </c>
      <c r="L70" s="227"/>
      <c r="M70" s="226"/>
      <c r="N70" s="227"/>
      <c r="O70" s="226">
        <v>1</v>
      </c>
      <c r="P70" s="227"/>
      <c r="Q70" s="226"/>
      <c r="R70" s="227"/>
      <c r="S70" s="226"/>
      <c r="T70" s="227"/>
      <c r="U70" s="226"/>
      <c r="V70" s="227"/>
      <c r="W70" s="223">
        <f t="shared" si="4"/>
        <v>133.87</v>
      </c>
      <c r="X70" s="224"/>
      <c r="Y70" s="225"/>
      <c r="Z70" s="223">
        <f t="shared" si="5"/>
        <v>82.597790000000003</v>
      </c>
      <c r="AA70" s="224"/>
      <c r="AB70" s="225"/>
      <c r="AC70" s="51"/>
      <c r="AD70" s="52"/>
      <c r="AE70" s="53"/>
      <c r="AF70" s="51"/>
      <c r="AG70" s="52"/>
      <c r="AH70" s="54"/>
    </row>
    <row r="71" spans="1:35" ht="15.75" x14ac:dyDescent="0.25">
      <c r="A71" s="197"/>
      <c r="B71" s="198"/>
      <c r="C71" s="199"/>
      <c r="D71" s="220" t="s">
        <v>785</v>
      </c>
      <c r="E71" s="221"/>
      <c r="F71" s="221"/>
      <c r="G71" s="221"/>
      <c r="H71" s="221"/>
      <c r="I71" s="222"/>
      <c r="J71" s="63"/>
      <c r="K71" s="226">
        <f>10.82+10.82+4.26+4.26+1.91+1.91+1.59+7.15+7.15</f>
        <v>49.86999999999999</v>
      </c>
      <c r="L71" s="227"/>
      <c r="M71" s="226"/>
      <c r="N71" s="227"/>
      <c r="O71" s="226">
        <v>1</v>
      </c>
      <c r="P71" s="227"/>
      <c r="Q71" s="226"/>
      <c r="R71" s="227"/>
      <c r="S71" s="226"/>
      <c r="T71" s="227"/>
      <c r="U71" s="226"/>
      <c r="V71" s="227"/>
      <c r="W71" s="223">
        <f t="shared" si="4"/>
        <v>49.86999999999999</v>
      </c>
      <c r="X71" s="224"/>
      <c r="Y71" s="225"/>
      <c r="Z71" s="223">
        <f t="shared" si="5"/>
        <v>30.769789999999993</v>
      </c>
      <c r="AA71" s="224"/>
      <c r="AB71" s="225"/>
      <c r="AC71" s="51"/>
      <c r="AD71" s="52"/>
      <c r="AE71" s="53"/>
      <c r="AF71" s="51"/>
      <c r="AG71" s="52"/>
      <c r="AH71" s="54"/>
    </row>
    <row r="72" spans="1:35" ht="15.75" x14ac:dyDescent="0.25">
      <c r="A72" s="189" t="str">
        <f>'MEMORIA BM 04'!A36</f>
        <v>5.4</v>
      </c>
      <c r="B72" s="190"/>
      <c r="C72" s="191"/>
      <c r="D72" s="228" t="str">
        <f>'MEMORIA BM 04'!B36</f>
        <v>ARMAÇÃO DE PILAR OU VIGA DE UMA ESTRUTURA CONVENCIONAL DE CONCRETO ARMADO EM UMA EDIFICAÇÃO TÉRREA OU SOBRADO UTILIZANDO AÇO CA-50 DE 12,5 MM - MONTAGEM. AF_12/2015</v>
      </c>
      <c r="E72" s="229"/>
      <c r="F72" s="229"/>
      <c r="G72" s="229"/>
      <c r="H72" s="229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30"/>
      <c r="AC72" s="195">
        <f>SUM(Z73:AB74)</f>
        <v>84.426209999999983</v>
      </c>
      <c r="AD72" s="190"/>
      <c r="AE72" s="191"/>
      <c r="AF72" s="195" t="s">
        <v>361</v>
      </c>
      <c r="AG72" s="190"/>
      <c r="AH72" s="196"/>
      <c r="AI72">
        <v>84.43</v>
      </c>
    </row>
    <row r="73" spans="1:35" ht="15.75" x14ac:dyDescent="0.25">
      <c r="A73" s="197"/>
      <c r="B73" s="198"/>
      <c r="C73" s="199"/>
      <c r="D73" s="220" t="s">
        <v>784</v>
      </c>
      <c r="E73" s="221"/>
      <c r="F73" s="221"/>
      <c r="G73" s="221"/>
      <c r="H73" s="221"/>
      <c r="I73" s="222"/>
      <c r="J73" s="63"/>
      <c r="K73" s="202">
        <f>3.7+3.7+2.09</f>
        <v>9.49</v>
      </c>
      <c r="L73" s="199"/>
      <c r="M73" s="202"/>
      <c r="N73" s="199"/>
      <c r="O73" s="226">
        <v>1</v>
      </c>
      <c r="P73" s="227"/>
      <c r="Q73" s="202"/>
      <c r="R73" s="199"/>
      <c r="S73" s="202"/>
      <c r="T73" s="199"/>
      <c r="U73" s="202"/>
      <c r="V73" s="199"/>
      <c r="W73" s="223">
        <f t="shared" ref="W73:W74" si="6">K73*O73</f>
        <v>9.49</v>
      </c>
      <c r="X73" s="224"/>
      <c r="Y73" s="225"/>
      <c r="Z73" s="223">
        <f>W73*0.963</f>
        <v>9.1388700000000007</v>
      </c>
      <c r="AA73" s="224"/>
      <c r="AB73" s="225"/>
      <c r="AC73" s="51"/>
      <c r="AD73" s="52"/>
      <c r="AE73" s="53"/>
      <c r="AF73" s="51"/>
      <c r="AG73" s="52"/>
      <c r="AH73" s="54"/>
    </row>
    <row r="74" spans="1:35" ht="15.75" x14ac:dyDescent="0.25">
      <c r="A74" s="197"/>
      <c r="B74" s="198"/>
      <c r="C74" s="199"/>
      <c r="D74" s="220" t="s">
        <v>785</v>
      </c>
      <c r="E74" s="221"/>
      <c r="F74" s="221"/>
      <c r="G74" s="221"/>
      <c r="H74" s="221"/>
      <c r="I74" s="222"/>
      <c r="J74" s="63"/>
      <c r="K74" s="226">
        <f>2.9+2.9+3.82+4.39+4.39+2.13+2.13+10.69+10.69+11.97+11.97+3.25+2.8+2.2+1.95</f>
        <v>78.179999999999993</v>
      </c>
      <c r="L74" s="227"/>
      <c r="M74" s="226"/>
      <c r="N74" s="227"/>
      <c r="O74" s="226">
        <v>1</v>
      </c>
      <c r="P74" s="227"/>
      <c r="Q74" s="226"/>
      <c r="R74" s="227"/>
      <c r="S74" s="226"/>
      <c r="T74" s="227"/>
      <c r="U74" s="226"/>
      <c r="V74" s="227"/>
      <c r="W74" s="223">
        <f t="shared" si="6"/>
        <v>78.179999999999993</v>
      </c>
      <c r="X74" s="224"/>
      <c r="Y74" s="225"/>
      <c r="Z74" s="223">
        <f t="shared" ref="Z74" si="7">W74*0.963</f>
        <v>75.287339999999986</v>
      </c>
      <c r="AA74" s="224"/>
      <c r="AB74" s="225"/>
      <c r="AC74" s="51"/>
      <c r="AD74" s="52"/>
      <c r="AE74" s="53"/>
      <c r="AF74" s="51"/>
      <c r="AG74" s="52"/>
      <c r="AH74" s="54"/>
    </row>
    <row r="75" spans="1:35" ht="15.75" x14ac:dyDescent="0.25">
      <c r="A75" s="189" t="str">
        <f>'MEMORIA BM 04'!A37</f>
        <v>5.5</v>
      </c>
      <c r="B75" s="190"/>
      <c r="C75" s="191"/>
      <c r="D75" s="228" t="str">
        <f>'MEMORIA BM 04'!B37</f>
        <v>ARMAÇÃO DE PILAR OU VIGA DE UMA ESTRUTURA CONVENCIONAL DE CONCRETO ARMADO EM UMA EDIFICAÇÃO TÉRREA OU SOBRADO UTILIZANDO AÇO CA-60 DE 5,0 MM - MONTAGEM. AF_12/2015</v>
      </c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30"/>
      <c r="AC75" s="195">
        <f>SUM(Z76:AB101)</f>
        <v>440.12122000000005</v>
      </c>
      <c r="AD75" s="190"/>
      <c r="AE75" s="191"/>
      <c r="AF75" s="195" t="str">
        <f>'MEMORIA BM 04'!C37</f>
        <v>KG</v>
      </c>
      <c r="AG75" s="190"/>
      <c r="AH75" s="196"/>
      <c r="AI75">
        <v>440.12</v>
      </c>
    </row>
    <row r="76" spans="1:35" ht="15.75" x14ac:dyDescent="0.25">
      <c r="A76" s="197"/>
      <c r="B76" s="198"/>
      <c r="C76" s="199"/>
      <c r="D76" s="218" t="s">
        <v>760</v>
      </c>
      <c r="E76" s="219"/>
      <c r="F76" s="219"/>
      <c r="G76" s="219"/>
      <c r="H76" s="219"/>
      <c r="I76" s="219"/>
      <c r="J76" s="63"/>
      <c r="K76" s="226">
        <f>183*0.77</f>
        <v>140.91</v>
      </c>
      <c r="L76" s="227"/>
      <c r="M76" s="226"/>
      <c r="N76" s="227"/>
      <c r="O76" s="226">
        <v>1</v>
      </c>
      <c r="P76" s="227"/>
      <c r="Q76" s="226"/>
      <c r="R76" s="227"/>
      <c r="S76" s="226"/>
      <c r="T76" s="227"/>
      <c r="U76" s="226"/>
      <c r="V76" s="227"/>
      <c r="W76" s="223">
        <f t="shared" ref="W76:W101" si="8">K76*O76</f>
        <v>140.91</v>
      </c>
      <c r="X76" s="224"/>
      <c r="Y76" s="225"/>
      <c r="Z76" s="223">
        <f>W76*0.154</f>
        <v>21.700139999999998</v>
      </c>
      <c r="AA76" s="224"/>
      <c r="AB76" s="225"/>
      <c r="AC76" s="51"/>
      <c r="AD76" s="52"/>
      <c r="AE76" s="53"/>
      <c r="AF76" s="51"/>
      <c r="AG76" s="52"/>
      <c r="AH76" s="54"/>
    </row>
    <row r="77" spans="1:35" ht="15.75" x14ac:dyDescent="0.25">
      <c r="A77" s="197"/>
      <c r="B77" s="198"/>
      <c r="C77" s="199"/>
      <c r="D77" s="218" t="s">
        <v>761</v>
      </c>
      <c r="E77" s="219"/>
      <c r="F77" s="219"/>
      <c r="G77" s="219"/>
      <c r="H77" s="219"/>
      <c r="I77" s="219"/>
      <c r="J77" s="63"/>
      <c r="K77" s="226">
        <f>26*0.77</f>
        <v>20.02</v>
      </c>
      <c r="L77" s="227"/>
      <c r="M77" s="226"/>
      <c r="N77" s="227"/>
      <c r="O77" s="226">
        <v>1</v>
      </c>
      <c r="P77" s="227"/>
      <c r="Q77" s="226"/>
      <c r="R77" s="227"/>
      <c r="S77" s="226"/>
      <c r="T77" s="227"/>
      <c r="U77" s="226"/>
      <c r="V77" s="227"/>
      <c r="W77" s="223">
        <f t="shared" si="8"/>
        <v>20.02</v>
      </c>
      <c r="X77" s="224"/>
      <c r="Y77" s="225"/>
      <c r="Z77" s="223">
        <f t="shared" ref="Z77:Z101" si="9">W77*0.154</f>
        <v>3.0830799999999998</v>
      </c>
      <c r="AA77" s="224"/>
      <c r="AB77" s="225"/>
      <c r="AC77" s="51"/>
      <c r="AD77" s="52"/>
      <c r="AE77" s="53"/>
      <c r="AF77" s="51"/>
      <c r="AG77" s="52"/>
      <c r="AH77" s="54"/>
    </row>
    <row r="78" spans="1:35" ht="15.75" x14ac:dyDescent="0.25">
      <c r="A78" s="197"/>
      <c r="B78" s="198"/>
      <c r="C78" s="199"/>
      <c r="D78" s="218" t="s">
        <v>762</v>
      </c>
      <c r="E78" s="219"/>
      <c r="F78" s="219"/>
      <c r="G78" s="219"/>
      <c r="H78" s="219"/>
      <c r="I78" s="219"/>
      <c r="J78" s="63"/>
      <c r="K78" s="226">
        <f>25*0.77</f>
        <v>19.25</v>
      </c>
      <c r="L78" s="227"/>
      <c r="M78" s="226"/>
      <c r="N78" s="227"/>
      <c r="O78" s="226">
        <v>1</v>
      </c>
      <c r="P78" s="227"/>
      <c r="Q78" s="226"/>
      <c r="R78" s="227"/>
      <c r="S78" s="226"/>
      <c r="T78" s="227"/>
      <c r="U78" s="226"/>
      <c r="V78" s="227"/>
      <c r="W78" s="223">
        <f t="shared" si="8"/>
        <v>19.25</v>
      </c>
      <c r="X78" s="224"/>
      <c r="Y78" s="225"/>
      <c r="Z78" s="223">
        <f t="shared" si="9"/>
        <v>2.9645000000000001</v>
      </c>
      <c r="AA78" s="224"/>
      <c r="AB78" s="225"/>
      <c r="AC78" s="51"/>
      <c r="AD78" s="52"/>
      <c r="AE78" s="53"/>
      <c r="AF78" s="51"/>
      <c r="AG78" s="52"/>
      <c r="AH78" s="54"/>
    </row>
    <row r="79" spans="1:35" ht="15.75" x14ac:dyDescent="0.25">
      <c r="A79" s="197"/>
      <c r="B79" s="198"/>
      <c r="C79" s="199"/>
      <c r="D79" s="218" t="s">
        <v>763</v>
      </c>
      <c r="E79" s="219"/>
      <c r="F79" s="219"/>
      <c r="G79" s="219"/>
      <c r="H79" s="219"/>
      <c r="I79" s="219"/>
      <c r="J79" s="63"/>
      <c r="K79" s="226">
        <f>26*0.77</f>
        <v>20.02</v>
      </c>
      <c r="L79" s="227"/>
      <c r="M79" s="226"/>
      <c r="N79" s="227"/>
      <c r="O79" s="226">
        <v>1</v>
      </c>
      <c r="P79" s="227"/>
      <c r="Q79" s="226"/>
      <c r="R79" s="227"/>
      <c r="S79" s="226"/>
      <c r="T79" s="227"/>
      <c r="U79" s="226"/>
      <c r="V79" s="227"/>
      <c r="W79" s="223">
        <f t="shared" si="8"/>
        <v>20.02</v>
      </c>
      <c r="X79" s="224"/>
      <c r="Y79" s="225"/>
      <c r="Z79" s="223">
        <f t="shared" si="9"/>
        <v>3.0830799999999998</v>
      </c>
      <c r="AA79" s="224"/>
      <c r="AB79" s="225"/>
      <c r="AC79" s="51"/>
      <c r="AD79" s="52"/>
      <c r="AE79" s="53"/>
      <c r="AF79" s="51"/>
      <c r="AG79" s="52"/>
      <c r="AH79" s="54"/>
    </row>
    <row r="80" spans="1:35" ht="15.75" x14ac:dyDescent="0.25">
      <c r="A80" s="197"/>
      <c r="B80" s="198"/>
      <c r="C80" s="199"/>
      <c r="D80" s="218" t="s">
        <v>764</v>
      </c>
      <c r="E80" s="219"/>
      <c r="F80" s="219"/>
      <c r="G80" s="219"/>
      <c r="H80" s="219"/>
      <c r="I80" s="219"/>
      <c r="J80" s="63"/>
      <c r="K80" s="226">
        <f>51*0.77</f>
        <v>39.270000000000003</v>
      </c>
      <c r="L80" s="227"/>
      <c r="M80" s="226"/>
      <c r="N80" s="227"/>
      <c r="O80" s="226">
        <v>1</v>
      </c>
      <c r="P80" s="227"/>
      <c r="Q80" s="202"/>
      <c r="R80" s="199"/>
      <c r="S80" s="202"/>
      <c r="T80" s="199"/>
      <c r="U80" s="202"/>
      <c r="V80" s="199"/>
      <c r="W80" s="223">
        <f t="shared" si="8"/>
        <v>39.270000000000003</v>
      </c>
      <c r="X80" s="224"/>
      <c r="Y80" s="225"/>
      <c r="Z80" s="223">
        <f t="shared" si="9"/>
        <v>6.0475800000000008</v>
      </c>
      <c r="AA80" s="224"/>
      <c r="AB80" s="225"/>
      <c r="AC80" s="51"/>
      <c r="AD80" s="52"/>
      <c r="AE80" s="53"/>
      <c r="AF80" s="51"/>
      <c r="AG80" s="52"/>
      <c r="AH80" s="54"/>
    </row>
    <row r="81" spans="1:34" ht="15.75" x14ac:dyDescent="0.25">
      <c r="A81" s="197"/>
      <c r="B81" s="198"/>
      <c r="C81" s="199"/>
      <c r="D81" s="218" t="s">
        <v>765</v>
      </c>
      <c r="E81" s="219"/>
      <c r="F81" s="219"/>
      <c r="G81" s="219"/>
      <c r="H81" s="219"/>
      <c r="I81" s="219"/>
      <c r="J81" s="63"/>
      <c r="K81" s="226">
        <f>14*0.77</f>
        <v>10.780000000000001</v>
      </c>
      <c r="L81" s="227"/>
      <c r="M81" s="226"/>
      <c r="N81" s="227"/>
      <c r="O81" s="226">
        <v>1</v>
      </c>
      <c r="P81" s="227"/>
      <c r="Q81" s="226"/>
      <c r="R81" s="227"/>
      <c r="S81" s="226"/>
      <c r="T81" s="227"/>
      <c r="U81" s="226"/>
      <c r="V81" s="227"/>
      <c r="W81" s="223">
        <f t="shared" si="8"/>
        <v>10.780000000000001</v>
      </c>
      <c r="X81" s="224"/>
      <c r="Y81" s="225"/>
      <c r="Z81" s="223">
        <f t="shared" si="9"/>
        <v>1.6601200000000003</v>
      </c>
      <c r="AA81" s="224"/>
      <c r="AB81" s="225"/>
      <c r="AC81" s="51"/>
      <c r="AD81" s="52"/>
      <c r="AE81" s="53"/>
      <c r="AF81" s="51"/>
      <c r="AG81" s="52"/>
      <c r="AH81" s="54"/>
    </row>
    <row r="82" spans="1:34" ht="15.75" x14ac:dyDescent="0.25">
      <c r="A82" s="197"/>
      <c r="B82" s="198"/>
      <c r="C82" s="199"/>
      <c r="D82" s="218" t="s">
        <v>766</v>
      </c>
      <c r="E82" s="219"/>
      <c r="F82" s="219"/>
      <c r="G82" s="219"/>
      <c r="H82" s="219"/>
      <c r="I82" s="219"/>
      <c r="J82" s="63"/>
      <c r="K82" s="226">
        <f>308*0.77</f>
        <v>237.16</v>
      </c>
      <c r="L82" s="227"/>
      <c r="M82" s="226"/>
      <c r="N82" s="227"/>
      <c r="O82" s="226">
        <v>1</v>
      </c>
      <c r="P82" s="227"/>
      <c r="Q82" s="226"/>
      <c r="R82" s="227"/>
      <c r="S82" s="226"/>
      <c r="T82" s="227"/>
      <c r="U82" s="226"/>
      <c r="V82" s="227"/>
      <c r="W82" s="223">
        <f t="shared" si="8"/>
        <v>237.16</v>
      </c>
      <c r="X82" s="224"/>
      <c r="Y82" s="225"/>
      <c r="Z82" s="223">
        <f t="shared" si="9"/>
        <v>36.522639999999996</v>
      </c>
      <c r="AA82" s="224"/>
      <c r="AB82" s="225"/>
      <c r="AC82" s="51"/>
      <c r="AD82" s="52"/>
      <c r="AE82" s="53"/>
      <c r="AF82" s="51"/>
      <c r="AG82" s="52"/>
      <c r="AH82" s="54"/>
    </row>
    <row r="83" spans="1:34" ht="15.75" x14ac:dyDescent="0.25">
      <c r="A83" s="197"/>
      <c r="B83" s="198"/>
      <c r="C83" s="199"/>
      <c r="D83" s="218" t="s">
        <v>767</v>
      </c>
      <c r="E83" s="219"/>
      <c r="F83" s="219"/>
      <c r="G83" s="219"/>
      <c r="H83" s="219"/>
      <c r="I83" s="219"/>
      <c r="J83" s="63"/>
      <c r="K83" s="226">
        <f>52*0.77</f>
        <v>40.04</v>
      </c>
      <c r="L83" s="227"/>
      <c r="M83" s="226"/>
      <c r="N83" s="227"/>
      <c r="O83" s="226">
        <v>1</v>
      </c>
      <c r="P83" s="227"/>
      <c r="Q83" s="226"/>
      <c r="R83" s="227"/>
      <c r="S83" s="226"/>
      <c r="T83" s="227"/>
      <c r="U83" s="226"/>
      <c r="V83" s="227"/>
      <c r="W83" s="223">
        <f t="shared" si="8"/>
        <v>40.04</v>
      </c>
      <c r="X83" s="224"/>
      <c r="Y83" s="225"/>
      <c r="Z83" s="223">
        <f t="shared" si="9"/>
        <v>6.1661599999999996</v>
      </c>
      <c r="AA83" s="224"/>
      <c r="AB83" s="225"/>
      <c r="AC83" s="51"/>
      <c r="AD83" s="52"/>
      <c r="AE83" s="53"/>
      <c r="AF83" s="51"/>
      <c r="AG83" s="52"/>
      <c r="AH83" s="54"/>
    </row>
    <row r="84" spans="1:34" ht="15.75" x14ac:dyDescent="0.25">
      <c r="A84" s="197"/>
      <c r="B84" s="198"/>
      <c r="C84" s="199"/>
      <c r="D84" s="218" t="s">
        <v>768</v>
      </c>
      <c r="E84" s="219"/>
      <c r="F84" s="219"/>
      <c r="G84" s="219"/>
      <c r="H84" s="219"/>
      <c r="I84" s="219"/>
      <c r="J84" s="63"/>
      <c r="K84" s="226">
        <f>13*0.77</f>
        <v>10.01</v>
      </c>
      <c r="L84" s="227"/>
      <c r="M84" s="226"/>
      <c r="N84" s="227"/>
      <c r="O84" s="226">
        <v>1</v>
      </c>
      <c r="P84" s="227"/>
      <c r="Q84" s="226"/>
      <c r="R84" s="227"/>
      <c r="S84" s="226"/>
      <c r="T84" s="227"/>
      <c r="U84" s="226"/>
      <c r="V84" s="227"/>
      <c r="W84" s="223">
        <f t="shared" si="8"/>
        <v>10.01</v>
      </c>
      <c r="X84" s="224"/>
      <c r="Y84" s="225"/>
      <c r="Z84" s="223">
        <f t="shared" si="9"/>
        <v>1.5415399999999999</v>
      </c>
      <c r="AA84" s="224"/>
      <c r="AB84" s="225"/>
      <c r="AC84" s="51"/>
      <c r="AD84" s="52"/>
      <c r="AE84" s="53"/>
      <c r="AF84" s="51"/>
      <c r="AG84" s="52"/>
      <c r="AH84" s="54"/>
    </row>
    <row r="85" spans="1:34" ht="15.75" x14ac:dyDescent="0.25">
      <c r="A85" s="197"/>
      <c r="B85" s="198"/>
      <c r="C85" s="199"/>
      <c r="D85" s="218" t="s">
        <v>769</v>
      </c>
      <c r="E85" s="219"/>
      <c r="F85" s="219"/>
      <c r="G85" s="219"/>
      <c r="H85" s="219"/>
      <c r="I85" s="219"/>
      <c r="J85" s="63"/>
      <c r="K85" s="226">
        <f>295*0.97</f>
        <v>286.14999999999998</v>
      </c>
      <c r="L85" s="227"/>
      <c r="M85" s="226"/>
      <c r="N85" s="227"/>
      <c r="O85" s="226">
        <v>1</v>
      </c>
      <c r="P85" s="227"/>
      <c r="Q85" s="226"/>
      <c r="R85" s="227"/>
      <c r="S85" s="226"/>
      <c r="T85" s="227"/>
      <c r="U85" s="226"/>
      <c r="V85" s="227"/>
      <c r="W85" s="223">
        <f t="shared" si="8"/>
        <v>286.14999999999998</v>
      </c>
      <c r="X85" s="224"/>
      <c r="Y85" s="225"/>
      <c r="Z85" s="223">
        <f t="shared" si="9"/>
        <v>44.067099999999996</v>
      </c>
      <c r="AA85" s="224"/>
      <c r="AB85" s="225"/>
      <c r="AC85" s="51"/>
      <c r="AD85" s="52"/>
      <c r="AE85" s="53"/>
      <c r="AF85" s="51"/>
      <c r="AG85" s="52"/>
      <c r="AH85" s="54"/>
    </row>
    <row r="86" spans="1:34" ht="15.75" x14ac:dyDescent="0.25">
      <c r="A86" s="197"/>
      <c r="B86" s="198"/>
      <c r="C86" s="199"/>
      <c r="D86" s="218" t="s">
        <v>770</v>
      </c>
      <c r="E86" s="219"/>
      <c r="F86" s="219"/>
      <c r="G86" s="219"/>
      <c r="H86" s="219"/>
      <c r="I86" s="219"/>
      <c r="J86" s="63"/>
      <c r="K86" s="226">
        <f>34*0.77</f>
        <v>26.18</v>
      </c>
      <c r="L86" s="227"/>
      <c r="M86" s="226"/>
      <c r="N86" s="227"/>
      <c r="O86" s="226">
        <v>1</v>
      </c>
      <c r="P86" s="227"/>
      <c r="Q86" s="226"/>
      <c r="R86" s="227"/>
      <c r="S86" s="226"/>
      <c r="T86" s="227"/>
      <c r="U86" s="226"/>
      <c r="V86" s="227"/>
      <c r="W86" s="223">
        <f t="shared" si="8"/>
        <v>26.18</v>
      </c>
      <c r="X86" s="224"/>
      <c r="Y86" s="225"/>
      <c r="Z86" s="223">
        <f t="shared" si="9"/>
        <v>4.03172</v>
      </c>
      <c r="AA86" s="224"/>
      <c r="AB86" s="225"/>
      <c r="AC86" s="51"/>
      <c r="AD86" s="52"/>
      <c r="AE86" s="53"/>
      <c r="AF86" s="51"/>
      <c r="AG86" s="52"/>
      <c r="AH86" s="54"/>
    </row>
    <row r="87" spans="1:34" ht="15.75" x14ac:dyDescent="0.25">
      <c r="A87" s="197"/>
      <c r="B87" s="198"/>
      <c r="C87" s="199"/>
      <c r="D87" s="218" t="s">
        <v>771</v>
      </c>
      <c r="E87" s="219"/>
      <c r="F87" s="219"/>
      <c r="G87" s="219"/>
      <c r="H87" s="219"/>
      <c r="I87" s="219"/>
      <c r="J87" s="63"/>
      <c r="K87" s="226">
        <f>44*0.77</f>
        <v>33.880000000000003</v>
      </c>
      <c r="L87" s="227"/>
      <c r="M87" s="226"/>
      <c r="N87" s="227"/>
      <c r="O87" s="226">
        <v>1</v>
      </c>
      <c r="P87" s="227"/>
      <c r="Q87" s="226"/>
      <c r="R87" s="227"/>
      <c r="S87" s="226"/>
      <c r="T87" s="227"/>
      <c r="U87" s="226"/>
      <c r="V87" s="227"/>
      <c r="W87" s="223">
        <f t="shared" si="8"/>
        <v>33.880000000000003</v>
      </c>
      <c r="X87" s="224"/>
      <c r="Y87" s="225"/>
      <c r="Z87" s="223">
        <f t="shared" si="9"/>
        <v>5.2175200000000004</v>
      </c>
      <c r="AA87" s="224"/>
      <c r="AB87" s="225"/>
      <c r="AC87" s="51"/>
      <c r="AD87" s="52"/>
      <c r="AE87" s="53"/>
      <c r="AF87" s="51"/>
      <c r="AG87" s="52"/>
      <c r="AH87" s="54"/>
    </row>
    <row r="88" spans="1:34" ht="15.75" x14ac:dyDescent="0.25">
      <c r="A88" s="197"/>
      <c r="B88" s="198"/>
      <c r="C88" s="199"/>
      <c r="D88" s="218" t="s">
        <v>772</v>
      </c>
      <c r="E88" s="219"/>
      <c r="F88" s="219"/>
      <c r="G88" s="219"/>
      <c r="H88" s="219"/>
      <c r="I88" s="219"/>
      <c r="J88" s="63"/>
      <c r="K88" s="202">
        <f>321*0.97</f>
        <v>311.37</v>
      </c>
      <c r="L88" s="199"/>
      <c r="M88" s="202"/>
      <c r="N88" s="199"/>
      <c r="O88" s="226">
        <v>1</v>
      </c>
      <c r="P88" s="227"/>
      <c r="Q88" s="202"/>
      <c r="R88" s="199"/>
      <c r="S88" s="202"/>
      <c r="T88" s="199"/>
      <c r="U88" s="202"/>
      <c r="V88" s="199"/>
      <c r="W88" s="223">
        <f t="shared" si="8"/>
        <v>311.37</v>
      </c>
      <c r="X88" s="224"/>
      <c r="Y88" s="225"/>
      <c r="Z88" s="223">
        <f t="shared" si="9"/>
        <v>47.950980000000001</v>
      </c>
      <c r="AA88" s="224"/>
      <c r="AB88" s="225"/>
      <c r="AC88" s="51"/>
      <c r="AD88" s="52"/>
      <c r="AE88" s="53"/>
      <c r="AF88" s="51"/>
      <c r="AG88" s="52"/>
      <c r="AH88" s="54"/>
    </row>
    <row r="89" spans="1:34" ht="15.75" x14ac:dyDescent="0.25">
      <c r="A89" s="197"/>
      <c r="B89" s="198"/>
      <c r="C89" s="199"/>
      <c r="D89" s="220" t="s">
        <v>773</v>
      </c>
      <c r="E89" s="221"/>
      <c r="F89" s="221"/>
      <c r="G89" s="221"/>
      <c r="H89" s="221"/>
      <c r="I89" s="222"/>
      <c r="J89" s="63"/>
      <c r="K89" s="226">
        <f>83*0.97</f>
        <v>80.509999999999991</v>
      </c>
      <c r="L89" s="227"/>
      <c r="M89" s="226"/>
      <c r="N89" s="227"/>
      <c r="O89" s="226">
        <v>1</v>
      </c>
      <c r="P89" s="227"/>
      <c r="Q89" s="226"/>
      <c r="R89" s="227"/>
      <c r="S89" s="226"/>
      <c r="T89" s="227"/>
      <c r="U89" s="226"/>
      <c r="V89" s="227"/>
      <c r="W89" s="223">
        <f t="shared" si="8"/>
        <v>80.509999999999991</v>
      </c>
      <c r="X89" s="224"/>
      <c r="Y89" s="225"/>
      <c r="Z89" s="223">
        <f t="shared" si="9"/>
        <v>12.398539999999999</v>
      </c>
      <c r="AA89" s="224"/>
      <c r="AB89" s="225"/>
      <c r="AC89" s="51"/>
      <c r="AD89" s="52"/>
      <c r="AE89" s="53"/>
      <c r="AF89" s="51"/>
      <c r="AG89" s="52"/>
      <c r="AH89" s="54"/>
    </row>
    <row r="90" spans="1:34" ht="15.75" x14ac:dyDescent="0.25">
      <c r="A90" s="197"/>
      <c r="B90" s="198"/>
      <c r="C90" s="199"/>
      <c r="D90" s="220" t="s">
        <v>774</v>
      </c>
      <c r="E90" s="221"/>
      <c r="F90" s="221"/>
      <c r="G90" s="221"/>
      <c r="H90" s="221"/>
      <c r="I90" s="222"/>
      <c r="J90" s="63"/>
      <c r="K90" s="226">
        <f>302*0.77</f>
        <v>232.54</v>
      </c>
      <c r="L90" s="227"/>
      <c r="M90" s="226"/>
      <c r="N90" s="227"/>
      <c r="O90" s="226">
        <v>1</v>
      </c>
      <c r="P90" s="227"/>
      <c r="Q90" s="226"/>
      <c r="R90" s="227"/>
      <c r="S90" s="226"/>
      <c r="T90" s="227"/>
      <c r="U90" s="226"/>
      <c r="V90" s="227"/>
      <c r="W90" s="223">
        <f t="shared" si="8"/>
        <v>232.54</v>
      </c>
      <c r="X90" s="224"/>
      <c r="Y90" s="225"/>
      <c r="Z90" s="223">
        <f t="shared" si="9"/>
        <v>35.811160000000001</v>
      </c>
      <c r="AA90" s="224"/>
      <c r="AB90" s="225"/>
      <c r="AC90" s="51"/>
      <c r="AD90" s="52"/>
      <c r="AE90" s="53"/>
      <c r="AF90" s="51"/>
      <c r="AG90" s="52"/>
      <c r="AH90" s="54"/>
    </row>
    <row r="91" spans="1:34" ht="15.75" x14ac:dyDescent="0.25">
      <c r="A91" s="197"/>
      <c r="B91" s="198"/>
      <c r="C91" s="199"/>
      <c r="D91" s="220" t="s">
        <v>775</v>
      </c>
      <c r="E91" s="221"/>
      <c r="F91" s="221"/>
      <c r="G91" s="221"/>
      <c r="H91" s="221"/>
      <c r="I91" s="222"/>
      <c r="J91" s="63"/>
      <c r="K91" s="226">
        <f>82*0.77</f>
        <v>63.14</v>
      </c>
      <c r="L91" s="227"/>
      <c r="M91" s="226"/>
      <c r="N91" s="227"/>
      <c r="O91" s="226">
        <v>1</v>
      </c>
      <c r="P91" s="227"/>
      <c r="Q91" s="226"/>
      <c r="R91" s="227"/>
      <c r="S91" s="226"/>
      <c r="T91" s="227"/>
      <c r="U91" s="226"/>
      <c r="V91" s="227"/>
      <c r="W91" s="223">
        <f t="shared" si="8"/>
        <v>63.14</v>
      </c>
      <c r="X91" s="224"/>
      <c r="Y91" s="225"/>
      <c r="Z91" s="223">
        <f t="shared" si="9"/>
        <v>9.7235599999999991</v>
      </c>
      <c r="AA91" s="224"/>
      <c r="AB91" s="225"/>
      <c r="AC91" s="51"/>
      <c r="AD91" s="52"/>
      <c r="AE91" s="53"/>
      <c r="AF91" s="51"/>
      <c r="AG91" s="52"/>
      <c r="AH91" s="54"/>
    </row>
    <row r="92" spans="1:34" ht="15.75" x14ac:dyDescent="0.25">
      <c r="A92" s="197"/>
      <c r="B92" s="198"/>
      <c r="C92" s="199"/>
      <c r="D92" s="220" t="s">
        <v>776</v>
      </c>
      <c r="E92" s="221"/>
      <c r="F92" s="221"/>
      <c r="G92" s="221"/>
      <c r="H92" s="221"/>
      <c r="I92" s="222"/>
      <c r="J92" s="63"/>
      <c r="K92" s="226">
        <f>146*0.77</f>
        <v>112.42</v>
      </c>
      <c r="L92" s="227"/>
      <c r="M92" s="226"/>
      <c r="N92" s="227"/>
      <c r="O92" s="226">
        <v>1</v>
      </c>
      <c r="P92" s="227"/>
      <c r="Q92" s="226"/>
      <c r="R92" s="227"/>
      <c r="S92" s="226"/>
      <c r="T92" s="227"/>
      <c r="U92" s="226"/>
      <c r="V92" s="227"/>
      <c r="W92" s="223">
        <f t="shared" si="8"/>
        <v>112.42</v>
      </c>
      <c r="X92" s="224"/>
      <c r="Y92" s="225"/>
      <c r="Z92" s="223">
        <f t="shared" si="9"/>
        <v>17.31268</v>
      </c>
      <c r="AA92" s="224"/>
      <c r="AB92" s="225"/>
      <c r="AC92" s="51"/>
      <c r="AD92" s="52"/>
      <c r="AE92" s="53"/>
      <c r="AF92" s="51"/>
      <c r="AG92" s="52"/>
      <c r="AH92" s="54"/>
    </row>
    <row r="93" spans="1:34" ht="15.75" x14ac:dyDescent="0.25">
      <c r="A93" s="197"/>
      <c r="B93" s="198"/>
      <c r="C93" s="199"/>
      <c r="D93" s="220" t="s">
        <v>777</v>
      </c>
      <c r="E93" s="221"/>
      <c r="F93" s="221"/>
      <c r="G93" s="221"/>
      <c r="H93" s="221"/>
      <c r="I93" s="222"/>
      <c r="J93" s="63"/>
      <c r="K93" s="226">
        <f>240*0.77</f>
        <v>184.8</v>
      </c>
      <c r="L93" s="227"/>
      <c r="M93" s="226"/>
      <c r="N93" s="227"/>
      <c r="O93" s="226">
        <v>1</v>
      </c>
      <c r="P93" s="227"/>
      <c r="Q93" s="226"/>
      <c r="R93" s="227"/>
      <c r="S93" s="226"/>
      <c r="T93" s="227"/>
      <c r="U93" s="226"/>
      <c r="V93" s="227"/>
      <c r="W93" s="223">
        <f t="shared" si="8"/>
        <v>184.8</v>
      </c>
      <c r="X93" s="224"/>
      <c r="Y93" s="225"/>
      <c r="Z93" s="223">
        <f t="shared" si="9"/>
        <v>28.459200000000003</v>
      </c>
      <c r="AA93" s="224"/>
      <c r="AB93" s="225"/>
      <c r="AC93" s="51"/>
      <c r="AD93" s="52"/>
      <c r="AE93" s="53"/>
      <c r="AF93" s="51"/>
      <c r="AG93" s="52"/>
      <c r="AH93" s="54"/>
    </row>
    <row r="94" spans="1:34" ht="15.75" x14ac:dyDescent="0.25">
      <c r="A94" s="197"/>
      <c r="B94" s="198"/>
      <c r="C94" s="199"/>
      <c r="D94" s="220" t="s">
        <v>778</v>
      </c>
      <c r="E94" s="221"/>
      <c r="F94" s="221"/>
      <c r="G94" s="221"/>
      <c r="H94" s="221"/>
      <c r="I94" s="222"/>
      <c r="J94" s="63"/>
      <c r="K94" s="226">
        <f>144*0.77</f>
        <v>110.88</v>
      </c>
      <c r="L94" s="227"/>
      <c r="M94" s="226"/>
      <c r="N94" s="227"/>
      <c r="O94" s="226">
        <v>1</v>
      </c>
      <c r="P94" s="227"/>
      <c r="Q94" s="226"/>
      <c r="R94" s="227"/>
      <c r="S94" s="226"/>
      <c r="T94" s="227"/>
      <c r="U94" s="226"/>
      <c r="V94" s="227"/>
      <c r="W94" s="223">
        <f t="shared" si="8"/>
        <v>110.88</v>
      </c>
      <c r="X94" s="224"/>
      <c r="Y94" s="225"/>
      <c r="Z94" s="223">
        <f t="shared" si="9"/>
        <v>17.075519999999997</v>
      </c>
      <c r="AA94" s="224"/>
      <c r="AB94" s="225"/>
      <c r="AC94" s="51"/>
      <c r="AD94" s="52"/>
      <c r="AE94" s="53"/>
      <c r="AF94" s="51"/>
      <c r="AG94" s="52"/>
      <c r="AH94" s="54"/>
    </row>
    <row r="95" spans="1:34" ht="15.75" x14ac:dyDescent="0.25">
      <c r="A95" s="197"/>
      <c r="B95" s="198"/>
      <c r="C95" s="199"/>
      <c r="D95" s="220" t="s">
        <v>779</v>
      </c>
      <c r="E95" s="221"/>
      <c r="F95" s="221"/>
      <c r="G95" s="221"/>
      <c r="H95" s="221"/>
      <c r="I95" s="222"/>
      <c r="J95" s="63"/>
      <c r="K95" s="226">
        <f>241*0.77</f>
        <v>185.57</v>
      </c>
      <c r="L95" s="227"/>
      <c r="M95" s="226"/>
      <c r="N95" s="227"/>
      <c r="O95" s="226">
        <v>1</v>
      </c>
      <c r="P95" s="227"/>
      <c r="Q95" s="226"/>
      <c r="R95" s="227"/>
      <c r="S95" s="226"/>
      <c r="T95" s="227"/>
      <c r="U95" s="226"/>
      <c r="V95" s="227"/>
      <c r="W95" s="223">
        <f t="shared" si="8"/>
        <v>185.57</v>
      </c>
      <c r="X95" s="224"/>
      <c r="Y95" s="225"/>
      <c r="Z95" s="223">
        <f t="shared" si="9"/>
        <v>28.577779999999997</v>
      </c>
      <c r="AA95" s="224"/>
      <c r="AB95" s="225"/>
      <c r="AC95" s="51"/>
      <c r="AD95" s="52"/>
      <c r="AE95" s="53"/>
      <c r="AF95" s="51"/>
      <c r="AG95" s="52"/>
      <c r="AH95" s="54"/>
    </row>
    <row r="96" spans="1:34" ht="15.75" x14ac:dyDescent="0.25">
      <c r="A96" s="197"/>
      <c r="B96" s="198"/>
      <c r="C96" s="199"/>
      <c r="D96" s="220" t="s">
        <v>780</v>
      </c>
      <c r="E96" s="221"/>
      <c r="F96" s="221"/>
      <c r="G96" s="221"/>
      <c r="H96" s="221"/>
      <c r="I96" s="222"/>
      <c r="J96" s="63"/>
      <c r="K96" s="202">
        <f>72*0.77</f>
        <v>55.44</v>
      </c>
      <c r="L96" s="199"/>
      <c r="M96" s="202"/>
      <c r="N96" s="199"/>
      <c r="O96" s="226">
        <v>1</v>
      </c>
      <c r="P96" s="227"/>
      <c r="Q96" s="202"/>
      <c r="R96" s="199"/>
      <c r="S96" s="202"/>
      <c r="T96" s="199"/>
      <c r="U96" s="202"/>
      <c r="V96" s="199"/>
      <c r="W96" s="223">
        <f t="shared" si="8"/>
        <v>55.44</v>
      </c>
      <c r="X96" s="224"/>
      <c r="Y96" s="225"/>
      <c r="Z96" s="223">
        <f t="shared" si="9"/>
        <v>8.5377599999999987</v>
      </c>
      <c r="AA96" s="224"/>
      <c r="AB96" s="225"/>
      <c r="AC96" s="51"/>
      <c r="AD96" s="52"/>
      <c r="AE96" s="53"/>
      <c r="AF96" s="51"/>
      <c r="AG96" s="52"/>
      <c r="AH96" s="54"/>
    </row>
    <row r="97" spans="1:35" ht="15.75" x14ac:dyDescent="0.25">
      <c r="A97" s="197"/>
      <c r="B97" s="198"/>
      <c r="C97" s="199"/>
      <c r="D97" s="220" t="s">
        <v>781</v>
      </c>
      <c r="E97" s="221"/>
      <c r="F97" s="221"/>
      <c r="G97" s="221"/>
      <c r="H97" s="221"/>
      <c r="I97" s="222"/>
      <c r="J97" s="63"/>
      <c r="K97" s="226">
        <f>13*0.77</f>
        <v>10.01</v>
      </c>
      <c r="L97" s="227"/>
      <c r="M97" s="226"/>
      <c r="N97" s="227"/>
      <c r="O97" s="226">
        <v>1</v>
      </c>
      <c r="P97" s="227"/>
      <c r="Q97" s="226"/>
      <c r="R97" s="227"/>
      <c r="S97" s="226"/>
      <c r="T97" s="227"/>
      <c r="U97" s="226"/>
      <c r="V97" s="227"/>
      <c r="W97" s="223">
        <f t="shared" si="8"/>
        <v>10.01</v>
      </c>
      <c r="X97" s="224"/>
      <c r="Y97" s="225"/>
      <c r="Z97" s="223">
        <f t="shared" si="9"/>
        <v>1.5415399999999999</v>
      </c>
      <c r="AA97" s="224"/>
      <c r="AB97" s="225"/>
      <c r="AC97" s="51"/>
      <c r="AD97" s="52"/>
      <c r="AE97" s="53"/>
      <c r="AF97" s="51"/>
      <c r="AG97" s="52"/>
      <c r="AH97" s="54"/>
    </row>
    <row r="98" spans="1:35" ht="15.75" x14ac:dyDescent="0.25">
      <c r="A98" s="197"/>
      <c r="B98" s="198"/>
      <c r="C98" s="199"/>
      <c r="D98" s="220" t="s">
        <v>782</v>
      </c>
      <c r="E98" s="221"/>
      <c r="F98" s="221"/>
      <c r="G98" s="221"/>
      <c r="H98" s="221"/>
      <c r="I98" s="222"/>
      <c r="J98" s="63"/>
      <c r="K98" s="226">
        <f>81*0.77</f>
        <v>62.370000000000005</v>
      </c>
      <c r="L98" s="227"/>
      <c r="M98" s="226"/>
      <c r="N98" s="227"/>
      <c r="O98" s="226">
        <v>1</v>
      </c>
      <c r="P98" s="227"/>
      <c r="Q98" s="226"/>
      <c r="R98" s="227"/>
      <c r="S98" s="226"/>
      <c r="T98" s="227"/>
      <c r="U98" s="226"/>
      <c r="V98" s="227"/>
      <c r="W98" s="223">
        <f t="shared" si="8"/>
        <v>62.370000000000005</v>
      </c>
      <c r="X98" s="224"/>
      <c r="Y98" s="225"/>
      <c r="Z98" s="223">
        <f t="shared" si="9"/>
        <v>9.6049800000000012</v>
      </c>
      <c r="AA98" s="224"/>
      <c r="AB98" s="225"/>
      <c r="AC98" s="51"/>
      <c r="AD98" s="52"/>
      <c r="AE98" s="53"/>
      <c r="AF98" s="51"/>
      <c r="AG98" s="52"/>
      <c r="AH98" s="54"/>
    </row>
    <row r="99" spans="1:35" ht="15.75" x14ac:dyDescent="0.25">
      <c r="A99" s="197"/>
      <c r="B99" s="198"/>
      <c r="C99" s="199"/>
      <c r="D99" s="220" t="s">
        <v>783</v>
      </c>
      <c r="E99" s="221"/>
      <c r="F99" s="221"/>
      <c r="G99" s="221"/>
      <c r="H99" s="221"/>
      <c r="I99" s="222"/>
      <c r="J99" s="63"/>
      <c r="K99" s="226">
        <f>147*0.77</f>
        <v>113.19</v>
      </c>
      <c r="L99" s="227"/>
      <c r="M99" s="226"/>
      <c r="N99" s="227"/>
      <c r="O99" s="226">
        <v>1</v>
      </c>
      <c r="P99" s="227"/>
      <c r="Q99" s="226"/>
      <c r="R99" s="227"/>
      <c r="S99" s="226"/>
      <c r="T99" s="227"/>
      <c r="U99" s="226"/>
      <c r="V99" s="227"/>
      <c r="W99" s="223">
        <f t="shared" si="8"/>
        <v>113.19</v>
      </c>
      <c r="X99" s="224"/>
      <c r="Y99" s="225"/>
      <c r="Z99" s="223">
        <f t="shared" si="9"/>
        <v>17.431259999999998</v>
      </c>
      <c r="AA99" s="224"/>
      <c r="AB99" s="225"/>
      <c r="AC99" s="51"/>
      <c r="AD99" s="52"/>
      <c r="AE99" s="53"/>
      <c r="AF99" s="51"/>
      <c r="AG99" s="52"/>
      <c r="AH99" s="54"/>
    </row>
    <row r="100" spans="1:35" ht="15.75" x14ac:dyDescent="0.25">
      <c r="A100" s="197"/>
      <c r="B100" s="198"/>
      <c r="C100" s="199"/>
      <c r="D100" s="220" t="s">
        <v>784</v>
      </c>
      <c r="E100" s="221"/>
      <c r="F100" s="221"/>
      <c r="G100" s="221"/>
      <c r="H100" s="221"/>
      <c r="I100" s="222"/>
      <c r="J100" s="63"/>
      <c r="K100" s="226">
        <f>233*0.97</f>
        <v>226.01</v>
      </c>
      <c r="L100" s="227"/>
      <c r="M100" s="226"/>
      <c r="N100" s="227"/>
      <c r="O100" s="226">
        <v>1</v>
      </c>
      <c r="P100" s="227"/>
      <c r="Q100" s="226"/>
      <c r="R100" s="227"/>
      <c r="S100" s="226"/>
      <c r="T100" s="227"/>
      <c r="U100" s="226"/>
      <c r="V100" s="227"/>
      <c r="W100" s="223">
        <f t="shared" si="8"/>
        <v>226.01</v>
      </c>
      <c r="X100" s="224"/>
      <c r="Y100" s="225"/>
      <c r="Z100" s="223">
        <f t="shared" si="9"/>
        <v>34.805540000000001</v>
      </c>
      <c r="AA100" s="224"/>
      <c r="AB100" s="225"/>
      <c r="AC100" s="51"/>
      <c r="AD100" s="52"/>
      <c r="AE100" s="53"/>
      <c r="AF100" s="51"/>
      <c r="AG100" s="52"/>
      <c r="AH100" s="54"/>
    </row>
    <row r="101" spans="1:35" ht="15.75" x14ac:dyDescent="0.25">
      <c r="A101" s="197"/>
      <c r="B101" s="198"/>
      <c r="C101" s="199"/>
      <c r="D101" s="220" t="s">
        <v>785</v>
      </c>
      <c r="E101" s="221"/>
      <c r="F101" s="221"/>
      <c r="G101" s="221"/>
      <c r="H101" s="221"/>
      <c r="I101" s="222"/>
      <c r="J101" s="63"/>
      <c r="K101" s="226">
        <f>233*0.97</f>
        <v>226.01</v>
      </c>
      <c r="L101" s="227"/>
      <c r="M101" s="226"/>
      <c r="N101" s="227"/>
      <c r="O101" s="226">
        <v>1</v>
      </c>
      <c r="P101" s="227"/>
      <c r="Q101" s="226"/>
      <c r="R101" s="227"/>
      <c r="S101" s="226"/>
      <c r="T101" s="227"/>
      <c r="U101" s="226"/>
      <c r="V101" s="227"/>
      <c r="W101" s="223">
        <f t="shared" si="8"/>
        <v>226.01</v>
      </c>
      <c r="X101" s="224"/>
      <c r="Y101" s="225"/>
      <c r="Z101" s="223">
        <f t="shared" si="9"/>
        <v>34.805540000000001</v>
      </c>
      <c r="AA101" s="224"/>
      <c r="AB101" s="225"/>
      <c r="AC101" s="51"/>
      <c r="AD101" s="52"/>
      <c r="AE101" s="53"/>
      <c r="AF101" s="51"/>
      <c r="AG101" s="52"/>
      <c r="AH101" s="54"/>
    </row>
    <row r="102" spans="1:35" ht="15.75" x14ac:dyDescent="0.25">
      <c r="A102" s="189" t="str">
        <f>'MEMORIA BM 04'!A38</f>
        <v>5.6</v>
      </c>
      <c r="B102" s="190"/>
      <c r="C102" s="191"/>
      <c r="D102" s="228" t="str">
        <f>'MEMORIA BM 04'!B38</f>
        <v>CONCRETO FCK = 25MPA, TRAÇO 1:2,3:2,7 (EM MASSA SECA DE CIMENTO/ AREIA MÉDIA/ BRITA 1) - PREPARO MECÂNICO COM BETONEIRA 600 L. AF_05/2021</v>
      </c>
      <c r="E102" s="229"/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30"/>
      <c r="AC102" s="195">
        <f>SUM(Z103:AB128)</f>
        <v>20.8111</v>
      </c>
      <c r="AD102" s="190"/>
      <c r="AE102" s="191"/>
      <c r="AF102" s="195" t="str">
        <f>'MEMORIA BM 04'!C38</f>
        <v>M3</v>
      </c>
      <c r="AG102" s="190"/>
      <c r="AH102" s="196"/>
      <c r="AI102">
        <v>20.81</v>
      </c>
    </row>
    <row r="103" spans="1:35" ht="15.75" x14ac:dyDescent="0.25">
      <c r="A103" s="197"/>
      <c r="B103" s="198"/>
      <c r="C103" s="199"/>
      <c r="D103" s="218" t="s">
        <v>760</v>
      </c>
      <c r="E103" s="219"/>
      <c r="F103" s="219"/>
      <c r="G103" s="219"/>
      <c r="H103" s="219"/>
      <c r="I103" s="219"/>
      <c r="J103" s="63"/>
      <c r="K103" s="226">
        <v>0.15</v>
      </c>
      <c r="L103" s="227"/>
      <c r="M103" s="226"/>
      <c r="N103" s="227"/>
      <c r="O103" s="226">
        <v>0.3</v>
      </c>
      <c r="P103" s="227"/>
      <c r="Q103" s="226"/>
      <c r="R103" s="227"/>
      <c r="S103" s="202">
        <f>11.89+11.86</f>
        <v>23.75</v>
      </c>
      <c r="T103" s="199"/>
      <c r="U103" s="226"/>
      <c r="V103" s="227"/>
      <c r="W103" s="203">
        <f>K103*O103</f>
        <v>4.4999999999999998E-2</v>
      </c>
      <c r="X103" s="204"/>
      <c r="Y103" s="205"/>
      <c r="Z103" s="203">
        <f>W103*S103</f>
        <v>1.0687499999999999</v>
      </c>
      <c r="AA103" s="204"/>
      <c r="AB103" s="205"/>
      <c r="AC103" s="51"/>
      <c r="AD103" s="52"/>
      <c r="AE103" s="53"/>
      <c r="AF103" s="51"/>
      <c r="AG103" s="52"/>
      <c r="AH103" s="54"/>
    </row>
    <row r="104" spans="1:35" ht="15.75" x14ac:dyDescent="0.25">
      <c r="A104" s="197"/>
      <c r="B104" s="198"/>
      <c r="C104" s="199"/>
      <c r="D104" s="218" t="s">
        <v>761</v>
      </c>
      <c r="E104" s="219"/>
      <c r="F104" s="219"/>
      <c r="G104" s="219"/>
      <c r="H104" s="219"/>
      <c r="I104" s="219"/>
      <c r="J104" s="63"/>
      <c r="K104" s="226">
        <v>0.2</v>
      </c>
      <c r="L104" s="227"/>
      <c r="M104" s="226"/>
      <c r="N104" s="227"/>
      <c r="O104" s="226">
        <v>0.3</v>
      </c>
      <c r="P104" s="227"/>
      <c r="Q104" s="226"/>
      <c r="R104" s="227"/>
      <c r="S104" s="202">
        <v>3.39</v>
      </c>
      <c r="T104" s="199"/>
      <c r="U104" s="226"/>
      <c r="V104" s="227"/>
      <c r="W104" s="223">
        <f t="shared" ref="W104:W128" si="10">K104*O104</f>
        <v>0.06</v>
      </c>
      <c r="X104" s="224"/>
      <c r="Y104" s="225"/>
      <c r="Z104" s="203">
        <f t="shared" ref="Z104:Z128" si="11">W104*S104</f>
        <v>0.2034</v>
      </c>
      <c r="AA104" s="204"/>
      <c r="AB104" s="205"/>
      <c r="AC104" s="51"/>
      <c r="AD104" s="52"/>
      <c r="AE104" s="53"/>
      <c r="AF104" s="51"/>
      <c r="AG104" s="52"/>
      <c r="AH104" s="54"/>
    </row>
    <row r="105" spans="1:35" ht="15.75" x14ac:dyDescent="0.25">
      <c r="A105" s="197"/>
      <c r="B105" s="198"/>
      <c r="C105" s="199"/>
      <c r="D105" s="218" t="s">
        <v>762</v>
      </c>
      <c r="E105" s="219"/>
      <c r="F105" s="219"/>
      <c r="G105" s="219"/>
      <c r="H105" s="219"/>
      <c r="I105" s="219"/>
      <c r="J105" s="63"/>
      <c r="K105" s="226">
        <v>0.2</v>
      </c>
      <c r="L105" s="227"/>
      <c r="M105" s="226"/>
      <c r="N105" s="227"/>
      <c r="O105" s="226">
        <v>0.3</v>
      </c>
      <c r="P105" s="227"/>
      <c r="Q105" s="226"/>
      <c r="R105" s="227"/>
      <c r="S105" s="202">
        <v>3.39</v>
      </c>
      <c r="T105" s="199"/>
      <c r="U105" s="226"/>
      <c r="V105" s="227"/>
      <c r="W105" s="223">
        <f t="shared" si="10"/>
        <v>0.06</v>
      </c>
      <c r="X105" s="224"/>
      <c r="Y105" s="225"/>
      <c r="Z105" s="203">
        <f t="shared" si="11"/>
        <v>0.2034</v>
      </c>
      <c r="AA105" s="204"/>
      <c r="AB105" s="205"/>
      <c r="AC105" s="51"/>
      <c r="AD105" s="52"/>
      <c r="AE105" s="53"/>
      <c r="AF105" s="51"/>
      <c r="AG105" s="52"/>
      <c r="AH105" s="54"/>
    </row>
    <row r="106" spans="1:35" ht="15.75" x14ac:dyDescent="0.25">
      <c r="A106" s="197"/>
      <c r="B106" s="198"/>
      <c r="C106" s="199"/>
      <c r="D106" s="218" t="s">
        <v>763</v>
      </c>
      <c r="E106" s="219"/>
      <c r="F106" s="219"/>
      <c r="G106" s="219"/>
      <c r="H106" s="219"/>
      <c r="I106" s="219"/>
      <c r="J106" s="63"/>
      <c r="K106" s="226">
        <v>0.2</v>
      </c>
      <c r="L106" s="227"/>
      <c r="M106" s="226"/>
      <c r="N106" s="227"/>
      <c r="O106" s="226">
        <v>0.3</v>
      </c>
      <c r="P106" s="227"/>
      <c r="Q106" s="226"/>
      <c r="R106" s="227"/>
      <c r="S106" s="202">
        <v>3.26</v>
      </c>
      <c r="T106" s="199"/>
      <c r="U106" s="226"/>
      <c r="V106" s="227"/>
      <c r="W106" s="223">
        <f t="shared" si="10"/>
        <v>0.06</v>
      </c>
      <c r="X106" s="224"/>
      <c r="Y106" s="225"/>
      <c r="Z106" s="203">
        <f t="shared" si="11"/>
        <v>0.19559999999999997</v>
      </c>
      <c r="AA106" s="204"/>
      <c r="AB106" s="205"/>
      <c r="AC106" s="51"/>
      <c r="AD106" s="52"/>
      <c r="AE106" s="53"/>
      <c r="AF106" s="51"/>
      <c r="AG106" s="52"/>
      <c r="AH106" s="54"/>
    </row>
    <row r="107" spans="1:35" ht="15.75" x14ac:dyDescent="0.25">
      <c r="A107" s="197"/>
      <c r="B107" s="198"/>
      <c r="C107" s="199"/>
      <c r="D107" s="218" t="s">
        <v>764</v>
      </c>
      <c r="E107" s="219"/>
      <c r="F107" s="219"/>
      <c r="G107" s="219"/>
      <c r="H107" s="219"/>
      <c r="I107" s="219"/>
      <c r="J107" s="63"/>
      <c r="K107" s="226">
        <v>0.15</v>
      </c>
      <c r="L107" s="227"/>
      <c r="M107" s="226"/>
      <c r="N107" s="227"/>
      <c r="O107" s="226">
        <v>0.3</v>
      </c>
      <c r="P107" s="227"/>
      <c r="Q107" s="226"/>
      <c r="R107" s="227"/>
      <c r="S107" s="202">
        <v>6.4</v>
      </c>
      <c r="T107" s="199"/>
      <c r="U107" s="202"/>
      <c r="V107" s="199"/>
      <c r="W107" s="223">
        <f t="shared" si="10"/>
        <v>4.4999999999999998E-2</v>
      </c>
      <c r="X107" s="224"/>
      <c r="Y107" s="225"/>
      <c r="Z107" s="203">
        <f t="shared" si="11"/>
        <v>0.28799999999999998</v>
      </c>
      <c r="AA107" s="204"/>
      <c r="AB107" s="205"/>
      <c r="AC107" s="51"/>
      <c r="AD107" s="52"/>
      <c r="AE107" s="53"/>
      <c r="AF107" s="51"/>
      <c r="AG107" s="52"/>
      <c r="AH107" s="54"/>
    </row>
    <row r="108" spans="1:35" ht="15.75" x14ac:dyDescent="0.25">
      <c r="A108" s="197"/>
      <c r="B108" s="198"/>
      <c r="C108" s="199"/>
      <c r="D108" s="218" t="s">
        <v>765</v>
      </c>
      <c r="E108" s="219"/>
      <c r="F108" s="219"/>
      <c r="G108" s="219"/>
      <c r="H108" s="219"/>
      <c r="I108" s="219"/>
      <c r="J108" s="63"/>
      <c r="K108" s="226">
        <v>0.15</v>
      </c>
      <c r="L108" s="227"/>
      <c r="M108" s="226"/>
      <c r="N108" s="227"/>
      <c r="O108" s="226">
        <v>0.3</v>
      </c>
      <c r="P108" s="227"/>
      <c r="Q108" s="226"/>
      <c r="R108" s="227"/>
      <c r="S108" s="202">
        <v>2.04</v>
      </c>
      <c r="T108" s="199"/>
      <c r="U108" s="226"/>
      <c r="V108" s="227"/>
      <c r="W108" s="223">
        <f t="shared" si="10"/>
        <v>4.4999999999999998E-2</v>
      </c>
      <c r="X108" s="224"/>
      <c r="Y108" s="225"/>
      <c r="Z108" s="203">
        <f t="shared" si="11"/>
        <v>9.1799999999999993E-2</v>
      </c>
      <c r="AA108" s="204"/>
      <c r="AB108" s="205"/>
      <c r="AC108" s="51"/>
      <c r="AD108" s="52"/>
      <c r="AE108" s="53"/>
      <c r="AF108" s="51"/>
      <c r="AG108" s="52"/>
      <c r="AH108" s="54"/>
    </row>
    <row r="109" spans="1:35" ht="15.75" x14ac:dyDescent="0.25">
      <c r="A109" s="197"/>
      <c r="B109" s="198"/>
      <c r="C109" s="199"/>
      <c r="D109" s="218" t="s">
        <v>766</v>
      </c>
      <c r="E109" s="219"/>
      <c r="F109" s="219"/>
      <c r="G109" s="219"/>
      <c r="H109" s="219"/>
      <c r="I109" s="219"/>
      <c r="J109" s="63"/>
      <c r="K109" s="226">
        <v>0.15</v>
      </c>
      <c r="L109" s="227"/>
      <c r="M109" s="226"/>
      <c r="N109" s="227"/>
      <c r="O109" s="226">
        <v>0.3</v>
      </c>
      <c r="P109" s="227"/>
      <c r="Q109" s="226"/>
      <c r="R109" s="227"/>
      <c r="S109" s="202">
        <f>11.89+12+12+3.74</f>
        <v>39.630000000000003</v>
      </c>
      <c r="T109" s="199"/>
      <c r="U109" s="226"/>
      <c r="V109" s="227"/>
      <c r="W109" s="223">
        <f t="shared" si="10"/>
        <v>4.4999999999999998E-2</v>
      </c>
      <c r="X109" s="224"/>
      <c r="Y109" s="225"/>
      <c r="Z109" s="203">
        <f t="shared" si="11"/>
        <v>1.78335</v>
      </c>
      <c r="AA109" s="204"/>
      <c r="AB109" s="205"/>
      <c r="AC109" s="51"/>
      <c r="AD109" s="52"/>
      <c r="AE109" s="53"/>
      <c r="AF109" s="51"/>
      <c r="AG109" s="52"/>
      <c r="AH109" s="54"/>
    </row>
    <row r="110" spans="1:35" ht="15.75" x14ac:dyDescent="0.25">
      <c r="A110" s="197"/>
      <c r="B110" s="198"/>
      <c r="C110" s="199"/>
      <c r="D110" s="218" t="s">
        <v>767</v>
      </c>
      <c r="E110" s="219"/>
      <c r="F110" s="219"/>
      <c r="G110" s="219"/>
      <c r="H110" s="219"/>
      <c r="I110" s="219"/>
      <c r="J110" s="63"/>
      <c r="K110" s="226">
        <v>0.15</v>
      </c>
      <c r="L110" s="227"/>
      <c r="M110" s="226"/>
      <c r="N110" s="227"/>
      <c r="O110" s="226">
        <v>0.3</v>
      </c>
      <c r="P110" s="227"/>
      <c r="Q110" s="226"/>
      <c r="R110" s="227"/>
      <c r="S110" s="202">
        <v>6.4</v>
      </c>
      <c r="T110" s="199"/>
      <c r="U110" s="226"/>
      <c r="V110" s="227"/>
      <c r="W110" s="223">
        <f t="shared" si="10"/>
        <v>4.4999999999999998E-2</v>
      </c>
      <c r="X110" s="224"/>
      <c r="Y110" s="225"/>
      <c r="Z110" s="203">
        <f t="shared" si="11"/>
        <v>0.28799999999999998</v>
      </c>
      <c r="AA110" s="204"/>
      <c r="AB110" s="205"/>
      <c r="AC110" s="51"/>
      <c r="AD110" s="52"/>
      <c r="AE110" s="53"/>
      <c r="AF110" s="51"/>
      <c r="AG110" s="52"/>
      <c r="AH110" s="54"/>
    </row>
    <row r="111" spans="1:35" ht="15.75" x14ac:dyDescent="0.25">
      <c r="A111" s="197"/>
      <c r="B111" s="198"/>
      <c r="C111" s="199"/>
      <c r="D111" s="218" t="s">
        <v>768</v>
      </c>
      <c r="E111" s="219"/>
      <c r="F111" s="219"/>
      <c r="G111" s="219"/>
      <c r="H111" s="219"/>
      <c r="I111" s="219"/>
      <c r="J111" s="63"/>
      <c r="K111" s="226">
        <v>0.15</v>
      </c>
      <c r="L111" s="227"/>
      <c r="M111" s="226"/>
      <c r="N111" s="227"/>
      <c r="O111" s="226">
        <v>0.3</v>
      </c>
      <c r="P111" s="227"/>
      <c r="Q111" s="226"/>
      <c r="R111" s="227"/>
      <c r="S111" s="202">
        <v>1.7</v>
      </c>
      <c r="T111" s="199"/>
      <c r="U111" s="226"/>
      <c r="V111" s="227"/>
      <c r="W111" s="223">
        <f t="shared" si="10"/>
        <v>4.4999999999999998E-2</v>
      </c>
      <c r="X111" s="224"/>
      <c r="Y111" s="225"/>
      <c r="Z111" s="203">
        <f t="shared" si="11"/>
        <v>7.6499999999999999E-2</v>
      </c>
      <c r="AA111" s="204"/>
      <c r="AB111" s="205"/>
      <c r="AC111" s="51"/>
      <c r="AD111" s="52"/>
      <c r="AE111" s="53"/>
      <c r="AF111" s="51"/>
      <c r="AG111" s="52"/>
      <c r="AH111" s="54"/>
    </row>
    <row r="112" spans="1:35" ht="15.75" x14ac:dyDescent="0.25">
      <c r="A112" s="197"/>
      <c r="B112" s="198"/>
      <c r="C112" s="199"/>
      <c r="D112" s="218" t="s">
        <v>769</v>
      </c>
      <c r="E112" s="219"/>
      <c r="F112" s="219"/>
      <c r="G112" s="219"/>
      <c r="H112" s="219"/>
      <c r="I112" s="219"/>
      <c r="J112" s="63"/>
      <c r="K112" s="226">
        <v>0.15</v>
      </c>
      <c r="L112" s="227"/>
      <c r="M112" s="226"/>
      <c r="N112" s="227"/>
      <c r="O112" s="226">
        <v>0.3</v>
      </c>
      <c r="P112" s="227"/>
      <c r="Q112" s="226"/>
      <c r="R112" s="227"/>
      <c r="S112" s="202">
        <f>11.81+8.84+12+6.85</f>
        <v>39.5</v>
      </c>
      <c r="T112" s="199"/>
      <c r="U112" s="226"/>
      <c r="V112" s="227"/>
      <c r="W112" s="223">
        <f t="shared" si="10"/>
        <v>4.4999999999999998E-2</v>
      </c>
      <c r="X112" s="224"/>
      <c r="Y112" s="225"/>
      <c r="Z112" s="203">
        <f t="shared" si="11"/>
        <v>1.7774999999999999</v>
      </c>
      <c r="AA112" s="204"/>
      <c r="AB112" s="205"/>
      <c r="AC112" s="51"/>
      <c r="AD112" s="52"/>
      <c r="AE112" s="53"/>
      <c r="AF112" s="51"/>
      <c r="AG112" s="52"/>
      <c r="AH112" s="54"/>
    </row>
    <row r="113" spans="1:34" ht="15.75" x14ac:dyDescent="0.25">
      <c r="A113" s="197"/>
      <c r="B113" s="198"/>
      <c r="C113" s="199"/>
      <c r="D113" s="218" t="s">
        <v>770</v>
      </c>
      <c r="E113" s="219"/>
      <c r="F113" s="219"/>
      <c r="G113" s="219"/>
      <c r="H113" s="219"/>
      <c r="I113" s="219"/>
      <c r="J113" s="63"/>
      <c r="K113" s="226">
        <v>0.15</v>
      </c>
      <c r="L113" s="227"/>
      <c r="M113" s="226"/>
      <c r="N113" s="227"/>
      <c r="O113" s="226">
        <v>0.3</v>
      </c>
      <c r="P113" s="227"/>
      <c r="Q113" s="226"/>
      <c r="R113" s="227"/>
      <c r="S113" s="202">
        <v>4.24</v>
      </c>
      <c r="T113" s="199"/>
      <c r="U113" s="226"/>
      <c r="V113" s="227"/>
      <c r="W113" s="223">
        <f t="shared" si="10"/>
        <v>4.4999999999999998E-2</v>
      </c>
      <c r="X113" s="224"/>
      <c r="Y113" s="225"/>
      <c r="Z113" s="203">
        <f t="shared" si="11"/>
        <v>0.1908</v>
      </c>
      <c r="AA113" s="204"/>
      <c r="AB113" s="205"/>
      <c r="AC113" s="51"/>
      <c r="AD113" s="52"/>
      <c r="AE113" s="53"/>
      <c r="AF113" s="51"/>
      <c r="AG113" s="52"/>
      <c r="AH113" s="54"/>
    </row>
    <row r="114" spans="1:34" ht="15.75" x14ac:dyDescent="0.25">
      <c r="A114" s="197"/>
      <c r="B114" s="198"/>
      <c r="C114" s="199"/>
      <c r="D114" s="218" t="s">
        <v>771</v>
      </c>
      <c r="E114" s="219"/>
      <c r="F114" s="219"/>
      <c r="G114" s="219"/>
      <c r="H114" s="219"/>
      <c r="I114" s="219"/>
      <c r="J114" s="63"/>
      <c r="K114" s="226">
        <v>0.15</v>
      </c>
      <c r="L114" s="227"/>
      <c r="M114" s="226"/>
      <c r="N114" s="227"/>
      <c r="O114" s="226">
        <v>0.3</v>
      </c>
      <c r="P114" s="227"/>
      <c r="Q114" s="226"/>
      <c r="R114" s="227"/>
      <c r="S114" s="202">
        <v>5.64</v>
      </c>
      <c r="T114" s="199"/>
      <c r="U114" s="226"/>
      <c r="V114" s="227"/>
      <c r="W114" s="223">
        <f t="shared" si="10"/>
        <v>4.4999999999999998E-2</v>
      </c>
      <c r="X114" s="224"/>
      <c r="Y114" s="225"/>
      <c r="Z114" s="203">
        <f t="shared" si="11"/>
        <v>0.25379999999999997</v>
      </c>
      <c r="AA114" s="204"/>
      <c r="AB114" s="205"/>
      <c r="AC114" s="51"/>
      <c r="AD114" s="52"/>
      <c r="AE114" s="53"/>
      <c r="AF114" s="51"/>
      <c r="AG114" s="52"/>
      <c r="AH114" s="54"/>
    </row>
    <row r="115" spans="1:34" ht="15.75" x14ac:dyDescent="0.25">
      <c r="A115" s="197"/>
      <c r="B115" s="198"/>
      <c r="C115" s="199"/>
      <c r="D115" s="218" t="s">
        <v>772</v>
      </c>
      <c r="E115" s="219"/>
      <c r="F115" s="219"/>
      <c r="G115" s="219"/>
      <c r="H115" s="219"/>
      <c r="I115" s="219"/>
      <c r="J115" s="63"/>
      <c r="K115" s="202">
        <v>0.2</v>
      </c>
      <c r="L115" s="199"/>
      <c r="M115" s="202"/>
      <c r="N115" s="199"/>
      <c r="O115" s="226">
        <v>0.3</v>
      </c>
      <c r="P115" s="227"/>
      <c r="Q115" s="202"/>
      <c r="R115" s="199"/>
      <c r="S115" s="202">
        <f>11.81+9.24+12+6.41</f>
        <v>39.459999999999994</v>
      </c>
      <c r="T115" s="199"/>
      <c r="U115" s="202"/>
      <c r="V115" s="199"/>
      <c r="W115" s="223">
        <f t="shared" si="10"/>
        <v>0.06</v>
      </c>
      <c r="X115" s="224"/>
      <c r="Y115" s="225"/>
      <c r="Z115" s="203">
        <f t="shared" si="11"/>
        <v>2.3675999999999995</v>
      </c>
      <c r="AA115" s="204"/>
      <c r="AB115" s="205"/>
      <c r="AC115" s="51"/>
      <c r="AD115" s="52"/>
      <c r="AE115" s="53"/>
      <c r="AF115" s="51"/>
      <c r="AG115" s="52"/>
      <c r="AH115" s="54"/>
    </row>
    <row r="116" spans="1:34" ht="15.75" x14ac:dyDescent="0.25">
      <c r="A116" s="197"/>
      <c r="B116" s="198"/>
      <c r="C116" s="199"/>
      <c r="D116" s="220" t="s">
        <v>773</v>
      </c>
      <c r="E116" s="221"/>
      <c r="F116" s="221"/>
      <c r="G116" s="221"/>
      <c r="H116" s="221"/>
      <c r="I116" s="222"/>
      <c r="J116" s="63"/>
      <c r="K116" s="226">
        <v>0.15</v>
      </c>
      <c r="L116" s="227"/>
      <c r="M116" s="226"/>
      <c r="N116" s="227"/>
      <c r="O116" s="226">
        <v>0.3</v>
      </c>
      <c r="P116" s="227"/>
      <c r="Q116" s="226"/>
      <c r="R116" s="227"/>
      <c r="S116" s="202">
        <f>10.61</f>
        <v>10.61</v>
      </c>
      <c r="T116" s="199"/>
      <c r="U116" s="226"/>
      <c r="V116" s="227"/>
      <c r="W116" s="223">
        <f t="shared" si="10"/>
        <v>4.4999999999999998E-2</v>
      </c>
      <c r="X116" s="224"/>
      <c r="Y116" s="225"/>
      <c r="Z116" s="203">
        <f t="shared" si="11"/>
        <v>0.47744999999999993</v>
      </c>
      <c r="AA116" s="204"/>
      <c r="AB116" s="205"/>
      <c r="AC116" s="51"/>
      <c r="AD116" s="52"/>
      <c r="AE116" s="53"/>
      <c r="AF116" s="51"/>
      <c r="AG116" s="52"/>
      <c r="AH116" s="54"/>
    </row>
    <row r="117" spans="1:34" ht="15.75" x14ac:dyDescent="0.25">
      <c r="A117" s="197"/>
      <c r="B117" s="198"/>
      <c r="C117" s="199"/>
      <c r="D117" s="220" t="s">
        <v>774</v>
      </c>
      <c r="E117" s="221"/>
      <c r="F117" s="221"/>
      <c r="G117" s="221"/>
      <c r="H117" s="221"/>
      <c r="I117" s="222"/>
      <c r="J117" s="63"/>
      <c r="K117" s="226">
        <v>0.15</v>
      </c>
      <c r="L117" s="227"/>
      <c r="M117" s="226"/>
      <c r="N117" s="227"/>
      <c r="O117" s="226">
        <v>0.3</v>
      </c>
      <c r="P117" s="227"/>
      <c r="Q117" s="226"/>
      <c r="R117" s="227"/>
      <c r="S117" s="202">
        <f>11.89+12+12+3.96</f>
        <v>39.85</v>
      </c>
      <c r="T117" s="199"/>
      <c r="U117" s="226"/>
      <c r="V117" s="227"/>
      <c r="W117" s="223">
        <f t="shared" si="10"/>
        <v>4.4999999999999998E-2</v>
      </c>
      <c r="X117" s="224"/>
      <c r="Y117" s="225"/>
      <c r="Z117" s="203">
        <f t="shared" si="11"/>
        <v>1.79325</v>
      </c>
      <c r="AA117" s="204"/>
      <c r="AB117" s="205"/>
      <c r="AC117" s="51"/>
      <c r="AD117" s="52"/>
      <c r="AE117" s="53"/>
      <c r="AF117" s="51"/>
      <c r="AG117" s="52"/>
      <c r="AH117" s="54"/>
    </row>
    <row r="118" spans="1:34" ht="15.75" x14ac:dyDescent="0.25">
      <c r="A118" s="197"/>
      <c r="B118" s="198"/>
      <c r="C118" s="199"/>
      <c r="D118" s="220" t="s">
        <v>775</v>
      </c>
      <c r="E118" s="221"/>
      <c r="F118" s="221"/>
      <c r="G118" s="221"/>
      <c r="H118" s="221"/>
      <c r="I118" s="222"/>
      <c r="J118" s="63"/>
      <c r="K118" s="226">
        <v>0.15</v>
      </c>
      <c r="L118" s="227"/>
      <c r="M118" s="226"/>
      <c r="N118" s="227"/>
      <c r="O118" s="226">
        <v>0.3</v>
      </c>
      <c r="P118" s="227"/>
      <c r="Q118" s="226"/>
      <c r="R118" s="227"/>
      <c r="S118" s="202">
        <v>10.62</v>
      </c>
      <c r="T118" s="199"/>
      <c r="U118" s="226"/>
      <c r="V118" s="227"/>
      <c r="W118" s="223">
        <f t="shared" si="10"/>
        <v>4.4999999999999998E-2</v>
      </c>
      <c r="X118" s="224"/>
      <c r="Y118" s="225"/>
      <c r="Z118" s="203">
        <f t="shared" si="11"/>
        <v>0.47789999999999994</v>
      </c>
      <c r="AA118" s="204"/>
      <c r="AB118" s="205"/>
      <c r="AC118" s="51"/>
      <c r="AD118" s="52"/>
      <c r="AE118" s="53"/>
      <c r="AF118" s="51"/>
      <c r="AG118" s="52"/>
      <c r="AH118" s="54"/>
    </row>
    <row r="119" spans="1:34" ht="15.75" x14ac:dyDescent="0.25">
      <c r="A119" s="197"/>
      <c r="B119" s="198"/>
      <c r="C119" s="199"/>
      <c r="D119" s="220" t="s">
        <v>776</v>
      </c>
      <c r="E119" s="221"/>
      <c r="F119" s="221"/>
      <c r="G119" s="221"/>
      <c r="H119" s="221"/>
      <c r="I119" s="222"/>
      <c r="J119" s="63"/>
      <c r="K119" s="226">
        <v>0.15</v>
      </c>
      <c r="L119" s="227"/>
      <c r="M119" s="226"/>
      <c r="N119" s="227"/>
      <c r="O119" s="226">
        <v>0.3</v>
      </c>
      <c r="P119" s="227"/>
      <c r="Q119" s="226"/>
      <c r="R119" s="227"/>
      <c r="S119" s="202">
        <f>12+7.43</f>
        <v>19.43</v>
      </c>
      <c r="T119" s="199"/>
      <c r="U119" s="226"/>
      <c r="V119" s="227"/>
      <c r="W119" s="223">
        <f t="shared" si="10"/>
        <v>4.4999999999999998E-2</v>
      </c>
      <c r="X119" s="224"/>
      <c r="Y119" s="225"/>
      <c r="Z119" s="203">
        <f t="shared" si="11"/>
        <v>0.87434999999999996</v>
      </c>
      <c r="AA119" s="204"/>
      <c r="AB119" s="205"/>
      <c r="AC119" s="51"/>
      <c r="AD119" s="52"/>
      <c r="AE119" s="53"/>
      <c r="AF119" s="51"/>
      <c r="AG119" s="52"/>
      <c r="AH119" s="54"/>
    </row>
    <row r="120" spans="1:34" ht="15.75" x14ac:dyDescent="0.25">
      <c r="A120" s="197"/>
      <c r="B120" s="198"/>
      <c r="C120" s="199"/>
      <c r="D120" s="220" t="s">
        <v>777</v>
      </c>
      <c r="E120" s="221"/>
      <c r="F120" s="221"/>
      <c r="G120" s="221"/>
      <c r="H120" s="221"/>
      <c r="I120" s="222"/>
      <c r="J120" s="63"/>
      <c r="K120" s="226">
        <v>0.15</v>
      </c>
      <c r="L120" s="227"/>
      <c r="M120" s="226"/>
      <c r="N120" s="227"/>
      <c r="O120" s="226">
        <v>0.3</v>
      </c>
      <c r="P120" s="227"/>
      <c r="Q120" s="226"/>
      <c r="R120" s="227"/>
      <c r="S120" s="202">
        <f>12+12+8.05</f>
        <v>32.049999999999997</v>
      </c>
      <c r="T120" s="199"/>
      <c r="U120" s="226"/>
      <c r="V120" s="227"/>
      <c r="W120" s="223">
        <f t="shared" si="10"/>
        <v>4.4999999999999998E-2</v>
      </c>
      <c r="X120" s="224"/>
      <c r="Y120" s="225"/>
      <c r="Z120" s="203">
        <f t="shared" si="11"/>
        <v>1.4422499999999998</v>
      </c>
      <c r="AA120" s="204"/>
      <c r="AB120" s="205"/>
      <c r="AC120" s="51"/>
      <c r="AD120" s="52"/>
      <c r="AE120" s="53"/>
      <c r="AF120" s="51"/>
      <c r="AG120" s="52"/>
      <c r="AH120" s="54"/>
    </row>
    <row r="121" spans="1:34" ht="15.75" x14ac:dyDescent="0.25">
      <c r="A121" s="197"/>
      <c r="B121" s="198"/>
      <c r="C121" s="199"/>
      <c r="D121" s="220" t="s">
        <v>778</v>
      </c>
      <c r="E121" s="221"/>
      <c r="F121" s="221"/>
      <c r="G121" s="221"/>
      <c r="H121" s="221"/>
      <c r="I121" s="222"/>
      <c r="J121" s="63"/>
      <c r="K121" s="226">
        <v>0.15</v>
      </c>
      <c r="L121" s="227"/>
      <c r="M121" s="226"/>
      <c r="N121" s="227"/>
      <c r="O121" s="226">
        <v>0.3</v>
      </c>
      <c r="P121" s="227"/>
      <c r="Q121" s="226"/>
      <c r="R121" s="227"/>
      <c r="S121" s="202">
        <f>12+7.24</f>
        <v>19.240000000000002</v>
      </c>
      <c r="T121" s="199"/>
      <c r="U121" s="226"/>
      <c r="V121" s="227"/>
      <c r="W121" s="223">
        <f t="shared" si="10"/>
        <v>4.4999999999999998E-2</v>
      </c>
      <c r="X121" s="224"/>
      <c r="Y121" s="225"/>
      <c r="Z121" s="203">
        <f t="shared" si="11"/>
        <v>0.86580000000000001</v>
      </c>
      <c r="AA121" s="204"/>
      <c r="AB121" s="205"/>
      <c r="AC121" s="51"/>
      <c r="AD121" s="52"/>
      <c r="AE121" s="53"/>
      <c r="AF121" s="51"/>
      <c r="AG121" s="52"/>
      <c r="AH121" s="54"/>
    </row>
    <row r="122" spans="1:34" ht="15.75" x14ac:dyDescent="0.25">
      <c r="A122" s="197"/>
      <c r="B122" s="198"/>
      <c r="C122" s="199"/>
      <c r="D122" s="220" t="s">
        <v>779</v>
      </c>
      <c r="E122" s="221"/>
      <c r="F122" s="221"/>
      <c r="G122" s="221"/>
      <c r="H122" s="221"/>
      <c r="I122" s="222"/>
      <c r="J122" s="63"/>
      <c r="K122" s="226">
        <v>0.15</v>
      </c>
      <c r="L122" s="227"/>
      <c r="M122" s="226"/>
      <c r="N122" s="227"/>
      <c r="O122" s="226">
        <v>0.3</v>
      </c>
      <c r="P122" s="227"/>
      <c r="Q122" s="226"/>
      <c r="R122" s="227"/>
      <c r="S122" s="202">
        <f>12+12+8.27</f>
        <v>32.269999999999996</v>
      </c>
      <c r="T122" s="199"/>
      <c r="U122" s="226"/>
      <c r="V122" s="227"/>
      <c r="W122" s="223">
        <f t="shared" si="10"/>
        <v>4.4999999999999998E-2</v>
      </c>
      <c r="X122" s="224"/>
      <c r="Y122" s="225"/>
      <c r="Z122" s="203">
        <f t="shared" si="11"/>
        <v>1.4521499999999998</v>
      </c>
      <c r="AA122" s="204"/>
      <c r="AB122" s="205"/>
      <c r="AC122" s="51"/>
      <c r="AD122" s="52"/>
      <c r="AE122" s="53"/>
      <c r="AF122" s="51"/>
      <c r="AG122" s="52"/>
      <c r="AH122" s="54"/>
    </row>
    <row r="123" spans="1:34" ht="15.75" x14ac:dyDescent="0.25">
      <c r="A123" s="197"/>
      <c r="B123" s="198"/>
      <c r="C123" s="199"/>
      <c r="D123" s="220" t="s">
        <v>780</v>
      </c>
      <c r="E123" s="221"/>
      <c r="F123" s="221"/>
      <c r="G123" s="221"/>
      <c r="H123" s="221"/>
      <c r="I123" s="222"/>
      <c r="J123" s="63"/>
      <c r="K123" s="202">
        <v>0.15</v>
      </c>
      <c r="L123" s="199"/>
      <c r="M123" s="202"/>
      <c r="N123" s="199"/>
      <c r="O123" s="226">
        <v>0.4</v>
      </c>
      <c r="P123" s="227"/>
      <c r="Q123" s="202"/>
      <c r="R123" s="199"/>
      <c r="S123" s="202">
        <f>9.74</f>
        <v>9.74</v>
      </c>
      <c r="T123" s="199"/>
      <c r="U123" s="202"/>
      <c r="V123" s="199"/>
      <c r="W123" s="223">
        <f t="shared" si="10"/>
        <v>0.06</v>
      </c>
      <c r="X123" s="224"/>
      <c r="Y123" s="225"/>
      <c r="Z123" s="203">
        <f t="shared" si="11"/>
        <v>0.58440000000000003</v>
      </c>
      <c r="AA123" s="204"/>
      <c r="AB123" s="205"/>
      <c r="AC123" s="51"/>
      <c r="AD123" s="52"/>
      <c r="AE123" s="53"/>
      <c r="AF123" s="51"/>
      <c r="AG123" s="52"/>
      <c r="AH123" s="54"/>
    </row>
    <row r="124" spans="1:34" ht="15.75" x14ac:dyDescent="0.25">
      <c r="A124" s="197"/>
      <c r="B124" s="198"/>
      <c r="C124" s="199"/>
      <c r="D124" s="220" t="s">
        <v>781</v>
      </c>
      <c r="E124" s="221"/>
      <c r="F124" s="221"/>
      <c r="G124" s="221"/>
      <c r="H124" s="221"/>
      <c r="I124" s="222"/>
      <c r="J124" s="63"/>
      <c r="K124" s="226">
        <v>0.2</v>
      </c>
      <c r="L124" s="227"/>
      <c r="M124" s="226"/>
      <c r="N124" s="227"/>
      <c r="O124" s="226">
        <v>0.4</v>
      </c>
      <c r="P124" s="227"/>
      <c r="Q124" s="226"/>
      <c r="R124" s="227"/>
      <c r="S124" s="202">
        <v>1.7</v>
      </c>
      <c r="T124" s="199"/>
      <c r="U124" s="226"/>
      <c r="V124" s="227"/>
      <c r="W124" s="223">
        <f t="shared" si="10"/>
        <v>8.0000000000000016E-2</v>
      </c>
      <c r="X124" s="224"/>
      <c r="Y124" s="225"/>
      <c r="Z124" s="203">
        <f t="shared" si="11"/>
        <v>0.13600000000000001</v>
      </c>
      <c r="AA124" s="204"/>
      <c r="AB124" s="205"/>
      <c r="AC124" s="51"/>
      <c r="AD124" s="52"/>
      <c r="AE124" s="53"/>
      <c r="AF124" s="51"/>
      <c r="AG124" s="52"/>
      <c r="AH124" s="54"/>
    </row>
    <row r="125" spans="1:34" ht="15.75" x14ac:dyDescent="0.25">
      <c r="A125" s="197"/>
      <c r="B125" s="198"/>
      <c r="C125" s="199"/>
      <c r="D125" s="220" t="s">
        <v>782</v>
      </c>
      <c r="E125" s="221"/>
      <c r="F125" s="221"/>
      <c r="G125" s="221"/>
      <c r="H125" s="221"/>
      <c r="I125" s="222"/>
      <c r="J125" s="63"/>
      <c r="K125" s="226">
        <v>0.15</v>
      </c>
      <c r="L125" s="227"/>
      <c r="M125" s="226"/>
      <c r="N125" s="227"/>
      <c r="O125" s="226">
        <v>0.3</v>
      </c>
      <c r="P125" s="227"/>
      <c r="Q125" s="226"/>
      <c r="R125" s="227"/>
      <c r="S125" s="202">
        <v>10.61</v>
      </c>
      <c r="T125" s="199"/>
      <c r="U125" s="226"/>
      <c r="V125" s="227"/>
      <c r="W125" s="223">
        <f t="shared" si="10"/>
        <v>4.4999999999999998E-2</v>
      </c>
      <c r="X125" s="224"/>
      <c r="Y125" s="225"/>
      <c r="Z125" s="203">
        <f t="shared" si="11"/>
        <v>0.47744999999999993</v>
      </c>
      <c r="AA125" s="204"/>
      <c r="AB125" s="205"/>
      <c r="AC125" s="51"/>
      <c r="AD125" s="52"/>
      <c r="AE125" s="53"/>
      <c r="AF125" s="51"/>
      <c r="AG125" s="52"/>
      <c r="AH125" s="54"/>
    </row>
    <row r="126" spans="1:34" ht="15.75" x14ac:dyDescent="0.25">
      <c r="A126" s="197"/>
      <c r="B126" s="198"/>
      <c r="C126" s="199"/>
      <c r="D126" s="220" t="s">
        <v>783</v>
      </c>
      <c r="E126" s="221"/>
      <c r="F126" s="221"/>
      <c r="G126" s="221"/>
      <c r="H126" s="221"/>
      <c r="I126" s="222"/>
      <c r="J126" s="63"/>
      <c r="K126" s="226">
        <v>0.15</v>
      </c>
      <c r="L126" s="227"/>
      <c r="M126" s="226"/>
      <c r="N126" s="227"/>
      <c r="O126" s="226">
        <v>0.3</v>
      </c>
      <c r="P126" s="227"/>
      <c r="Q126" s="226"/>
      <c r="R126" s="227"/>
      <c r="S126" s="202">
        <f>12+7.53</f>
        <v>19.53</v>
      </c>
      <c r="T126" s="199"/>
      <c r="U126" s="226"/>
      <c r="V126" s="227"/>
      <c r="W126" s="223">
        <f t="shared" si="10"/>
        <v>4.4999999999999998E-2</v>
      </c>
      <c r="X126" s="224"/>
      <c r="Y126" s="225"/>
      <c r="Z126" s="203">
        <f t="shared" si="11"/>
        <v>0.87885000000000002</v>
      </c>
      <c r="AA126" s="204"/>
      <c r="AB126" s="205"/>
      <c r="AC126" s="51"/>
      <c r="AD126" s="52"/>
      <c r="AE126" s="53"/>
      <c r="AF126" s="51"/>
      <c r="AG126" s="52"/>
      <c r="AH126" s="54"/>
    </row>
    <row r="127" spans="1:34" ht="15.75" x14ac:dyDescent="0.25">
      <c r="A127" s="197"/>
      <c r="B127" s="198"/>
      <c r="C127" s="199"/>
      <c r="D127" s="220" t="s">
        <v>784</v>
      </c>
      <c r="E127" s="221"/>
      <c r="F127" s="221"/>
      <c r="G127" s="221"/>
      <c r="H127" s="221"/>
      <c r="I127" s="222"/>
      <c r="J127" s="63"/>
      <c r="K127" s="226">
        <v>0.15</v>
      </c>
      <c r="L127" s="227"/>
      <c r="M127" s="226"/>
      <c r="N127" s="227"/>
      <c r="O127" s="226">
        <v>0.3</v>
      </c>
      <c r="P127" s="227"/>
      <c r="Q127" s="226"/>
      <c r="R127" s="227"/>
      <c r="S127" s="202">
        <f>12+12+8.39</f>
        <v>32.39</v>
      </c>
      <c r="T127" s="199"/>
      <c r="U127" s="226"/>
      <c r="V127" s="227"/>
      <c r="W127" s="223">
        <f t="shared" si="10"/>
        <v>4.4999999999999998E-2</v>
      </c>
      <c r="X127" s="224"/>
      <c r="Y127" s="225"/>
      <c r="Z127" s="203">
        <f t="shared" si="11"/>
        <v>1.4575499999999999</v>
      </c>
      <c r="AA127" s="204"/>
      <c r="AB127" s="205"/>
      <c r="AC127" s="51"/>
      <c r="AD127" s="52"/>
      <c r="AE127" s="53"/>
      <c r="AF127" s="51"/>
      <c r="AG127" s="52"/>
      <c r="AH127" s="54"/>
    </row>
    <row r="128" spans="1:34" ht="15.75" x14ac:dyDescent="0.25">
      <c r="A128" s="197"/>
      <c r="B128" s="198"/>
      <c r="C128" s="199"/>
      <c r="D128" s="220" t="s">
        <v>785</v>
      </c>
      <c r="E128" s="221"/>
      <c r="F128" s="221"/>
      <c r="G128" s="221"/>
      <c r="H128" s="221"/>
      <c r="I128" s="222"/>
      <c r="J128" s="63"/>
      <c r="K128" s="226">
        <v>0.15</v>
      </c>
      <c r="L128" s="227"/>
      <c r="M128" s="226"/>
      <c r="N128" s="227"/>
      <c r="O128" s="226">
        <v>0.3</v>
      </c>
      <c r="P128" s="227"/>
      <c r="Q128" s="226"/>
      <c r="R128" s="227"/>
      <c r="S128" s="202">
        <f>11.85+10.69+2.02</f>
        <v>24.56</v>
      </c>
      <c r="T128" s="199"/>
      <c r="U128" s="226"/>
      <c r="V128" s="227"/>
      <c r="W128" s="223">
        <f t="shared" si="10"/>
        <v>4.4999999999999998E-2</v>
      </c>
      <c r="X128" s="224"/>
      <c r="Y128" s="225"/>
      <c r="Z128" s="203">
        <f t="shared" si="11"/>
        <v>1.1052</v>
      </c>
      <c r="AA128" s="204"/>
      <c r="AB128" s="205"/>
      <c r="AC128" s="51"/>
      <c r="AD128" s="52"/>
      <c r="AE128" s="53"/>
      <c r="AF128" s="51"/>
      <c r="AG128" s="52"/>
      <c r="AH128" s="54"/>
    </row>
    <row r="129" spans="1:35" ht="15.75" x14ac:dyDescent="0.25">
      <c r="A129" s="189" t="str">
        <f>'MEMORIA BM 04'!A39</f>
        <v>5.7</v>
      </c>
      <c r="B129" s="190"/>
      <c r="C129" s="191"/>
      <c r="D129" s="228" t="str">
        <f>'MEMORIA BM 04'!B39</f>
        <v>LANÇAMENTO COM USO DE BOMBA, ADENSAMENTO E ACABAMENTO DE CONCRETO EM ESTRUTURAS. AF_12/2015</v>
      </c>
      <c r="E129" s="229"/>
      <c r="F129" s="229"/>
      <c r="G129" s="229"/>
      <c r="H129" s="229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30"/>
      <c r="AC129" s="195">
        <f>SUM(Z130:AB155)</f>
        <v>20.8111</v>
      </c>
      <c r="AD129" s="190"/>
      <c r="AE129" s="191"/>
      <c r="AF129" s="195" t="str">
        <f>'MEMORIA BM 04'!C39</f>
        <v>M3</v>
      </c>
      <c r="AG129" s="190"/>
      <c r="AH129" s="196"/>
      <c r="AI129">
        <v>20.81</v>
      </c>
    </row>
    <row r="130" spans="1:35" ht="15.75" x14ac:dyDescent="0.25">
      <c r="A130" s="197"/>
      <c r="B130" s="198"/>
      <c r="C130" s="199"/>
      <c r="D130" s="218" t="s">
        <v>760</v>
      </c>
      <c r="E130" s="219"/>
      <c r="F130" s="219"/>
      <c r="G130" s="219"/>
      <c r="H130" s="219"/>
      <c r="I130" s="219"/>
      <c r="J130" s="75"/>
      <c r="K130" s="226">
        <v>0.15</v>
      </c>
      <c r="L130" s="227"/>
      <c r="M130" s="226"/>
      <c r="N130" s="227"/>
      <c r="O130" s="226">
        <v>0.3</v>
      </c>
      <c r="P130" s="227"/>
      <c r="Q130" s="226"/>
      <c r="R130" s="227"/>
      <c r="S130" s="202">
        <f>11.89+11.86</f>
        <v>23.75</v>
      </c>
      <c r="T130" s="199"/>
      <c r="U130" s="226"/>
      <c r="V130" s="227"/>
      <c r="W130" s="203">
        <f>K130*O130</f>
        <v>4.4999999999999998E-2</v>
      </c>
      <c r="X130" s="204"/>
      <c r="Y130" s="205"/>
      <c r="Z130" s="203">
        <f>W130*S130</f>
        <v>1.0687499999999999</v>
      </c>
      <c r="AA130" s="204"/>
      <c r="AB130" s="205"/>
      <c r="AC130" s="51"/>
      <c r="AD130" s="52"/>
      <c r="AE130" s="53"/>
      <c r="AF130" s="51"/>
      <c r="AG130" s="52"/>
      <c r="AH130" s="54"/>
    </row>
    <row r="131" spans="1:35" ht="15.75" x14ac:dyDescent="0.25">
      <c r="A131" s="197"/>
      <c r="B131" s="198"/>
      <c r="C131" s="199"/>
      <c r="D131" s="218" t="s">
        <v>761</v>
      </c>
      <c r="E131" s="219"/>
      <c r="F131" s="219"/>
      <c r="G131" s="219"/>
      <c r="H131" s="219"/>
      <c r="I131" s="219"/>
      <c r="J131" s="75"/>
      <c r="K131" s="226">
        <v>0.2</v>
      </c>
      <c r="L131" s="227"/>
      <c r="M131" s="226"/>
      <c r="N131" s="227"/>
      <c r="O131" s="226">
        <v>0.3</v>
      </c>
      <c r="P131" s="227"/>
      <c r="Q131" s="226"/>
      <c r="R131" s="227"/>
      <c r="S131" s="202">
        <v>3.39</v>
      </c>
      <c r="T131" s="199"/>
      <c r="U131" s="226"/>
      <c r="V131" s="227"/>
      <c r="W131" s="223">
        <f t="shared" ref="W131:W155" si="12">K131*O131</f>
        <v>0.06</v>
      </c>
      <c r="X131" s="224"/>
      <c r="Y131" s="225"/>
      <c r="Z131" s="203">
        <f t="shared" ref="Z131:Z155" si="13">W131*S131</f>
        <v>0.2034</v>
      </c>
      <c r="AA131" s="204"/>
      <c r="AB131" s="205"/>
      <c r="AC131" s="51"/>
      <c r="AD131" s="52"/>
      <c r="AE131" s="53"/>
      <c r="AF131" s="51"/>
      <c r="AG131" s="52"/>
      <c r="AH131" s="54"/>
    </row>
    <row r="132" spans="1:35" ht="15.75" x14ac:dyDescent="0.25">
      <c r="A132" s="197"/>
      <c r="B132" s="198"/>
      <c r="C132" s="199"/>
      <c r="D132" s="218" t="s">
        <v>762</v>
      </c>
      <c r="E132" s="219"/>
      <c r="F132" s="219"/>
      <c r="G132" s="219"/>
      <c r="H132" s="219"/>
      <c r="I132" s="219"/>
      <c r="J132" s="75"/>
      <c r="K132" s="226">
        <v>0.2</v>
      </c>
      <c r="L132" s="227"/>
      <c r="M132" s="226"/>
      <c r="N132" s="227"/>
      <c r="O132" s="226">
        <v>0.3</v>
      </c>
      <c r="P132" s="227"/>
      <c r="Q132" s="226"/>
      <c r="R132" s="227"/>
      <c r="S132" s="202">
        <v>3.39</v>
      </c>
      <c r="T132" s="199"/>
      <c r="U132" s="226"/>
      <c r="V132" s="227"/>
      <c r="W132" s="223">
        <f t="shared" si="12"/>
        <v>0.06</v>
      </c>
      <c r="X132" s="224"/>
      <c r="Y132" s="225"/>
      <c r="Z132" s="203">
        <f t="shared" si="13"/>
        <v>0.2034</v>
      </c>
      <c r="AA132" s="204"/>
      <c r="AB132" s="205"/>
      <c r="AC132" s="51"/>
      <c r="AD132" s="52"/>
      <c r="AE132" s="53"/>
      <c r="AF132" s="51"/>
      <c r="AG132" s="52"/>
      <c r="AH132" s="54"/>
    </row>
    <row r="133" spans="1:35" ht="15.75" x14ac:dyDescent="0.25">
      <c r="A133" s="197"/>
      <c r="B133" s="198"/>
      <c r="C133" s="199"/>
      <c r="D133" s="218" t="s">
        <v>763</v>
      </c>
      <c r="E133" s="219"/>
      <c r="F133" s="219"/>
      <c r="G133" s="219"/>
      <c r="H133" s="219"/>
      <c r="I133" s="219"/>
      <c r="J133" s="75"/>
      <c r="K133" s="226">
        <v>0.2</v>
      </c>
      <c r="L133" s="227"/>
      <c r="M133" s="226"/>
      <c r="N133" s="227"/>
      <c r="O133" s="226">
        <v>0.3</v>
      </c>
      <c r="P133" s="227"/>
      <c r="Q133" s="226"/>
      <c r="R133" s="227"/>
      <c r="S133" s="202">
        <v>3.26</v>
      </c>
      <c r="T133" s="199"/>
      <c r="U133" s="226"/>
      <c r="V133" s="227"/>
      <c r="W133" s="223">
        <f t="shared" si="12"/>
        <v>0.06</v>
      </c>
      <c r="X133" s="224"/>
      <c r="Y133" s="225"/>
      <c r="Z133" s="203">
        <f t="shared" si="13"/>
        <v>0.19559999999999997</v>
      </c>
      <c r="AA133" s="204"/>
      <c r="AB133" s="205"/>
      <c r="AC133" s="51"/>
      <c r="AD133" s="52"/>
      <c r="AE133" s="53"/>
      <c r="AF133" s="51"/>
      <c r="AG133" s="52"/>
      <c r="AH133" s="54"/>
    </row>
    <row r="134" spans="1:35" ht="15.75" x14ac:dyDescent="0.25">
      <c r="A134" s="197"/>
      <c r="B134" s="198"/>
      <c r="C134" s="199"/>
      <c r="D134" s="218" t="s">
        <v>764</v>
      </c>
      <c r="E134" s="219"/>
      <c r="F134" s="219"/>
      <c r="G134" s="219"/>
      <c r="H134" s="219"/>
      <c r="I134" s="219"/>
      <c r="J134" s="75"/>
      <c r="K134" s="226">
        <v>0.15</v>
      </c>
      <c r="L134" s="227"/>
      <c r="M134" s="226"/>
      <c r="N134" s="227"/>
      <c r="O134" s="226">
        <v>0.3</v>
      </c>
      <c r="P134" s="227"/>
      <c r="Q134" s="226"/>
      <c r="R134" s="227"/>
      <c r="S134" s="202">
        <v>6.4</v>
      </c>
      <c r="T134" s="199"/>
      <c r="U134" s="202"/>
      <c r="V134" s="199"/>
      <c r="W134" s="223">
        <f t="shared" si="12"/>
        <v>4.4999999999999998E-2</v>
      </c>
      <c r="X134" s="224"/>
      <c r="Y134" s="225"/>
      <c r="Z134" s="203">
        <f t="shared" si="13"/>
        <v>0.28799999999999998</v>
      </c>
      <c r="AA134" s="204"/>
      <c r="AB134" s="205"/>
      <c r="AC134" s="51"/>
      <c r="AD134" s="52"/>
      <c r="AE134" s="53"/>
      <c r="AF134" s="51"/>
      <c r="AG134" s="52"/>
      <c r="AH134" s="54"/>
    </row>
    <row r="135" spans="1:35" ht="15.75" x14ac:dyDescent="0.25">
      <c r="A135" s="197"/>
      <c r="B135" s="198"/>
      <c r="C135" s="199"/>
      <c r="D135" s="218" t="s">
        <v>765</v>
      </c>
      <c r="E135" s="219"/>
      <c r="F135" s="219"/>
      <c r="G135" s="219"/>
      <c r="H135" s="219"/>
      <c r="I135" s="219"/>
      <c r="J135" s="75"/>
      <c r="K135" s="226">
        <v>0.15</v>
      </c>
      <c r="L135" s="227"/>
      <c r="M135" s="226"/>
      <c r="N135" s="227"/>
      <c r="O135" s="226">
        <v>0.3</v>
      </c>
      <c r="P135" s="227"/>
      <c r="Q135" s="226"/>
      <c r="R135" s="227"/>
      <c r="S135" s="202">
        <v>2.04</v>
      </c>
      <c r="T135" s="199"/>
      <c r="U135" s="226"/>
      <c r="V135" s="227"/>
      <c r="W135" s="223">
        <f t="shared" si="12"/>
        <v>4.4999999999999998E-2</v>
      </c>
      <c r="X135" s="224"/>
      <c r="Y135" s="225"/>
      <c r="Z135" s="203">
        <f t="shared" si="13"/>
        <v>9.1799999999999993E-2</v>
      </c>
      <c r="AA135" s="204"/>
      <c r="AB135" s="205"/>
      <c r="AC135" s="51"/>
      <c r="AD135" s="52"/>
      <c r="AE135" s="53"/>
      <c r="AF135" s="51"/>
      <c r="AG135" s="52"/>
      <c r="AH135" s="54"/>
    </row>
    <row r="136" spans="1:35" ht="15.75" x14ac:dyDescent="0.25">
      <c r="A136" s="197"/>
      <c r="B136" s="198"/>
      <c r="C136" s="199"/>
      <c r="D136" s="218" t="s">
        <v>766</v>
      </c>
      <c r="E136" s="219"/>
      <c r="F136" s="219"/>
      <c r="G136" s="219"/>
      <c r="H136" s="219"/>
      <c r="I136" s="219"/>
      <c r="J136" s="75"/>
      <c r="K136" s="226">
        <v>0.15</v>
      </c>
      <c r="L136" s="227"/>
      <c r="M136" s="226"/>
      <c r="N136" s="227"/>
      <c r="O136" s="226">
        <v>0.3</v>
      </c>
      <c r="P136" s="227"/>
      <c r="Q136" s="226"/>
      <c r="R136" s="227"/>
      <c r="S136" s="202">
        <f>11.89+12+12+3.74</f>
        <v>39.630000000000003</v>
      </c>
      <c r="T136" s="199"/>
      <c r="U136" s="226"/>
      <c r="V136" s="227"/>
      <c r="W136" s="223">
        <f t="shared" si="12"/>
        <v>4.4999999999999998E-2</v>
      </c>
      <c r="X136" s="224"/>
      <c r="Y136" s="225"/>
      <c r="Z136" s="203">
        <f t="shared" si="13"/>
        <v>1.78335</v>
      </c>
      <c r="AA136" s="204"/>
      <c r="AB136" s="205"/>
      <c r="AC136" s="51"/>
      <c r="AD136" s="52"/>
      <c r="AE136" s="53"/>
      <c r="AF136" s="51"/>
      <c r="AG136" s="52"/>
      <c r="AH136" s="54"/>
    </row>
    <row r="137" spans="1:35" ht="15.75" x14ac:dyDescent="0.25">
      <c r="A137" s="197"/>
      <c r="B137" s="198"/>
      <c r="C137" s="199"/>
      <c r="D137" s="218" t="s">
        <v>767</v>
      </c>
      <c r="E137" s="219"/>
      <c r="F137" s="219"/>
      <c r="G137" s="219"/>
      <c r="H137" s="219"/>
      <c r="I137" s="219"/>
      <c r="J137" s="75"/>
      <c r="K137" s="226">
        <v>0.15</v>
      </c>
      <c r="L137" s="227"/>
      <c r="M137" s="226"/>
      <c r="N137" s="227"/>
      <c r="O137" s="226">
        <v>0.3</v>
      </c>
      <c r="P137" s="227"/>
      <c r="Q137" s="226"/>
      <c r="R137" s="227"/>
      <c r="S137" s="202">
        <v>6.4</v>
      </c>
      <c r="T137" s="199"/>
      <c r="U137" s="226"/>
      <c r="V137" s="227"/>
      <c r="W137" s="223">
        <f t="shared" si="12"/>
        <v>4.4999999999999998E-2</v>
      </c>
      <c r="X137" s="224"/>
      <c r="Y137" s="225"/>
      <c r="Z137" s="203">
        <f t="shared" si="13"/>
        <v>0.28799999999999998</v>
      </c>
      <c r="AA137" s="204"/>
      <c r="AB137" s="205"/>
      <c r="AC137" s="51"/>
      <c r="AD137" s="52"/>
      <c r="AE137" s="53"/>
      <c r="AF137" s="51"/>
      <c r="AG137" s="52"/>
      <c r="AH137" s="54"/>
    </row>
    <row r="138" spans="1:35" ht="15.75" x14ac:dyDescent="0.25">
      <c r="A138" s="197"/>
      <c r="B138" s="198"/>
      <c r="C138" s="199"/>
      <c r="D138" s="218" t="s">
        <v>768</v>
      </c>
      <c r="E138" s="219"/>
      <c r="F138" s="219"/>
      <c r="G138" s="219"/>
      <c r="H138" s="219"/>
      <c r="I138" s="219"/>
      <c r="J138" s="75"/>
      <c r="K138" s="226">
        <v>0.15</v>
      </c>
      <c r="L138" s="227"/>
      <c r="M138" s="226"/>
      <c r="N138" s="227"/>
      <c r="O138" s="226">
        <v>0.3</v>
      </c>
      <c r="P138" s="227"/>
      <c r="Q138" s="226"/>
      <c r="R138" s="227"/>
      <c r="S138" s="202">
        <v>1.7</v>
      </c>
      <c r="T138" s="199"/>
      <c r="U138" s="226"/>
      <c r="V138" s="227"/>
      <c r="W138" s="223">
        <f t="shared" si="12"/>
        <v>4.4999999999999998E-2</v>
      </c>
      <c r="X138" s="224"/>
      <c r="Y138" s="225"/>
      <c r="Z138" s="203">
        <f t="shared" si="13"/>
        <v>7.6499999999999999E-2</v>
      </c>
      <c r="AA138" s="204"/>
      <c r="AB138" s="205"/>
      <c r="AC138" s="51"/>
      <c r="AD138" s="52"/>
      <c r="AE138" s="53"/>
      <c r="AF138" s="51"/>
      <c r="AG138" s="52"/>
      <c r="AH138" s="54"/>
    </row>
    <row r="139" spans="1:35" ht="15.75" x14ac:dyDescent="0.25">
      <c r="A139" s="197"/>
      <c r="B139" s="198"/>
      <c r="C139" s="199"/>
      <c r="D139" s="218" t="s">
        <v>769</v>
      </c>
      <c r="E139" s="219"/>
      <c r="F139" s="219"/>
      <c r="G139" s="219"/>
      <c r="H139" s="219"/>
      <c r="I139" s="219"/>
      <c r="J139" s="75"/>
      <c r="K139" s="226">
        <v>0.15</v>
      </c>
      <c r="L139" s="227"/>
      <c r="M139" s="226"/>
      <c r="N139" s="227"/>
      <c r="O139" s="226">
        <v>0.3</v>
      </c>
      <c r="P139" s="227"/>
      <c r="Q139" s="226"/>
      <c r="R139" s="227"/>
      <c r="S139" s="202">
        <f>11.81+8.84+12+6.85</f>
        <v>39.5</v>
      </c>
      <c r="T139" s="199"/>
      <c r="U139" s="226"/>
      <c r="V139" s="227"/>
      <c r="W139" s="223">
        <f t="shared" si="12"/>
        <v>4.4999999999999998E-2</v>
      </c>
      <c r="X139" s="224"/>
      <c r="Y139" s="225"/>
      <c r="Z139" s="203">
        <f t="shared" si="13"/>
        <v>1.7774999999999999</v>
      </c>
      <c r="AA139" s="204"/>
      <c r="AB139" s="205"/>
      <c r="AC139" s="51"/>
      <c r="AD139" s="52"/>
      <c r="AE139" s="53"/>
      <c r="AF139" s="51"/>
      <c r="AG139" s="52"/>
      <c r="AH139" s="54"/>
    </row>
    <row r="140" spans="1:35" ht="15.75" x14ac:dyDescent="0.25">
      <c r="A140" s="197"/>
      <c r="B140" s="198"/>
      <c r="C140" s="199"/>
      <c r="D140" s="218" t="s">
        <v>770</v>
      </c>
      <c r="E140" s="219"/>
      <c r="F140" s="219"/>
      <c r="G140" s="219"/>
      <c r="H140" s="219"/>
      <c r="I140" s="219"/>
      <c r="J140" s="75"/>
      <c r="K140" s="226">
        <v>0.15</v>
      </c>
      <c r="L140" s="227"/>
      <c r="M140" s="226"/>
      <c r="N140" s="227"/>
      <c r="O140" s="226">
        <v>0.3</v>
      </c>
      <c r="P140" s="227"/>
      <c r="Q140" s="226"/>
      <c r="R140" s="227"/>
      <c r="S140" s="202">
        <v>4.24</v>
      </c>
      <c r="T140" s="199"/>
      <c r="U140" s="226"/>
      <c r="V140" s="227"/>
      <c r="W140" s="223">
        <f t="shared" si="12"/>
        <v>4.4999999999999998E-2</v>
      </c>
      <c r="X140" s="224"/>
      <c r="Y140" s="225"/>
      <c r="Z140" s="203">
        <f t="shared" si="13"/>
        <v>0.1908</v>
      </c>
      <c r="AA140" s="204"/>
      <c r="AB140" s="205"/>
      <c r="AC140" s="51"/>
      <c r="AD140" s="52"/>
      <c r="AE140" s="53"/>
      <c r="AF140" s="51"/>
      <c r="AG140" s="52"/>
      <c r="AH140" s="54"/>
    </row>
    <row r="141" spans="1:35" ht="15.75" x14ac:dyDescent="0.25">
      <c r="A141" s="197"/>
      <c r="B141" s="198"/>
      <c r="C141" s="199"/>
      <c r="D141" s="218" t="s">
        <v>771</v>
      </c>
      <c r="E141" s="219"/>
      <c r="F141" s="219"/>
      <c r="G141" s="219"/>
      <c r="H141" s="219"/>
      <c r="I141" s="219"/>
      <c r="J141" s="75"/>
      <c r="K141" s="226">
        <v>0.15</v>
      </c>
      <c r="L141" s="227"/>
      <c r="M141" s="226"/>
      <c r="N141" s="227"/>
      <c r="O141" s="226">
        <v>0.3</v>
      </c>
      <c r="P141" s="227"/>
      <c r="Q141" s="226"/>
      <c r="R141" s="227"/>
      <c r="S141" s="202">
        <v>5.64</v>
      </c>
      <c r="T141" s="199"/>
      <c r="U141" s="226"/>
      <c r="V141" s="227"/>
      <c r="W141" s="223">
        <f t="shared" si="12"/>
        <v>4.4999999999999998E-2</v>
      </c>
      <c r="X141" s="224"/>
      <c r="Y141" s="225"/>
      <c r="Z141" s="203">
        <f t="shared" si="13"/>
        <v>0.25379999999999997</v>
      </c>
      <c r="AA141" s="204"/>
      <c r="AB141" s="205"/>
      <c r="AC141" s="51"/>
      <c r="AD141" s="52"/>
      <c r="AE141" s="53"/>
      <c r="AF141" s="51"/>
      <c r="AG141" s="52"/>
      <c r="AH141" s="54"/>
    </row>
    <row r="142" spans="1:35" ht="15.75" x14ac:dyDescent="0.25">
      <c r="A142" s="197"/>
      <c r="B142" s="198"/>
      <c r="C142" s="199"/>
      <c r="D142" s="218" t="s">
        <v>772</v>
      </c>
      <c r="E142" s="219"/>
      <c r="F142" s="219"/>
      <c r="G142" s="219"/>
      <c r="H142" s="219"/>
      <c r="I142" s="219"/>
      <c r="J142" s="75"/>
      <c r="K142" s="202">
        <v>0.2</v>
      </c>
      <c r="L142" s="199"/>
      <c r="M142" s="202"/>
      <c r="N142" s="199"/>
      <c r="O142" s="226">
        <v>0.3</v>
      </c>
      <c r="P142" s="227"/>
      <c r="Q142" s="202"/>
      <c r="R142" s="199"/>
      <c r="S142" s="202">
        <f>11.81+9.24+12+6.41</f>
        <v>39.459999999999994</v>
      </c>
      <c r="T142" s="199"/>
      <c r="U142" s="202"/>
      <c r="V142" s="199"/>
      <c r="W142" s="223">
        <f t="shared" si="12"/>
        <v>0.06</v>
      </c>
      <c r="X142" s="224"/>
      <c r="Y142" s="225"/>
      <c r="Z142" s="203">
        <f t="shared" si="13"/>
        <v>2.3675999999999995</v>
      </c>
      <c r="AA142" s="204"/>
      <c r="AB142" s="205"/>
      <c r="AC142" s="51"/>
      <c r="AD142" s="52"/>
      <c r="AE142" s="53"/>
      <c r="AF142" s="51"/>
      <c r="AG142" s="52"/>
      <c r="AH142" s="54"/>
    </row>
    <row r="143" spans="1:35" ht="15.75" x14ac:dyDescent="0.25">
      <c r="A143" s="197"/>
      <c r="B143" s="198"/>
      <c r="C143" s="199"/>
      <c r="D143" s="220" t="s">
        <v>773</v>
      </c>
      <c r="E143" s="221"/>
      <c r="F143" s="221"/>
      <c r="G143" s="221"/>
      <c r="H143" s="221"/>
      <c r="I143" s="222"/>
      <c r="J143" s="75"/>
      <c r="K143" s="226">
        <v>0.15</v>
      </c>
      <c r="L143" s="227"/>
      <c r="M143" s="226"/>
      <c r="N143" s="227"/>
      <c r="O143" s="226">
        <v>0.3</v>
      </c>
      <c r="P143" s="227"/>
      <c r="Q143" s="226"/>
      <c r="R143" s="227"/>
      <c r="S143" s="202">
        <f>10.61</f>
        <v>10.61</v>
      </c>
      <c r="T143" s="199"/>
      <c r="U143" s="226"/>
      <c r="V143" s="227"/>
      <c r="W143" s="223">
        <f t="shared" si="12"/>
        <v>4.4999999999999998E-2</v>
      </c>
      <c r="X143" s="224"/>
      <c r="Y143" s="225"/>
      <c r="Z143" s="203">
        <f t="shared" si="13"/>
        <v>0.47744999999999993</v>
      </c>
      <c r="AA143" s="204"/>
      <c r="AB143" s="205"/>
      <c r="AC143" s="51"/>
      <c r="AD143" s="52"/>
      <c r="AE143" s="53"/>
      <c r="AF143" s="51"/>
      <c r="AG143" s="52"/>
      <c r="AH143" s="54"/>
    </row>
    <row r="144" spans="1:35" ht="15.75" x14ac:dyDescent="0.25">
      <c r="A144" s="197"/>
      <c r="B144" s="198"/>
      <c r="C144" s="199"/>
      <c r="D144" s="220" t="s">
        <v>774</v>
      </c>
      <c r="E144" s="221"/>
      <c r="F144" s="221"/>
      <c r="G144" s="221"/>
      <c r="H144" s="221"/>
      <c r="I144" s="222"/>
      <c r="J144" s="75"/>
      <c r="K144" s="226">
        <v>0.15</v>
      </c>
      <c r="L144" s="227"/>
      <c r="M144" s="226"/>
      <c r="N144" s="227"/>
      <c r="O144" s="226">
        <v>0.3</v>
      </c>
      <c r="P144" s="227"/>
      <c r="Q144" s="226"/>
      <c r="R144" s="227"/>
      <c r="S144" s="202">
        <f>11.89+12+12+3.96</f>
        <v>39.85</v>
      </c>
      <c r="T144" s="199"/>
      <c r="U144" s="226"/>
      <c r="V144" s="227"/>
      <c r="W144" s="223">
        <f t="shared" si="12"/>
        <v>4.4999999999999998E-2</v>
      </c>
      <c r="X144" s="224"/>
      <c r="Y144" s="225"/>
      <c r="Z144" s="203">
        <f t="shared" si="13"/>
        <v>1.79325</v>
      </c>
      <c r="AA144" s="204"/>
      <c r="AB144" s="205"/>
      <c r="AC144" s="51"/>
      <c r="AD144" s="52"/>
      <c r="AE144" s="53"/>
      <c r="AF144" s="51"/>
      <c r="AG144" s="52"/>
      <c r="AH144" s="54"/>
    </row>
    <row r="145" spans="1:34" ht="15.75" x14ac:dyDescent="0.25">
      <c r="A145" s="197"/>
      <c r="B145" s="198"/>
      <c r="C145" s="199"/>
      <c r="D145" s="220" t="s">
        <v>775</v>
      </c>
      <c r="E145" s="221"/>
      <c r="F145" s="221"/>
      <c r="G145" s="221"/>
      <c r="H145" s="221"/>
      <c r="I145" s="222"/>
      <c r="J145" s="75"/>
      <c r="K145" s="226">
        <v>0.15</v>
      </c>
      <c r="L145" s="227"/>
      <c r="M145" s="226"/>
      <c r="N145" s="227"/>
      <c r="O145" s="226">
        <v>0.3</v>
      </c>
      <c r="P145" s="227"/>
      <c r="Q145" s="226"/>
      <c r="R145" s="227"/>
      <c r="S145" s="202">
        <v>10.62</v>
      </c>
      <c r="T145" s="199"/>
      <c r="U145" s="226"/>
      <c r="V145" s="227"/>
      <c r="W145" s="223">
        <f t="shared" si="12"/>
        <v>4.4999999999999998E-2</v>
      </c>
      <c r="X145" s="224"/>
      <c r="Y145" s="225"/>
      <c r="Z145" s="203">
        <f t="shared" si="13"/>
        <v>0.47789999999999994</v>
      </c>
      <c r="AA145" s="204"/>
      <c r="AB145" s="205"/>
      <c r="AC145" s="51"/>
      <c r="AD145" s="52"/>
      <c r="AE145" s="53"/>
      <c r="AF145" s="51"/>
      <c r="AG145" s="52"/>
      <c r="AH145" s="54"/>
    </row>
    <row r="146" spans="1:34" ht="15.75" x14ac:dyDescent="0.25">
      <c r="A146" s="197"/>
      <c r="B146" s="198"/>
      <c r="C146" s="199"/>
      <c r="D146" s="220" t="s">
        <v>776</v>
      </c>
      <c r="E146" s="221"/>
      <c r="F146" s="221"/>
      <c r="G146" s="221"/>
      <c r="H146" s="221"/>
      <c r="I146" s="222"/>
      <c r="J146" s="75"/>
      <c r="K146" s="226">
        <v>0.15</v>
      </c>
      <c r="L146" s="227"/>
      <c r="M146" s="226"/>
      <c r="N146" s="227"/>
      <c r="O146" s="226">
        <v>0.3</v>
      </c>
      <c r="P146" s="227"/>
      <c r="Q146" s="226"/>
      <c r="R146" s="227"/>
      <c r="S146" s="202">
        <f>12+7.43</f>
        <v>19.43</v>
      </c>
      <c r="T146" s="199"/>
      <c r="U146" s="226"/>
      <c r="V146" s="227"/>
      <c r="W146" s="223">
        <f t="shared" si="12"/>
        <v>4.4999999999999998E-2</v>
      </c>
      <c r="X146" s="224"/>
      <c r="Y146" s="225"/>
      <c r="Z146" s="203">
        <f t="shared" si="13"/>
        <v>0.87434999999999996</v>
      </c>
      <c r="AA146" s="204"/>
      <c r="AB146" s="205"/>
      <c r="AC146" s="51"/>
      <c r="AD146" s="52"/>
      <c r="AE146" s="53"/>
      <c r="AF146" s="51"/>
      <c r="AG146" s="52"/>
      <c r="AH146" s="54"/>
    </row>
    <row r="147" spans="1:34" ht="15.75" x14ac:dyDescent="0.25">
      <c r="A147" s="197"/>
      <c r="B147" s="198"/>
      <c r="C147" s="199"/>
      <c r="D147" s="220" t="s">
        <v>777</v>
      </c>
      <c r="E147" s="221"/>
      <c r="F147" s="221"/>
      <c r="G147" s="221"/>
      <c r="H147" s="221"/>
      <c r="I147" s="222"/>
      <c r="J147" s="75"/>
      <c r="K147" s="226">
        <v>0.15</v>
      </c>
      <c r="L147" s="227"/>
      <c r="M147" s="226"/>
      <c r="N147" s="227"/>
      <c r="O147" s="226">
        <v>0.3</v>
      </c>
      <c r="P147" s="227"/>
      <c r="Q147" s="226"/>
      <c r="R147" s="227"/>
      <c r="S147" s="202">
        <f>12+12+8.05</f>
        <v>32.049999999999997</v>
      </c>
      <c r="T147" s="199"/>
      <c r="U147" s="226"/>
      <c r="V147" s="227"/>
      <c r="W147" s="223">
        <f t="shared" si="12"/>
        <v>4.4999999999999998E-2</v>
      </c>
      <c r="X147" s="224"/>
      <c r="Y147" s="225"/>
      <c r="Z147" s="203">
        <f t="shared" si="13"/>
        <v>1.4422499999999998</v>
      </c>
      <c r="AA147" s="204"/>
      <c r="AB147" s="205"/>
      <c r="AC147" s="51"/>
      <c r="AD147" s="52"/>
      <c r="AE147" s="53"/>
      <c r="AF147" s="51"/>
      <c r="AG147" s="52"/>
      <c r="AH147" s="54"/>
    </row>
    <row r="148" spans="1:34" ht="15.75" x14ac:dyDescent="0.25">
      <c r="A148" s="197"/>
      <c r="B148" s="198"/>
      <c r="C148" s="199"/>
      <c r="D148" s="220" t="s">
        <v>778</v>
      </c>
      <c r="E148" s="221"/>
      <c r="F148" s="221"/>
      <c r="G148" s="221"/>
      <c r="H148" s="221"/>
      <c r="I148" s="222"/>
      <c r="J148" s="75"/>
      <c r="K148" s="226">
        <v>0.15</v>
      </c>
      <c r="L148" s="227"/>
      <c r="M148" s="226"/>
      <c r="N148" s="227"/>
      <c r="O148" s="226">
        <v>0.3</v>
      </c>
      <c r="P148" s="227"/>
      <c r="Q148" s="226"/>
      <c r="R148" s="227"/>
      <c r="S148" s="202">
        <f>12+7.24</f>
        <v>19.240000000000002</v>
      </c>
      <c r="T148" s="199"/>
      <c r="U148" s="226"/>
      <c r="V148" s="227"/>
      <c r="W148" s="223">
        <f t="shared" si="12"/>
        <v>4.4999999999999998E-2</v>
      </c>
      <c r="X148" s="224"/>
      <c r="Y148" s="225"/>
      <c r="Z148" s="203">
        <f t="shared" si="13"/>
        <v>0.86580000000000001</v>
      </c>
      <c r="AA148" s="204"/>
      <c r="AB148" s="205"/>
      <c r="AC148" s="51"/>
      <c r="AD148" s="52"/>
      <c r="AE148" s="53"/>
      <c r="AF148" s="51"/>
      <c r="AG148" s="52"/>
      <c r="AH148" s="54"/>
    </row>
    <row r="149" spans="1:34" ht="15.75" x14ac:dyDescent="0.25">
      <c r="A149" s="197"/>
      <c r="B149" s="198"/>
      <c r="C149" s="199"/>
      <c r="D149" s="220" t="s">
        <v>779</v>
      </c>
      <c r="E149" s="221"/>
      <c r="F149" s="221"/>
      <c r="G149" s="221"/>
      <c r="H149" s="221"/>
      <c r="I149" s="222"/>
      <c r="J149" s="75"/>
      <c r="K149" s="226">
        <v>0.15</v>
      </c>
      <c r="L149" s="227"/>
      <c r="M149" s="226"/>
      <c r="N149" s="227"/>
      <c r="O149" s="226">
        <v>0.3</v>
      </c>
      <c r="P149" s="227"/>
      <c r="Q149" s="226"/>
      <c r="R149" s="227"/>
      <c r="S149" s="202">
        <f>12+12+8.27</f>
        <v>32.269999999999996</v>
      </c>
      <c r="T149" s="199"/>
      <c r="U149" s="226"/>
      <c r="V149" s="227"/>
      <c r="W149" s="223">
        <f t="shared" si="12"/>
        <v>4.4999999999999998E-2</v>
      </c>
      <c r="X149" s="224"/>
      <c r="Y149" s="225"/>
      <c r="Z149" s="203">
        <f t="shared" si="13"/>
        <v>1.4521499999999998</v>
      </c>
      <c r="AA149" s="204"/>
      <c r="AB149" s="205"/>
      <c r="AC149" s="51"/>
      <c r="AD149" s="52"/>
      <c r="AE149" s="53"/>
      <c r="AF149" s="51"/>
      <c r="AG149" s="52"/>
      <c r="AH149" s="54"/>
    </row>
    <row r="150" spans="1:34" ht="15.75" x14ac:dyDescent="0.25">
      <c r="A150" s="197"/>
      <c r="B150" s="198"/>
      <c r="C150" s="199"/>
      <c r="D150" s="220" t="s">
        <v>780</v>
      </c>
      <c r="E150" s="221"/>
      <c r="F150" s="221"/>
      <c r="G150" s="221"/>
      <c r="H150" s="221"/>
      <c r="I150" s="222"/>
      <c r="J150" s="75"/>
      <c r="K150" s="202">
        <v>0.15</v>
      </c>
      <c r="L150" s="199"/>
      <c r="M150" s="202"/>
      <c r="N150" s="199"/>
      <c r="O150" s="226">
        <v>0.4</v>
      </c>
      <c r="P150" s="227"/>
      <c r="Q150" s="202"/>
      <c r="R150" s="199"/>
      <c r="S150" s="202">
        <f>9.74</f>
        <v>9.74</v>
      </c>
      <c r="T150" s="199"/>
      <c r="U150" s="202"/>
      <c r="V150" s="199"/>
      <c r="W150" s="223">
        <f t="shared" si="12"/>
        <v>0.06</v>
      </c>
      <c r="X150" s="224"/>
      <c r="Y150" s="225"/>
      <c r="Z150" s="203">
        <f t="shared" si="13"/>
        <v>0.58440000000000003</v>
      </c>
      <c r="AA150" s="204"/>
      <c r="AB150" s="205"/>
      <c r="AC150" s="51"/>
      <c r="AD150" s="52"/>
      <c r="AE150" s="53"/>
      <c r="AF150" s="51"/>
      <c r="AG150" s="52"/>
      <c r="AH150" s="54"/>
    </row>
    <row r="151" spans="1:34" ht="15.75" x14ac:dyDescent="0.25">
      <c r="A151" s="197"/>
      <c r="B151" s="198"/>
      <c r="C151" s="199"/>
      <c r="D151" s="220" t="s">
        <v>781</v>
      </c>
      <c r="E151" s="221"/>
      <c r="F151" s="221"/>
      <c r="G151" s="221"/>
      <c r="H151" s="221"/>
      <c r="I151" s="222"/>
      <c r="J151" s="75"/>
      <c r="K151" s="226">
        <v>0.2</v>
      </c>
      <c r="L151" s="227"/>
      <c r="M151" s="226"/>
      <c r="N151" s="227"/>
      <c r="O151" s="226">
        <v>0.4</v>
      </c>
      <c r="P151" s="227"/>
      <c r="Q151" s="226"/>
      <c r="R151" s="227"/>
      <c r="S151" s="202">
        <v>1.7</v>
      </c>
      <c r="T151" s="199"/>
      <c r="U151" s="226"/>
      <c r="V151" s="227"/>
      <c r="W151" s="223">
        <f t="shared" si="12"/>
        <v>8.0000000000000016E-2</v>
      </c>
      <c r="X151" s="224"/>
      <c r="Y151" s="225"/>
      <c r="Z151" s="203">
        <f t="shared" si="13"/>
        <v>0.13600000000000001</v>
      </c>
      <c r="AA151" s="204"/>
      <c r="AB151" s="205"/>
      <c r="AC151" s="51"/>
      <c r="AD151" s="52"/>
      <c r="AE151" s="53"/>
      <c r="AF151" s="51"/>
      <c r="AG151" s="52"/>
      <c r="AH151" s="54"/>
    </row>
    <row r="152" spans="1:34" ht="15.75" x14ac:dyDescent="0.25">
      <c r="A152" s="197"/>
      <c r="B152" s="198"/>
      <c r="C152" s="199"/>
      <c r="D152" s="220" t="s">
        <v>782</v>
      </c>
      <c r="E152" s="221"/>
      <c r="F152" s="221"/>
      <c r="G152" s="221"/>
      <c r="H152" s="221"/>
      <c r="I152" s="222"/>
      <c r="J152" s="75"/>
      <c r="K152" s="226">
        <v>0.15</v>
      </c>
      <c r="L152" s="227"/>
      <c r="M152" s="226"/>
      <c r="N152" s="227"/>
      <c r="O152" s="226">
        <v>0.3</v>
      </c>
      <c r="P152" s="227"/>
      <c r="Q152" s="226"/>
      <c r="R152" s="227"/>
      <c r="S152" s="202">
        <v>10.61</v>
      </c>
      <c r="T152" s="199"/>
      <c r="U152" s="226"/>
      <c r="V152" s="227"/>
      <c r="W152" s="223">
        <f t="shared" si="12"/>
        <v>4.4999999999999998E-2</v>
      </c>
      <c r="X152" s="224"/>
      <c r="Y152" s="225"/>
      <c r="Z152" s="203">
        <f t="shared" si="13"/>
        <v>0.47744999999999993</v>
      </c>
      <c r="AA152" s="204"/>
      <c r="AB152" s="205"/>
      <c r="AC152" s="51"/>
      <c r="AD152" s="52"/>
      <c r="AE152" s="53"/>
      <c r="AF152" s="51"/>
      <c r="AG152" s="52"/>
      <c r="AH152" s="54"/>
    </row>
    <row r="153" spans="1:34" ht="15.75" x14ac:dyDescent="0.25">
      <c r="A153" s="197"/>
      <c r="B153" s="198"/>
      <c r="C153" s="199"/>
      <c r="D153" s="220" t="s">
        <v>783</v>
      </c>
      <c r="E153" s="221"/>
      <c r="F153" s="221"/>
      <c r="G153" s="221"/>
      <c r="H153" s="221"/>
      <c r="I153" s="222"/>
      <c r="J153" s="75"/>
      <c r="K153" s="226">
        <v>0.15</v>
      </c>
      <c r="L153" s="227"/>
      <c r="M153" s="226"/>
      <c r="N153" s="227"/>
      <c r="O153" s="226">
        <v>0.3</v>
      </c>
      <c r="P153" s="227"/>
      <c r="Q153" s="226"/>
      <c r="R153" s="227"/>
      <c r="S153" s="202">
        <f>12+7.53</f>
        <v>19.53</v>
      </c>
      <c r="T153" s="199"/>
      <c r="U153" s="226"/>
      <c r="V153" s="227"/>
      <c r="W153" s="223">
        <f t="shared" si="12"/>
        <v>4.4999999999999998E-2</v>
      </c>
      <c r="X153" s="224"/>
      <c r="Y153" s="225"/>
      <c r="Z153" s="203">
        <f t="shared" si="13"/>
        <v>0.87885000000000002</v>
      </c>
      <c r="AA153" s="204"/>
      <c r="AB153" s="205"/>
      <c r="AC153" s="51"/>
      <c r="AD153" s="52"/>
      <c r="AE153" s="53"/>
      <c r="AF153" s="51"/>
      <c r="AG153" s="52"/>
      <c r="AH153" s="54"/>
    </row>
    <row r="154" spans="1:34" ht="15.75" x14ac:dyDescent="0.25">
      <c r="A154" s="197"/>
      <c r="B154" s="198"/>
      <c r="C154" s="199"/>
      <c r="D154" s="220" t="s">
        <v>784</v>
      </c>
      <c r="E154" s="221"/>
      <c r="F154" s="221"/>
      <c r="G154" s="221"/>
      <c r="H154" s="221"/>
      <c r="I154" s="222"/>
      <c r="J154" s="75"/>
      <c r="K154" s="226">
        <v>0.15</v>
      </c>
      <c r="L154" s="227"/>
      <c r="M154" s="226"/>
      <c r="N154" s="227"/>
      <c r="O154" s="226">
        <v>0.3</v>
      </c>
      <c r="P154" s="227"/>
      <c r="Q154" s="226"/>
      <c r="R154" s="227"/>
      <c r="S154" s="202">
        <f>12+12+8.39</f>
        <v>32.39</v>
      </c>
      <c r="T154" s="199"/>
      <c r="U154" s="226"/>
      <c r="V154" s="227"/>
      <c r="W154" s="223">
        <f t="shared" si="12"/>
        <v>4.4999999999999998E-2</v>
      </c>
      <c r="X154" s="224"/>
      <c r="Y154" s="225"/>
      <c r="Z154" s="203">
        <f t="shared" si="13"/>
        <v>1.4575499999999999</v>
      </c>
      <c r="AA154" s="204"/>
      <c r="AB154" s="205"/>
      <c r="AC154" s="51"/>
      <c r="AD154" s="52"/>
      <c r="AE154" s="53"/>
      <c r="AF154" s="51"/>
      <c r="AG154" s="52"/>
      <c r="AH154" s="54"/>
    </row>
    <row r="155" spans="1:34" ht="15.75" x14ac:dyDescent="0.25">
      <c r="A155" s="197"/>
      <c r="B155" s="198"/>
      <c r="C155" s="199"/>
      <c r="D155" s="220" t="s">
        <v>785</v>
      </c>
      <c r="E155" s="221"/>
      <c r="F155" s="221"/>
      <c r="G155" s="221"/>
      <c r="H155" s="221"/>
      <c r="I155" s="222"/>
      <c r="J155" s="75"/>
      <c r="K155" s="226">
        <v>0.15</v>
      </c>
      <c r="L155" s="227"/>
      <c r="M155" s="226"/>
      <c r="N155" s="227"/>
      <c r="O155" s="226">
        <v>0.3</v>
      </c>
      <c r="P155" s="227"/>
      <c r="Q155" s="226"/>
      <c r="R155" s="227"/>
      <c r="S155" s="202">
        <f>11.85+10.69+2.02</f>
        <v>24.56</v>
      </c>
      <c r="T155" s="199"/>
      <c r="U155" s="226"/>
      <c r="V155" s="227"/>
      <c r="W155" s="223">
        <f t="shared" si="12"/>
        <v>4.4999999999999998E-2</v>
      </c>
      <c r="X155" s="224"/>
      <c r="Y155" s="225"/>
      <c r="Z155" s="203">
        <f t="shared" si="13"/>
        <v>1.1052</v>
      </c>
      <c r="AA155" s="204"/>
      <c r="AB155" s="205"/>
      <c r="AC155" s="51"/>
      <c r="AD155" s="52"/>
      <c r="AE155" s="53"/>
      <c r="AF155" s="51"/>
      <c r="AG155" s="52"/>
      <c r="AH155" s="54"/>
    </row>
  </sheetData>
  <protectedRanges>
    <protectedRange sqref="AB9:AC15 AC103:AC128 AB45:AC45 AC16:AC41 AB72:AC72 AC43:AC44 AB75:AC75 AC73:AC74 AB102:AC102 AC76:AC101 AB129:AC129 AC46:AC71 AB42:AC42 AC130:AC155" name="Intervalo1_1"/>
  </protectedRanges>
  <mergeCells count="1381">
    <mergeCell ref="A144:C144"/>
    <mergeCell ref="A143:C143"/>
    <mergeCell ref="A146:C146"/>
    <mergeCell ref="A145:C145"/>
    <mergeCell ref="A148:C148"/>
    <mergeCell ref="A147:C147"/>
    <mergeCell ref="A150:C150"/>
    <mergeCell ref="A149:C149"/>
    <mergeCell ref="A152:C152"/>
    <mergeCell ref="A151:C151"/>
    <mergeCell ref="A154:C154"/>
    <mergeCell ref="A153:C153"/>
    <mergeCell ref="A155:C155"/>
    <mergeCell ref="A129:C129"/>
    <mergeCell ref="D129:AB129"/>
    <mergeCell ref="AC129:AE129"/>
    <mergeCell ref="AF129:AH129"/>
    <mergeCell ref="A132:C132"/>
    <mergeCell ref="A131:C131"/>
    <mergeCell ref="A130:C130"/>
    <mergeCell ref="A134:C134"/>
    <mergeCell ref="A133:C133"/>
    <mergeCell ref="A136:C136"/>
    <mergeCell ref="A135:C135"/>
    <mergeCell ref="A138:C138"/>
    <mergeCell ref="A137:C137"/>
    <mergeCell ref="A140:C140"/>
    <mergeCell ref="A139:C139"/>
    <mergeCell ref="A142:C142"/>
    <mergeCell ref="A141:C141"/>
    <mergeCell ref="D155:I155"/>
    <mergeCell ref="K155:L155"/>
    <mergeCell ref="A127:C127"/>
    <mergeCell ref="K127:L127"/>
    <mergeCell ref="M127:N127"/>
    <mergeCell ref="O127:P127"/>
    <mergeCell ref="Q127:R127"/>
    <mergeCell ref="U127:V127"/>
    <mergeCell ref="W125:Y125"/>
    <mergeCell ref="A126:C126"/>
    <mergeCell ref="K126:L126"/>
    <mergeCell ref="M126:N126"/>
    <mergeCell ref="O126:P126"/>
    <mergeCell ref="Q126:R126"/>
    <mergeCell ref="U126:V126"/>
    <mergeCell ref="W128:Y128"/>
    <mergeCell ref="W127:Y127"/>
    <mergeCell ref="A128:C128"/>
    <mergeCell ref="K128:L128"/>
    <mergeCell ref="M128:N128"/>
    <mergeCell ref="O128:P128"/>
    <mergeCell ref="Q128:R128"/>
    <mergeCell ref="U128:V128"/>
    <mergeCell ref="A125:C125"/>
    <mergeCell ref="K125:L125"/>
    <mergeCell ref="M125:N125"/>
    <mergeCell ref="O125:P125"/>
    <mergeCell ref="Q125:R125"/>
    <mergeCell ref="U125:V125"/>
    <mergeCell ref="W123:Y123"/>
    <mergeCell ref="A124:C124"/>
    <mergeCell ref="K124:L124"/>
    <mergeCell ref="M124:N124"/>
    <mergeCell ref="O124:P124"/>
    <mergeCell ref="Q124:R124"/>
    <mergeCell ref="U124:V124"/>
    <mergeCell ref="A121:C121"/>
    <mergeCell ref="K121:L121"/>
    <mergeCell ref="M121:N121"/>
    <mergeCell ref="O121:P121"/>
    <mergeCell ref="Q121:R121"/>
    <mergeCell ref="A120:C120"/>
    <mergeCell ref="K120:L120"/>
    <mergeCell ref="M120:N120"/>
    <mergeCell ref="O120:P120"/>
    <mergeCell ref="Q120:R120"/>
    <mergeCell ref="U120:V120"/>
    <mergeCell ref="D118:I118"/>
    <mergeCell ref="S119:T119"/>
    <mergeCell ref="D119:I119"/>
    <mergeCell ref="S121:T121"/>
    <mergeCell ref="A117:C117"/>
    <mergeCell ref="K117:L117"/>
    <mergeCell ref="M117:N117"/>
    <mergeCell ref="O117:P117"/>
    <mergeCell ref="Q117:R117"/>
    <mergeCell ref="U117:V117"/>
    <mergeCell ref="A123:C123"/>
    <mergeCell ref="K123:L123"/>
    <mergeCell ref="M123:N123"/>
    <mergeCell ref="O123:P123"/>
    <mergeCell ref="Q123:R123"/>
    <mergeCell ref="U123:V123"/>
    <mergeCell ref="A122:C122"/>
    <mergeCell ref="K122:L122"/>
    <mergeCell ref="M122:N122"/>
    <mergeCell ref="O122:P122"/>
    <mergeCell ref="Q122:R122"/>
    <mergeCell ref="U122:V122"/>
    <mergeCell ref="D122:I122"/>
    <mergeCell ref="S120:T120"/>
    <mergeCell ref="A116:C116"/>
    <mergeCell ref="K116:L116"/>
    <mergeCell ref="M116:N116"/>
    <mergeCell ref="O116:P116"/>
    <mergeCell ref="Q116:R116"/>
    <mergeCell ref="U116:V116"/>
    <mergeCell ref="S116:T116"/>
    <mergeCell ref="W114:Y114"/>
    <mergeCell ref="A119:C119"/>
    <mergeCell ref="K119:L119"/>
    <mergeCell ref="M119:N119"/>
    <mergeCell ref="O119:P119"/>
    <mergeCell ref="Q119:R119"/>
    <mergeCell ref="U119:V119"/>
    <mergeCell ref="W117:Y117"/>
    <mergeCell ref="A118:C118"/>
    <mergeCell ref="K118:L118"/>
    <mergeCell ref="M118:N118"/>
    <mergeCell ref="O118:P118"/>
    <mergeCell ref="Q118:R118"/>
    <mergeCell ref="U118:V118"/>
    <mergeCell ref="W119:Y119"/>
    <mergeCell ref="A113:C113"/>
    <mergeCell ref="K113:L113"/>
    <mergeCell ref="M113:N113"/>
    <mergeCell ref="O113:P113"/>
    <mergeCell ref="Q113:R113"/>
    <mergeCell ref="U113:V113"/>
    <mergeCell ref="W111:Y111"/>
    <mergeCell ref="A112:C112"/>
    <mergeCell ref="K112:L112"/>
    <mergeCell ref="M112:N112"/>
    <mergeCell ref="O112:P112"/>
    <mergeCell ref="Q112:R112"/>
    <mergeCell ref="U112:V112"/>
    <mergeCell ref="D112:I112"/>
    <mergeCell ref="S110:T110"/>
    <mergeCell ref="W110:Y110"/>
    <mergeCell ref="A115:C115"/>
    <mergeCell ref="K115:L115"/>
    <mergeCell ref="M115:N115"/>
    <mergeCell ref="O115:P115"/>
    <mergeCell ref="Q115:R115"/>
    <mergeCell ref="U115:V115"/>
    <mergeCell ref="W113:Y113"/>
    <mergeCell ref="A114:C114"/>
    <mergeCell ref="K114:L114"/>
    <mergeCell ref="M114:N114"/>
    <mergeCell ref="O114:P114"/>
    <mergeCell ref="Q114:R114"/>
    <mergeCell ref="U114:V114"/>
    <mergeCell ref="W115:Y115"/>
    <mergeCell ref="M109:N109"/>
    <mergeCell ref="O109:P109"/>
    <mergeCell ref="Q109:R109"/>
    <mergeCell ref="U109:V109"/>
    <mergeCell ref="W107:Y107"/>
    <mergeCell ref="A108:C108"/>
    <mergeCell ref="K108:L108"/>
    <mergeCell ref="M108:N108"/>
    <mergeCell ref="O108:P108"/>
    <mergeCell ref="Q108:R108"/>
    <mergeCell ref="U108:V108"/>
    <mergeCell ref="S109:T109"/>
    <mergeCell ref="D106:I106"/>
    <mergeCell ref="S106:T106"/>
    <mergeCell ref="A111:C111"/>
    <mergeCell ref="K111:L111"/>
    <mergeCell ref="M111:N111"/>
    <mergeCell ref="O111:P111"/>
    <mergeCell ref="Q111:R111"/>
    <mergeCell ref="U111:V111"/>
    <mergeCell ref="W109:Y109"/>
    <mergeCell ref="A110:C110"/>
    <mergeCell ref="K110:L110"/>
    <mergeCell ref="M110:N110"/>
    <mergeCell ref="O110:P110"/>
    <mergeCell ref="Q110:R110"/>
    <mergeCell ref="U110:V110"/>
    <mergeCell ref="U152:V152"/>
    <mergeCell ref="AC102:AE102"/>
    <mergeCell ref="AF102:AH102"/>
    <mergeCell ref="A103:C103"/>
    <mergeCell ref="K103:L103"/>
    <mergeCell ref="M103:N103"/>
    <mergeCell ref="O103:P103"/>
    <mergeCell ref="Q103:R103"/>
    <mergeCell ref="U103:V103"/>
    <mergeCell ref="A102:C102"/>
    <mergeCell ref="D102:AB102"/>
    <mergeCell ref="W104:Y104"/>
    <mergeCell ref="A105:C105"/>
    <mergeCell ref="K105:L105"/>
    <mergeCell ref="M105:N105"/>
    <mergeCell ref="O105:P105"/>
    <mergeCell ref="Q105:R105"/>
    <mergeCell ref="U105:V105"/>
    <mergeCell ref="W103:Y103"/>
    <mergeCell ref="Z103:AB103"/>
    <mergeCell ref="A104:C104"/>
    <mergeCell ref="K104:L104"/>
    <mergeCell ref="M104:N104"/>
    <mergeCell ref="O104:P104"/>
    <mergeCell ref="Q104:R104"/>
    <mergeCell ref="U104:V104"/>
    <mergeCell ref="Z104:AB104"/>
    <mergeCell ref="D105:I105"/>
    <mergeCell ref="S105:T105"/>
    <mergeCell ref="A107:C107"/>
    <mergeCell ref="K107:L107"/>
    <mergeCell ref="M107:N107"/>
    <mergeCell ref="Z150:AB150"/>
    <mergeCell ref="S154:T154"/>
    <mergeCell ref="U154:V154"/>
    <mergeCell ref="W154:Y154"/>
    <mergeCell ref="Z154:AB154"/>
    <mergeCell ref="D151:I151"/>
    <mergeCell ref="K151:L151"/>
    <mergeCell ref="M151:N151"/>
    <mergeCell ref="O151:P151"/>
    <mergeCell ref="Q151:R151"/>
    <mergeCell ref="M155:N155"/>
    <mergeCell ref="O155:P155"/>
    <mergeCell ref="Q155:R155"/>
    <mergeCell ref="S153:T153"/>
    <mergeCell ref="U153:V153"/>
    <mergeCell ref="W153:Y153"/>
    <mergeCell ref="Z153:AB153"/>
    <mergeCell ref="D154:I154"/>
    <mergeCell ref="K154:L154"/>
    <mergeCell ref="M154:N154"/>
    <mergeCell ref="O154:P154"/>
    <mergeCell ref="Q154:R154"/>
    <mergeCell ref="S155:T155"/>
    <mergeCell ref="U155:V155"/>
    <mergeCell ref="W155:Y155"/>
    <mergeCell ref="Z155:AB155"/>
    <mergeCell ref="D153:I153"/>
    <mergeCell ref="K153:L153"/>
    <mergeCell ref="M153:N153"/>
    <mergeCell ref="O153:P153"/>
    <mergeCell ref="Q153:R153"/>
    <mergeCell ref="S152:T152"/>
    <mergeCell ref="S149:T149"/>
    <mergeCell ref="U149:V149"/>
    <mergeCell ref="W149:Y149"/>
    <mergeCell ref="Z149:AB149"/>
    <mergeCell ref="D150:I150"/>
    <mergeCell ref="K150:L150"/>
    <mergeCell ref="M150:N150"/>
    <mergeCell ref="O150:P150"/>
    <mergeCell ref="Q150:R150"/>
    <mergeCell ref="S148:T148"/>
    <mergeCell ref="U148:V148"/>
    <mergeCell ref="W148:Y148"/>
    <mergeCell ref="Z148:AB148"/>
    <mergeCell ref="W152:Y152"/>
    <mergeCell ref="Z152:AB152"/>
    <mergeCell ref="D149:I149"/>
    <mergeCell ref="K149:L149"/>
    <mergeCell ref="M149:N149"/>
    <mergeCell ref="O149:P149"/>
    <mergeCell ref="Q149:R149"/>
    <mergeCell ref="S151:T151"/>
    <mergeCell ref="U151:V151"/>
    <mergeCell ref="W151:Y151"/>
    <mergeCell ref="Z151:AB151"/>
    <mergeCell ref="D152:I152"/>
    <mergeCell ref="K152:L152"/>
    <mergeCell ref="M152:N152"/>
    <mergeCell ref="O152:P152"/>
    <mergeCell ref="Q152:R152"/>
    <mergeCell ref="S150:T150"/>
    <mergeCell ref="U150:V150"/>
    <mergeCell ref="W150:Y150"/>
    <mergeCell ref="S147:T147"/>
    <mergeCell ref="U147:V147"/>
    <mergeCell ref="W147:Y147"/>
    <mergeCell ref="Z147:AB147"/>
    <mergeCell ref="D148:I148"/>
    <mergeCell ref="K148:L148"/>
    <mergeCell ref="M148:N148"/>
    <mergeCell ref="O148:P148"/>
    <mergeCell ref="Q148:R148"/>
    <mergeCell ref="S146:T146"/>
    <mergeCell ref="U146:V146"/>
    <mergeCell ref="W146:Y146"/>
    <mergeCell ref="Z146:AB146"/>
    <mergeCell ref="D147:I147"/>
    <mergeCell ref="K147:L147"/>
    <mergeCell ref="M147:N147"/>
    <mergeCell ref="O147:P147"/>
    <mergeCell ref="Q147:R147"/>
    <mergeCell ref="S145:T145"/>
    <mergeCell ref="U145:V145"/>
    <mergeCell ref="W145:Y145"/>
    <mergeCell ref="Z145:AB145"/>
    <mergeCell ref="D146:I146"/>
    <mergeCell ref="K146:L146"/>
    <mergeCell ref="M146:N146"/>
    <mergeCell ref="O146:P146"/>
    <mergeCell ref="Q146:R146"/>
    <mergeCell ref="S144:T144"/>
    <mergeCell ref="U144:V144"/>
    <mergeCell ref="W144:Y144"/>
    <mergeCell ref="Z144:AB144"/>
    <mergeCell ref="D145:I145"/>
    <mergeCell ref="K145:L145"/>
    <mergeCell ref="M145:N145"/>
    <mergeCell ref="O145:P145"/>
    <mergeCell ref="Q145:R145"/>
    <mergeCell ref="S143:T143"/>
    <mergeCell ref="U143:V143"/>
    <mergeCell ref="W143:Y143"/>
    <mergeCell ref="Z143:AB143"/>
    <mergeCell ref="D144:I144"/>
    <mergeCell ref="K144:L144"/>
    <mergeCell ref="M144:N144"/>
    <mergeCell ref="O144:P144"/>
    <mergeCell ref="Q144:R144"/>
    <mergeCell ref="U139:V139"/>
    <mergeCell ref="W139:Y139"/>
    <mergeCell ref="Z139:AB139"/>
    <mergeCell ref="D140:I140"/>
    <mergeCell ref="K140:L140"/>
    <mergeCell ref="M140:N140"/>
    <mergeCell ref="O140:P140"/>
    <mergeCell ref="Q140:R140"/>
    <mergeCell ref="S142:T142"/>
    <mergeCell ref="U142:V142"/>
    <mergeCell ref="W142:Y142"/>
    <mergeCell ref="Z142:AB142"/>
    <mergeCell ref="D139:I139"/>
    <mergeCell ref="K139:L139"/>
    <mergeCell ref="M139:N139"/>
    <mergeCell ref="O139:P139"/>
    <mergeCell ref="Q139:R139"/>
    <mergeCell ref="S141:T141"/>
    <mergeCell ref="D143:I143"/>
    <mergeCell ref="K143:L143"/>
    <mergeCell ref="M143:N143"/>
    <mergeCell ref="O143:P143"/>
    <mergeCell ref="Q143:R143"/>
    <mergeCell ref="S138:T138"/>
    <mergeCell ref="U138:V138"/>
    <mergeCell ref="W138:Y138"/>
    <mergeCell ref="Z138:AB138"/>
    <mergeCell ref="U141:V141"/>
    <mergeCell ref="W141:Y141"/>
    <mergeCell ref="Z141:AB141"/>
    <mergeCell ref="D142:I142"/>
    <mergeCell ref="K142:L142"/>
    <mergeCell ref="M142:N142"/>
    <mergeCell ref="O142:P142"/>
    <mergeCell ref="Q142:R142"/>
    <mergeCell ref="S137:T137"/>
    <mergeCell ref="U137:V137"/>
    <mergeCell ref="W137:Y137"/>
    <mergeCell ref="Z137:AB137"/>
    <mergeCell ref="D138:I138"/>
    <mergeCell ref="K138:L138"/>
    <mergeCell ref="M138:N138"/>
    <mergeCell ref="O138:P138"/>
    <mergeCell ref="Q138:R138"/>
    <mergeCell ref="S140:T140"/>
    <mergeCell ref="U140:V140"/>
    <mergeCell ref="W140:Y140"/>
    <mergeCell ref="Z140:AB140"/>
    <mergeCell ref="S139:T139"/>
    <mergeCell ref="D141:I141"/>
    <mergeCell ref="K141:L141"/>
    <mergeCell ref="M141:N141"/>
    <mergeCell ref="O141:P141"/>
    <mergeCell ref="Q141:R141"/>
    <mergeCell ref="A99:C99"/>
    <mergeCell ref="K99:L99"/>
    <mergeCell ref="M99:N99"/>
    <mergeCell ref="O99:P99"/>
    <mergeCell ref="Q99:R99"/>
    <mergeCell ref="S136:T136"/>
    <mergeCell ref="U136:V136"/>
    <mergeCell ref="W136:Y136"/>
    <mergeCell ref="Z136:AB136"/>
    <mergeCell ref="D137:I137"/>
    <mergeCell ref="K137:L137"/>
    <mergeCell ref="M137:N137"/>
    <mergeCell ref="O137:P137"/>
    <mergeCell ref="Q137:R137"/>
    <mergeCell ref="D136:I136"/>
    <mergeCell ref="K136:L136"/>
    <mergeCell ref="M136:N136"/>
    <mergeCell ref="O136:P136"/>
    <mergeCell ref="Q136:R136"/>
    <mergeCell ref="O107:P107"/>
    <mergeCell ref="Q107:R107"/>
    <mergeCell ref="U107:V107"/>
    <mergeCell ref="W105:Y105"/>
    <mergeCell ref="A106:C106"/>
    <mergeCell ref="K106:L106"/>
    <mergeCell ref="M106:N106"/>
    <mergeCell ref="O106:P106"/>
    <mergeCell ref="Q106:R106"/>
    <mergeCell ref="U106:V106"/>
    <mergeCell ref="W108:Y108"/>
    <mergeCell ref="A109:C109"/>
    <mergeCell ref="K109:L109"/>
    <mergeCell ref="Q98:R98"/>
    <mergeCell ref="S96:T96"/>
    <mergeCell ref="U96:V96"/>
    <mergeCell ref="W96:Y96"/>
    <mergeCell ref="Z96:AB96"/>
    <mergeCell ref="S100:T100"/>
    <mergeCell ref="U100:V100"/>
    <mergeCell ref="W100:Y100"/>
    <mergeCell ref="Z100:AB100"/>
    <mergeCell ref="A97:C97"/>
    <mergeCell ref="K97:L97"/>
    <mergeCell ref="M97:N97"/>
    <mergeCell ref="O97:P97"/>
    <mergeCell ref="Q97:R97"/>
    <mergeCell ref="A101:C101"/>
    <mergeCell ref="K101:L101"/>
    <mergeCell ref="M101:N101"/>
    <mergeCell ref="O101:P101"/>
    <mergeCell ref="Q101:R101"/>
    <mergeCell ref="S99:T99"/>
    <mergeCell ref="U99:V99"/>
    <mergeCell ref="W99:Y99"/>
    <mergeCell ref="Z99:AB99"/>
    <mergeCell ref="A100:C100"/>
    <mergeCell ref="K100:L100"/>
    <mergeCell ref="M100:N100"/>
    <mergeCell ref="O100:P100"/>
    <mergeCell ref="Q100:R100"/>
    <mergeCell ref="S101:T101"/>
    <mergeCell ref="U101:V101"/>
    <mergeCell ref="W101:Y101"/>
    <mergeCell ref="Z101:AB101"/>
    <mergeCell ref="D96:I96"/>
    <mergeCell ref="D95:I95"/>
    <mergeCell ref="S95:T95"/>
    <mergeCell ref="U95:V95"/>
    <mergeCell ref="W95:Y95"/>
    <mergeCell ref="Z95:AB95"/>
    <mergeCell ref="A96:C96"/>
    <mergeCell ref="K96:L96"/>
    <mergeCell ref="M96:N96"/>
    <mergeCell ref="O96:P96"/>
    <mergeCell ref="Q96:R96"/>
    <mergeCell ref="S94:T94"/>
    <mergeCell ref="U94:V94"/>
    <mergeCell ref="W94:Y94"/>
    <mergeCell ref="Z94:AB94"/>
    <mergeCell ref="S98:T98"/>
    <mergeCell ref="U98:V98"/>
    <mergeCell ref="W98:Y98"/>
    <mergeCell ref="Z98:AB98"/>
    <mergeCell ref="A95:C95"/>
    <mergeCell ref="K95:L95"/>
    <mergeCell ref="M95:N95"/>
    <mergeCell ref="O95:P95"/>
    <mergeCell ref="Q95:R95"/>
    <mergeCell ref="S97:T97"/>
    <mergeCell ref="U97:V97"/>
    <mergeCell ref="W97:Y97"/>
    <mergeCell ref="Z97:AB97"/>
    <mergeCell ref="A98:C98"/>
    <mergeCell ref="K98:L98"/>
    <mergeCell ref="M98:N98"/>
    <mergeCell ref="O98:P98"/>
    <mergeCell ref="D94:I94"/>
    <mergeCell ref="D93:I93"/>
    <mergeCell ref="S93:T93"/>
    <mergeCell ref="U93:V93"/>
    <mergeCell ref="W93:Y93"/>
    <mergeCell ref="Z93:AB93"/>
    <mergeCell ref="A94:C94"/>
    <mergeCell ref="K94:L94"/>
    <mergeCell ref="M94:N94"/>
    <mergeCell ref="O94:P94"/>
    <mergeCell ref="Q94:R94"/>
    <mergeCell ref="M90:N90"/>
    <mergeCell ref="O90:P90"/>
    <mergeCell ref="Q90:R90"/>
    <mergeCell ref="S92:T92"/>
    <mergeCell ref="U92:V92"/>
    <mergeCell ref="W92:Y92"/>
    <mergeCell ref="Z92:AB92"/>
    <mergeCell ref="A93:C93"/>
    <mergeCell ref="K93:L93"/>
    <mergeCell ref="M93:N93"/>
    <mergeCell ref="O93:P93"/>
    <mergeCell ref="Q93:R93"/>
    <mergeCell ref="D92:I92"/>
    <mergeCell ref="D91:I91"/>
    <mergeCell ref="S91:T91"/>
    <mergeCell ref="U91:V91"/>
    <mergeCell ref="W91:Y91"/>
    <mergeCell ref="Z91:AB91"/>
    <mergeCell ref="A92:C92"/>
    <mergeCell ref="K92:L92"/>
    <mergeCell ref="M92:N92"/>
    <mergeCell ref="O92:P92"/>
    <mergeCell ref="Q92:R92"/>
    <mergeCell ref="S87:T87"/>
    <mergeCell ref="U87:V87"/>
    <mergeCell ref="W87:Y87"/>
    <mergeCell ref="Z87:AB87"/>
    <mergeCell ref="A88:C88"/>
    <mergeCell ref="K88:L88"/>
    <mergeCell ref="M88:N88"/>
    <mergeCell ref="O88:P88"/>
    <mergeCell ref="Q88:R88"/>
    <mergeCell ref="S90:T90"/>
    <mergeCell ref="U90:V90"/>
    <mergeCell ref="W90:Y90"/>
    <mergeCell ref="Z90:AB90"/>
    <mergeCell ref="A91:C91"/>
    <mergeCell ref="K91:L91"/>
    <mergeCell ref="M91:N91"/>
    <mergeCell ref="O91:P91"/>
    <mergeCell ref="Q91:R91"/>
    <mergeCell ref="A87:C87"/>
    <mergeCell ref="K87:L87"/>
    <mergeCell ref="M87:N87"/>
    <mergeCell ref="O87:P87"/>
    <mergeCell ref="Q87:R87"/>
    <mergeCell ref="D88:I88"/>
    <mergeCell ref="D87:I87"/>
    <mergeCell ref="D90:I90"/>
    <mergeCell ref="D89:I89"/>
    <mergeCell ref="S89:T89"/>
    <mergeCell ref="U89:V89"/>
    <mergeCell ref="W89:Y89"/>
    <mergeCell ref="Z89:AB89"/>
    <mergeCell ref="A90:C90"/>
    <mergeCell ref="K90:L90"/>
    <mergeCell ref="A89:C89"/>
    <mergeCell ref="K89:L89"/>
    <mergeCell ref="M89:N89"/>
    <mergeCell ref="O89:P89"/>
    <mergeCell ref="Q89:R89"/>
    <mergeCell ref="S85:T85"/>
    <mergeCell ref="U85:V85"/>
    <mergeCell ref="W85:Y85"/>
    <mergeCell ref="Z85:AB85"/>
    <mergeCell ref="A86:C86"/>
    <mergeCell ref="K86:L86"/>
    <mergeCell ref="M86:N86"/>
    <mergeCell ref="O86:P86"/>
    <mergeCell ref="Q86:R86"/>
    <mergeCell ref="S84:T84"/>
    <mergeCell ref="U84:V84"/>
    <mergeCell ref="W84:Y84"/>
    <mergeCell ref="Z84:AB84"/>
    <mergeCell ref="A85:C85"/>
    <mergeCell ref="K85:L85"/>
    <mergeCell ref="M85:N85"/>
    <mergeCell ref="O85:P85"/>
    <mergeCell ref="Q85:R85"/>
    <mergeCell ref="S86:T86"/>
    <mergeCell ref="U86:V86"/>
    <mergeCell ref="W86:Y86"/>
    <mergeCell ref="Z86:AB86"/>
    <mergeCell ref="S83:T83"/>
    <mergeCell ref="U83:V83"/>
    <mergeCell ref="W83:Y83"/>
    <mergeCell ref="Z83:AB83"/>
    <mergeCell ref="A84:C84"/>
    <mergeCell ref="K84:L84"/>
    <mergeCell ref="M84:N84"/>
    <mergeCell ref="O84:P84"/>
    <mergeCell ref="Q84:R84"/>
    <mergeCell ref="S82:T82"/>
    <mergeCell ref="U82:V82"/>
    <mergeCell ref="W82:Y82"/>
    <mergeCell ref="Z82:AB82"/>
    <mergeCell ref="A83:C83"/>
    <mergeCell ref="K83:L83"/>
    <mergeCell ref="M83:N83"/>
    <mergeCell ref="O83:P83"/>
    <mergeCell ref="Q83:R83"/>
    <mergeCell ref="U78:V78"/>
    <mergeCell ref="W78:Y78"/>
    <mergeCell ref="Z78:AB78"/>
    <mergeCell ref="A79:C79"/>
    <mergeCell ref="K79:L79"/>
    <mergeCell ref="M79:N79"/>
    <mergeCell ref="O79:P79"/>
    <mergeCell ref="Q79:R79"/>
    <mergeCell ref="S81:T81"/>
    <mergeCell ref="U81:V81"/>
    <mergeCell ref="W81:Y81"/>
    <mergeCell ref="Z81:AB81"/>
    <mergeCell ref="A82:C82"/>
    <mergeCell ref="K82:L82"/>
    <mergeCell ref="M82:N82"/>
    <mergeCell ref="O82:P82"/>
    <mergeCell ref="Q82:R82"/>
    <mergeCell ref="S80:T80"/>
    <mergeCell ref="U80:V80"/>
    <mergeCell ref="W80:Y80"/>
    <mergeCell ref="Z80:AB80"/>
    <mergeCell ref="A81:C81"/>
    <mergeCell ref="K81:L81"/>
    <mergeCell ref="Q81:R81"/>
    <mergeCell ref="AF72:AH72"/>
    <mergeCell ref="A73:C73"/>
    <mergeCell ref="D73:I73"/>
    <mergeCell ref="K73:L73"/>
    <mergeCell ref="M73:N73"/>
    <mergeCell ref="O73:P73"/>
    <mergeCell ref="Q73:R73"/>
    <mergeCell ref="S73:T73"/>
    <mergeCell ref="U73:V73"/>
    <mergeCell ref="W74:Y74"/>
    <mergeCell ref="Z74:AB74"/>
    <mergeCell ref="AC75:AE75"/>
    <mergeCell ref="AF75:AH75"/>
    <mergeCell ref="S76:T76"/>
    <mergeCell ref="U76:V76"/>
    <mergeCell ref="W76:Y76"/>
    <mergeCell ref="Z76:AB76"/>
    <mergeCell ref="A76:C76"/>
    <mergeCell ref="K76:L76"/>
    <mergeCell ref="M76:N76"/>
    <mergeCell ref="O76:P76"/>
    <mergeCell ref="Q76:R76"/>
    <mergeCell ref="Q74:R74"/>
    <mergeCell ref="S74:T74"/>
    <mergeCell ref="U74:V74"/>
    <mergeCell ref="A78:C78"/>
    <mergeCell ref="K78:L78"/>
    <mergeCell ref="M78:N78"/>
    <mergeCell ref="O78:P78"/>
    <mergeCell ref="AC72:AE72"/>
    <mergeCell ref="Z131:AB131"/>
    <mergeCell ref="D132:I132"/>
    <mergeCell ref="K132:L132"/>
    <mergeCell ref="M132:N132"/>
    <mergeCell ref="O132:P132"/>
    <mergeCell ref="Q130:R130"/>
    <mergeCell ref="S130:T130"/>
    <mergeCell ref="U130:V130"/>
    <mergeCell ref="A75:C75"/>
    <mergeCell ref="D75:AB75"/>
    <mergeCell ref="S132:T132"/>
    <mergeCell ref="U132:V132"/>
    <mergeCell ref="W132:Y132"/>
    <mergeCell ref="Z132:AB132"/>
    <mergeCell ref="Q131:R131"/>
    <mergeCell ref="S131:T131"/>
    <mergeCell ref="U131:V131"/>
    <mergeCell ref="W131:Y131"/>
    <mergeCell ref="S79:T79"/>
    <mergeCell ref="U79:V79"/>
    <mergeCell ref="W79:Y79"/>
    <mergeCell ref="Z79:AB79"/>
    <mergeCell ref="A80:C80"/>
    <mergeCell ref="K80:L80"/>
    <mergeCell ref="M80:N80"/>
    <mergeCell ref="O80:P80"/>
    <mergeCell ref="Z119:AB119"/>
    <mergeCell ref="D120:I120"/>
    <mergeCell ref="S118:T118"/>
    <mergeCell ref="Z118:AB118"/>
    <mergeCell ref="M81:N81"/>
    <mergeCell ref="Z121:AB121"/>
    <mergeCell ref="Q135:R135"/>
    <mergeCell ref="S135:T135"/>
    <mergeCell ref="U135:V135"/>
    <mergeCell ref="W135:Y135"/>
    <mergeCell ref="Z135:AB135"/>
    <mergeCell ref="A72:C72"/>
    <mergeCell ref="D72:AB72"/>
    <mergeCell ref="Q134:R134"/>
    <mergeCell ref="S134:T134"/>
    <mergeCell ref="U134:V134"/>
    <mergeCell ref="W134:Y134"/>
    <mergeCell ref="Z134:AB134"/>
    <mergeCell ref="D135:I135"/>
    <mergeCell ref="K135:L135"/>
    <mergeCell ref="M135:N135"/>
    <mergeCell ref="O135:P135"/>
    <mergeCell ref="W73:Y73"/>
    <mergeCell ref="Z73:AB73"/>
    <mergeCell ref="A74:C74"/>
    <mergeCell ref="D74:I74"/>
    <mergeCell ref="K74:L74"/>
    <mergeCell ref="M74:N74"/>
    <mergeCell ref="Q133:R133"/>
    <mergeCell ref="S133:T133"/>
    <mergeCell ref="U133:V133"/>
    <mergeCell ref="W133:Y133"/>
    <mergeCell ref="Z133:AB133"/>
    <mergeCell ref="D134:I134"/>
    <mergeCell ref="K134:L134"/>
    <mergeCell ref="M134:N134"/>
    <mergeCell ref="O134:P134"/>
    <mergeCell ref="Q132:R132"/>
    <mergeCell ref="D133:I133"/>
    <mergeCell ref="K133:L133"/>
    <mergeCell ref="M133:N133"/>
    <mergeCell ref="O133:P133"/>
    <mergeCell ref="D131:I131"/>
    <mergeCell ref="K131:L131"/>
    <mergeCell ref="M131:N131"/>
    <mergeCell ref="O131:P131"/>
    <mergeCell ref="D124:I124"/>
    <mergeCell ref="S122:T122"/>
    <mergeCell ref="Z122:AB122"/>
    <mergeCell ref="D123:I123"/>
    <mergeCell ref="S125:T125"/>
    <mergeCell ref="Z125:AB125"/>
    <mergeCell ref="D126:I126"/>
    <mergeCell ref="S124:T124"/>
    <mergeCell ref="Z124:AB124"/>
    <mergeCell ref="D125:I125"/>
    <mergeCell ref="S127:T127"/>
    <mergeCell ref="Z127:AB127"/>
    <mergeCell ref="D128:I128"/>
    <mergeCell ref="S126:T126"/>
    <mergeCell ref="Z126:AB126"/>
    <mergeCell ref="D127:I127"/>
    <mergeCell ref="D130:I130"/>
    <mergeCell ref="K130:L130"/>
    <mergeCell ref="M130:N130"/>
    <mergeCell ref="O130:P130"/>
    <mergeCell ref="S128:T128"/>
    <mergeCell ref="Z128:AB128"/>
    <mergeCell ref="W122:Y122"/>
    <mergeCell ref="W126:Y126"/>
    <mergeCell ref="Z120:AB120"/>
    <mergeCell ref="D121:I121"/>
    <mergeCell ref="S123:T123"/>
    <mergeCell ref="Z123:AB123"/>
    <mergeCell ref="W118:Y118"/>
    <mergeCell ref="W130:Y130"/>
    <mergeCell ref="Z130:AB130"/>
    <mergeCell ref="Z110:AB110"/>
    <mergeCell ref="D111:I111"/>
    <mergeCell ref="S113:T113"/>
    <mergeCell ref="Z113:AB113"/>
    <mergeCell ref="D114:I114"/>
    <mergeCell ref="S112:T112"/>
    <mergeCell ref="Z112:AB112"/>
    <mergeCell ref="D113:I113"/>
    <mergeCell ref="S115:T115"/>
    <mergeCell ref="Z115:AB115"/>
    <mergeCell ref="D116:I116"/>
    <mergeCell ref="S114:T114"/>
    <mergeCell ref="Z114:AB114"/>
    <mergeCell ref="D115:I115"/>
    <mergeCell ref="S117:T117"/>
    <mergeCell ref="Z117:AB117"/>
    <mergeCell ref="Z116:AB116"/>
    <mergeCell ref="D117:I117"/>
    <mergeCell ref="W112:Y112"/>
    <mergeCell ref="W116:Y116"/>
    <mergeCell ref="W120:Y120"/>
    <mergeCell ref="U121:V121"/>
    <mergeCell ref="W121:Y121"/>
    <mergeCell ref="W124:Y124"/>
    <mergeCell ref="Z109:AB109"/>
    <mergeCell ref="D110:I110"/>
    <mergeCell ref="Z108:AB108"/>
    <mergeCell ref="D109:I109"/>
    <mergeCell ref="S111:T111"/>
    <mergeCell ref="Z111:AB111"/>
    <mergeCell ref="S88:T88"/>
    <mergeCell ref="U88:V88"/>
    <mergeCell ref="W88:Y88"/>
    <mergeCell ref="Z88:AB88"/>
    <mergeCell ref="W106:Y106"/>
    <mergeCell ref="A69:C69"/>
    <mergeCell ref="K69:L69"/>
    <mergeCell ref="M69:N69"/>
    <mergeCell ref="O69:P69"/>
    <mergeCell ref="Z107:AB107"/>
    <mergeCell ref="D108:I108"/>
    <mergeCell ref="S108:T108"/>
    <mergeCell ref="Z106:AB106"/>
    <mergeCell ref="D107:I107"/>
    <mergeCell ref="S107:T107"/>
    <mergeCell ref="Z69:AB69"/>
    <mergeCell ref="O74:P74"/>
    <mergeCell ref="A77:C77"/>
    <mergeCell ref="K77:L77"/>
    <mergeCell ref="M77:N77"/>
    <mergeCell ref="O77:P77"/>
    <mergeCell ref="S77:T77"/>
    <mergeCell ref="U77:V77"/>
    <mergeCell ref="W77:Y77"/>
    <mergeCell ref="D98:I98"/>
    <mergeCell ref="D97:I97"/>
    <mergeCell ref="A68:C68"/>
    <mergeCell ref="K68:L68"/>
    <mergeCell ref="M68:N68"/>
    <mergeCell ref="O68:P68"/>
    <mergeCell ref="Q70:R70"/>
    <mergeCell ref="S70:T70"/>
    <mergeCell ref="U70:V70"/>
    <mergeCell ref="W70:Y70"/>
    <mergeCell ref="A71:C71"/>
    <mergeCell ref="K71:L71"/>
    <mergeCell ref="M71:N71"/>
    <mergeCell ref="O71:P71"/>
    <mergeCell ref="Q69:R69"/>
    <mergeCell ref="A70:C70"/>
    <mergeCell ref="K70:L70"/>
    <mergeCell ref="M70:N70"/>
    <mergeCell ref="O70:P70"/>
    <mergeCell ref="Q71:R71"/>
    <mergeCell ref="S71:T71"/>
    <mergeCell ref="U71:V71"/>
    <mergeCell ref="W71:Y71"/>
    <mergeCell ref="D69:I69"/>
    <mergeCell ref="D68:I68"/>
    <mergeCell ref="D71:I71"/>
    <mergeCell ref="D70:I70"/>
    <mergeCell ref="Q66:R66"/>
    <mergeCell ref="S66:T66"/>
    <mergeCell ref="U66:V66"/>
    <mergeCell ref="W66:Y66"/>
    <mergeCell ref="A67:C67"/>
    <mergeCell ref="K67:L67"/>
    <mergeCell ref="M67:N67"/>
    <mergeCell ref="Q65:R65"/>
    <mergeCell ref="S65:T65"/>
    <mergeCell ref="U65:V65"/>
    <mergeCell ref="W65:Y65"/>
    <mergeCell ref="A66:C66"/>
    <mergeCell ref="K66:L66"/>
    <mergeCell ref="M66:N66"/>
    <mergeCell ref="O66:P66"/>
    <mergeCell ref="Q67:R67"/>
    <mergeCell ref="S67:T67"/>
    <mergeCell ref="U67:V67"/>
    <mergeCell ref="W67:Y67"/>
    <mergeCell ref="Q64:R64"/>
    <mergeCell ref="S64:T64"/>
    <mergeCell ref="U64:V64"/>
    <mergeCell ref="W64:Y64"/>
    <mergeCell ref="A65:C65"/>
    <mergeCell ref="K65:L65"/>
    <mergeCell ref="M65:N65"/>
    <mergeCell ref="O65:P65"/>
    <mergeCell ref="Q63:R63"/>
    <mergeCell ref="S63:T63"/>
    <mergeCell ref="U63:V63"/>
    <mergeCell ref="W63:Y63"/>
    <mergeCell ref="A64:C64"/>
    <mergeCell ref="K64:L64"/>
    <mergeCell ref="M64:N64"/>
    <mergeCell ref="O64:P64"/>
    <mergeCell ref="A61:C61"/>
    <mergeCell ref="K61:L61"/>
    <mergeCell ref="M61:N61"/>
    <mergeCell ref="O61:P61"/>
    <mergeCell ref="D61:I61"/>
    <mergeCell ref="Q62:R62"/>
    <mergeCell ref="S62:T62"/>
    <mergeCell ref="U62:V62"/>
    <mergeCell ref="W62:Y62"/>
    <mergeCell ref="Q58:R58"/>
    <mergeCell ref="S58:T58"/>
    <mergeCell ref="U58:V58"/>
    <mergeCell ref="W58:Y58"/>
    <mergeCell ref="A59:C59"/>
    <mergeCell ref="K59:L59"/>
    <mergeCell ref="M59:N59"/>
    <mergeCell ref="O59:P59"/>
    <mergeCell ref="A63:C63"/>
    <mergeCell ref="K63:L63"/>
    <mergeCell ref="M63:N63"/>
    <mergeCell ref="O63:P63"/>
    <mergeCell ref="Q61:R61"/>
    <mergeCell ref="S61:T61"/>
    <mergeCell ref="U61:V61"/>
    <mergeCell ref="W61:Y61"/>
    <mergeCell ref="A62:C62"/>
    <mergeCell ref="K62:L62"/>
    <mergeCell ref="M62:N62"/>
    <mergeCell ref="O62:P62"/>
    <mergeCell ref="U60:V60"/>
    <mergeCell ref="W60:Y60"/>
    <mergeCell ref="Q53:R53"/>
    <mergeCell ref="S53:T53"/>
    <mergeCell ref="U53:V53"/>
    <mergeCell ref="W53:Y53"/>
    <mergeCell ref="A54:C54"/>
    <mergeCell ref="K54:L54"/>
    <mergeCell ref="M54:N54"/>
    <mergeCell ref="O54:P54"/>
    <mergeCell ref="D59:I59"/>
    <mergeCell ref="Q59:R59"/>
    <mergeCell ref="S59:T59"/>
    <mergeCell ref="U59:V59"/>
    <mergeCell ref="W59:Y59"/>
    <mergeCell ref="A60:C60"/>
    <mergeCell ref="K60:L60"/>
    <mergeCell ref="M60:N60"/>
    <mergeCell ref="O60:P60"/>
    <mergeCell ref="W55:Y55"/>
    <mergeCell ref="A56:C56"/>
    <mergeCell ref="K56:L56"/>
    <mergeCell ref="M56:N56"/>
    <mergeCell ref="O56:P56"/>
    <mergeCell ref="Q57:R57"/>
    <mergeCell ref="S57:T57"/>
    <mergeCell ref="U57:V57"/>
    <mergeCell ref="W57:Y57"/>
    <mergeCell ref="A58:C58"/>
    <mergeCell ref="K58:L58"/>
    <mergeCell ref="M58:N58"/>
    <mergeCell ref="O58:P58"/>
    <mergeCell ref="Q60:R60"/>
    <mergeCell ref="S60:T60"/>
    <mergeCell ref="AC45:AE45"/>
    <mergeCell ref="AF45:AH45"/>
    <mergeCell ref="A46:C46"/>
    <mergeCell ref="K46:L46"/>
    <mergeCell ref="M46:N46"/>
    <mergeCell ref="O46:P46"/>
    <mergeCell ref="Q48:R48"/>
    <mergeCell ref="S48:T48"/>
    <mergeCell ref="U48:V48"/>
    <mergeCell ref="W48:Y48"/>
    <mergeCell ref="A49:C49"/>
    <mergeCell ref="K49:L49"/>
    <mergeCell ref="M49:N49"/>
    <mergeCell ref="O49:P49"/>
    <mergeCell ref="Q47:R47"/>
    <mergeCell ref="S47:T47"/>
    <mergeCell ref="U47:V47"/>
    <mergeCell ref="W47:Y47"/>
    <mergeCell ref="A48:C48"/>
    <mergeCell ref="K48:L48"/>
    <mergeCell ref="M48:N48"/>
    <mergeCell ref="O48:P48"/>
    <mergeCell ref="Q49:R49"/>
    <mergeCell ref="S49:T49"/>
    <mergeCell ref="U49:V49"/>
    <mergeCell ref="W49:Y49"/>
    <mergeCell ref="Q46:R46"/>
    <mergeCell ref="S46:T46"/>
    <mergeCell ref="U46:V46"/>
    <mergeCell ref="W46:Y46"/>
    <mergeCell ref="Z46:AB46"/>
    <mergeCell ref="A47:C47"/>
    <mergeCell ref="Z64:AB64"/>
    <mergeCell ref="Z67:AB67"/>
    <mergeCell ref="Z66:AB66"/>
    <mergeCell ref="D60:I60"/>
    <mergeCell ref="D63:I63"/>
    <mergeCell ref="D62:I62"/>
    <mergeCell ref="D65:I65"/>
    <mergeCell ref="D64:I64"/>
    <mergeCell ref="D67:I67"/>
    <mergeCell ref="O67:P67"/>
    <mergeCell ref="D66:I66"/>
    <mergeCell ref="Z47:AB47"/>
    <mergeCell ref="Z49:AB49"/>
    <mergeCell ref="Z48:AB48"/>
    <mergeCell ref="Z51:AB51"/>
    <mergeCell ref="Z50:AB50"/>
    <mergeCell ref="Z53:AB53"/>
    <mergeCell ref="O53:P53"/>
    <mergeCell ref="Q51:R51"/>
    <mergeCell ref="S51:T51"/>
    <mergeCell ref="U51:V51"/>
    <mergeCell ref="W51:Y51"/>
    <mergeCell ref="K52:L52"/>
    <mergeCell ref="M52:N52"/>
    <mergeCell ref="O52:P52"/>
    <mergeCell ref="Q54:R54"/>
    <mergeCell ref="S54:T54"/>
    <mergeCell ref="U54:V54"/>
    <mergeCell ref="W54:Y54"/>
    <mergeCell ref="K55:L55"/>
    <mergeCell ref="M55:N55"/>
    <mergeCell ref="O55:P55"/>
    <mergeCell ref="D100:I100"/>
    <mergeCell ref="D99:I99"/>
    <mergeCell ref="D101:I101"/>
    <mergeCell ref="D104:I104"/>
    <mergeCell ref="S104:T104"/>
    <mergeCell ref="D103:I103"/>
    <mergeCell ref="S103:T103"/>
    <mergeCell ref="Z105:AB105"/>
    <mergeCell ref="Q68:R68"/>
    <mergeCell ref="S68:T68"/>
    <mergeCell ref="U68:V68"/>
    <mergeCell ref="W68:Y68"/>
    <mergeCell ref="D76:I76"/>
    <mergeCell ref="D78:I78"/>
    <mergeCell ref="D77:I77"/>
    <mergeCell ref="D80:I80"/>
    <mergeCell ref="D79:I79"/>
    <mergeCell ref="D82:I82"/>
    <mergeCell ref="D81:I81"/>
    <mergeCell ref="D84:I84"/>
    <mergeCell ref="D83:I83"/>
    <mergeCell ref="D86:I86"/>
    <mergeCell ref="D85:I85"/>
    <mergeCell ref="S69:T69"/>
    <mergeCell ref="U69:V69"/>
    <mergeCell ref="W69:Y69"/>
    <mergeCell ref="Q77:R77"/>
    <mergeCell ref="S78:T78"/>
    <mergeCell ref="Z77:AB77"/>
    <mergeCell ref="Q80:R80"/>
    <mergeCell ref="Q78:R78"/>
    <mergeCell ref="O81:P81"/>
    <mergeCell ref="Z61:AB61"/>
    <mergeCell ref="Z60:AB60"/>
    <mergeCell ref="Z63:AB63"/>
    <mergeCell ref="Z62:AB62"/>
    <mergeCell ref="Z65:AB65"/>
    <mergeCell ref="D53:I53"/>
    <mergeCell ref="Z71:AB71"/>
    <mergeCell ref="D55:I55"/>
    <mergeCell ref="K43:L43"/>
    <mergeCell ref="M43:N43"/>
    <mergeCell ref="O43:P43"/>
    <mergeCell ref="Q43:R43"/>
    <mergeCell ref="S43:T43"/>
    <mergeCell ref="U43:V43"/>
    <mergeCell ref="W43:Y43"/>
    <mergeCell ref="D54:I54"/>
    <mergeCell ref="D57:I57"/>
    <mergeCell ref="Z43:AB43"/>
    <mergeCell ref="D56:I56"/>
    <mergeCell ref="Z68:AB68"/>
    <mergeCell ref="Z70:AB70"/>
    <mergeCell ref="K47:L47"/>
    <mergeCell ref="M47:N47"/>
    <mergeCell ref="O47:P47"/>
    <mergeCell ref="Q50:R50"/>
    <mergeCell ref="S50:T50"/>
    <mergeCell ref="U50:V50"/>
    <mergeCell ref="W50:Y50"/>
    <mergeCell ref="K51:L51"/>
    <mergeCell ref="M51:N51"/>
    <mergeCell ref="O51:P51"/>
    <mergeCell ref="K50:L50"/>
    <mergeCell ref="Q44:R44"/>
    <mergeCell ref="S44:T44"/>
    <mergeCell ref="U44:V44"/>
    <mergeCell ref="W44:Y44"/>
    <mergeCell ref="D58:I58"/>
    <mergeCell ref="A45:C45"/>
    <mergeCell ref="D45:AB45"/>
    <mergeCell ref="Q52:R52"/>
    <mergeCell ref="S52:T52"/>
    <mergeCell ref="U52:V52"/>
    <mergeCell ref="W52:Y52"/>
    <mergeCell ref="A53:C53"/>
    <mergeCell ref="Z44:AB44"/>
    <mergeCell ref="K53:L53"/>
    <mergeCell ref="M53:N53"/>
    <mergeCell ref="Z52:AB52"/>
    <mergeCell ref="Z55:AB55"/>
    <mergeCell ref="Z54:AB54"/>
    <mergeCell ref="Z57:AB57"/>
    <mergeCell ref="Z56:AB56"/>
    <mergeCell ref="D52:I52"/>
    <mergeCell ref="Q56:R56"/>
    <mergeCell ref="S56:T56"/>
    <mergeCell ref="U56:V56"/>
    <mergeCell ref="W56:Y56"/>
    <mergeCell ref="A57:C57"/>
    <mergeCell ref="K57:L57"/>
    <mergeCell ref="M57:N57"/>
    <mergeCell ref="O57:P57"/>
    <mergeCell ref="Q55:R55"/>
    <mergeCell ref="S55:T55"/>
    <mergeCell ref="U55:V55"/>
    <mergeCell ref="Z59:AB59"/>
    <mergeCell ref="Z58:AB58"/>
    <mergeCell ref="A51:C51"/>
    <mergeCell ref="A50:C50"/>
    <mergeCell ref="M50:N50"/>
    <mergeCell ref="O50:P50"/>
    <mergeCell ref="A52:C52"/>
    <mergeCell ref="A55:C55"/>
    <mergeCell ref="Z41:AB41"/>
    <mergeCell ref="Z40:AB40"/>
    <mergeCell ref="A41:C41"/>
    <mergeCell ref="D41:I41"/>
    <mergeCell ref="K41:L41"/>
    <mergeCell ref="M41:N41"/>
    <mergeCell ref="O41:P41"/>
    <mergeCell ref="Q41:R41"/>
    <mergeCell ref="S41:T41"/>
    <mergeCell ref="U41:V41"/>
    <mergeCell ref="W41:Y41"/>
    <mergeCell ref="D47:I47"/>
    <mergeCell ref="D46:I46"/>
    <mergeCell ref="D49:I49"/>
    <mergeCell ref="D48:I48"/>
    <mergeCell ref="D51:I51"/>
    <mergeCell ref="D50:I50"/>
    <mergeCell ref="A42:C42"/>
    <mergeCell ref="D42:AB42"/>
    <mergeCell ref="A43:C43"/>
    <mergeCell ref="A44:C44"/>
    <mergeCell ref="K44:L44"/>
    <mergeCell ref="M44:N44"/>
    <mergeCell ref="O44:P44"/>
    <mergeCell ref="Z39:AB39"/>
    <mergeCell ref="A40:C40"/>
    <mergeCell ref="D40:I40"/>
    <mergeCell ref="K40:L40"/>
    <mergeCell ref="M40:N40"/>
    <mergeCell ref="O40:P40"/>
    <mergeCell ref="Q40:R40"/>
    <mergeCell ref="S40:T40"/>
    <mergeCell ref="U40:V40"/>
    <mergeCell ref="W40:Y40"/>
    <mergeCell ref="Z38:AB38"/>
    <mergeCell ref="A39:C39"/>
    <mergeCell ref="D39:I39"/>
    <mergeCell ref="K39:L39"/>
    <mergeCell ref="M39:N39"/>
    <mergeCell ref="O39:P39"/>
    <mergeCell ref="Q39:R39"/>
    <mergeCell ref="S39:T39"/>
    <mergeCell ref="U39:V39"/>
    <mergeCell ref="W39:Y39"/>
    <mergeCell ref="Z37:AB37"/>
    <mergeCell ref="A38:C38"/>
    <mergeCell ref="D38:I38"/>
    <mergeCell ref="K38:L38"/>
    <mergeCell ref="M38:N38"/>
    <mergeCell ref="O38:P38"/>
    <mergeCell ref="Q38:R38"/>
    <mergeCell ref="S38:T38"/>
    <mergeCell ref="U38:V38"/>
    <mergeCell ref="W38:Y38"/>
    <mergeCell ref="Z36:AB36"/>
    <mergeCell ref="A37:C37"/>
    <mergeCell ref="D37:I37"/>
    <mergeCell ref="K37:L37"/>
    <mergeCell ref="M37:N37"/>
    <mergeCell ref="O37:P37"/>
    <mergeCell ref="Q37:R37"/>
    <mergeCell ref="S37:T37"/>
    <mergeCell ref="U37:V37"/>
    <mergeCell ref="W37:Y37"/>
    <mergeCell ref="Z35:AB35"/>
    <mergeCell ref="A36:C36"/>
    <mergeCell ref="D36:I36"/>
    <mergeCell ref="K36:L36"/>
    <mergeCell ref="M36:N36"/>
    <mergeCell ref="O36:P36"/>
    <mergeCell ref="Q36:R36"/>
    <mergeCell ref="S36:T36"/>
    <mergeCell ref="U36:V36"/>
    <mergeCell ref="W36:Y36"/>
    <mergeCell ref="Z34:AB34"/>
    <mergeCell ref="A35:C35"/>
    <mergeCell ref="D35:I35"/>
    <mergeCell ref="K35:L35"/>
    <mergeCell ref="M35:N35"/>
    <mergeCell ref="O35:P35"/>
    <mergeCell ref="Q35:R35"/>
    <mergeCell ref="S35:T35"/>
    <mergeCell ref="U35:V35"/>
    <mergeCell ref="W35:Y35"/>
    <mergeCell ref="Z33:AB33"/>
    <mergeCell ref="A34:C34"/>
    <mergeCell ref="D34:I34"/>
    <mergeCell ref="K34:L34"/>
    <mergeCell ref="M34:N34"/>
    <mergeCell ref="O34:P34"/>
    <mergeCell ref="Q34:R34"/>
    <mergeCell ref="S34:T34"/>
    <mergeCell ref="U34:V34"/>
    <mergeCell ref="W34:Y34"/>
    <mergeCell ref="Z32:AB32"/>
    <mergeCell ref="A33:C33"/>
    <mergeCell ref="D33:I33"/>
    <mergeCell ref="K33:L33"/>
    <mergeCell ref="M33:N33"/>
    <mergeCell ref="O33:P33"/>
    <mergeCell ref="Q33:R33"/>
    <mergeCell ref="S33:T33"/>
    <mergeCell ref="U33:V33"/>
    <mergeCell ref="W33:Y33"/>
    <mergeCell ref="Z31:AB31"/>
    <mergeCell ref="A32:C32"/>
    <mergeCell ref="D32:I32"/>
    <mergeCell ref="K32:L32"/>
    <mergeCell ref="M32:N32"/>
    <mergeCell ref="O32:P32"/>
    <mergeCell ref="Q32:R32"/>
    <mergeCell ref="S32:T32"/>
    <mergeCell ref="U32:V32"/>
    <mergeCell ref="W32:Y32"/>
    <mergeCell ref="Z30:AB30"/>
    <mergeCell ref="A31:C31"/>
    <mergeCell ref="D31:I31"/>
    <mergeCell ref="K31:L31"/>
    <mergeCell ref="M31:N31"/>
    <mergeCell ref="O31:P31"/>
    <mergeCell ref="Q31:R31"/>
    <mergeCell ref="S31:T31"/>
    <mergeCell ref="U31:V31"/>
    <mergeCell ref="W31:Y31"/>
    <mergeCell ref="Z29:AB29"/>
    <mergeCell ref="A30:C30"/>
    <mergeCell ref="D30:I30"/>
    <mergeCell ref="K30:L30"/>
    <mergeCell ref="M30:N30"/>
    <mergeCell ref="O30:P30"/>
    <mergeCell ref="Q30:R30"/>
    <mergeCell ref="S30:T30"/>
    <mergeCell ref="U30:V30"/>
    <mergeCell ref="W30:Y30"/>
    <mergeCell ref="Z28:AB28"/>
    <mergeCell ref="A29:C29"/>
    <mergeCell ref="D29:I29"/>
    <mergeCell ref="K29:L29"/>
    <mergeCell ref="M29:N29"/>
    <mergeCell ref="O29:P29"/>
    <mergeCell ref="Q29:R29"/>
    <mergeCell ref="S29:T29"/>
    <mergeCell ref="U29:V29"/>
    <mergeCell ref="W29:Y29"/>
    <mergeCell ref="Z27:AB27"/>
    <mergeCell ref="A28:C28"/>
    <mergeCell ref="D28:I28"/>
    <mergeCell ref="K28:L28"/>
    <mergeCell ref="M28:N28"/>
    <mergeCell ref="O28:P28"/>
    <mergeCell ref="Q28:R28"/>
    <mergeCell ref="S28:T28"/>
    <mergeCell ref="U28:V28"/>
    <mergeCell ref="W28:Y28"/>
    <mergeCell ref="Z26:AB26"/>
    <mergeCell ref="A27:C27"/>
    <mergeCell ref="D27:I27"/>
    <mergeCell ref="K27:L27"/>
    <mergeCell ref="M27:N27"/>
    <mergeCell ref="O27:P27"/>
    <mergeCell ref="Q27:R27"/>
    <mergeCell ref="S27:T27"/>
    <mergeCell ref="U27:V27"/>
    <mergeCell ref="W27:Y27"/>
    <mergeCell ref="Z25:AB25"/>
    <mergeCell ref="A26:C26"/>
    <mergeCell ref="D26:I26"/>
    <mergeCell ref="K26:L26"/>
    <mergeCell ref="M26:N26"/>
    <mergeCell ref="O26:P26"/>
    <mergeCell ref="Q26:R26"/>
    <mergeCell ref="S26:T26"/>
    <mergeCell ref="U26:V26"/>
    <mergeCell ref="W26:Y26"/>
    <mergeCell ref="Z24:AB24"/>
    <mergeCell ref="A25:C25"/>
    <mergeCell ref="D25:I25"/>
    <mergeCell ref="K25:L25"/>
    <mergeCell ref="M25:N25"/>
    <mergeCell ref="O25:P25"/>
    <mergeCell ref="Q25:R25"/>
    <mergeCell ref="S25:T25"/>
    <mergeCell ref="U25:V25"/>
    <mergeCell ref="W25:Y25"/>
    <mergeCell ref="Z23:AB23"/>
    <mergeCell ref="A24:C24"/>
    <mergeCell ref="D24:I24"/>
    <mergeCell ref="K24:L24"/>
    <mergeCell ref="M24:N24"/>
    <mergeCell ref="O24:P24"/>
    <mergeCell ref="Q24:R24"/>
    <mergeCell ref="S24:T24"/>
    <mergeCell ref="U24:V24"/>
    <mergeCell ref="W24:Y24"/>
    <mergeCell ref="W22:Y22"/>
    <mergeCell ref="Z22:AB22"/>
    <mergeCell ref="D23:I23"/>
    <mergeCell ref="K23:L23"/>
    <mergeCell ref="M23:N23"/>
    <mergeCell ref="O23:P23"/>
    <mergeCell ref="Q23:R23"/>
    <mergeCell ref="S23:T23"/>
    <mergeCell ref="U23:V23"/>
    <mergeCell ref="W23:Y23"/>
    <mergeCell ref="S18:T18"/>
    <mergeCell ref="U18:V18"/>
    <mergeCell ref="U21:V21"/>
    <mergeCell ref="W21:Y21"/>
    <mergeCell ref="Z21:AB21"/>
    <mergeCell ref="D22:I22"/>
    <mergeCell ref="K22:L22"/>
    <mergeCell ref="M22:N22"/>
    <mergeCell ref="O22:P22"/>
    <mergeCell ref="Q22:R22"/>
    <mergeCell ref="S22:T22"/>
    <mergeCell ref="U22:V22"/>
    <mergeCell ref="D21:I21"/>
    <mergeCell ref="K21:L21"/>
    <mergeCell ref="M21:N21"/>
    <mergeCell ref="O21:P21"/>
    <mergeCell ref="Q21:R21"/>
    <mergeCell ref="S21:T21"/>
    <mergeCell ref="Z19:AB19"/>
    <mergeCell ref="D20:I20"/>
    <mergeCell ref="K20:L20"/>
    <mergeCell ref="M20:N20"/>
    <mergeCell ref="O20:P20"/>
    <mergeCell ref="Q20:R20"/>
    <mergeCell ref="S20:T20"/>
    <mergeCell ref="U20:V20"/>
    <mergeCell ref="W20:Y20"/>
    <mergeCell ref="Z20:AB20"/>
    <mergeCell ref="A1:I7"/>
    <mergeCell ref="J1:AH4"/>
    <mergeCell ref="J5:AH7"/>
    <mergeCell ref="A9:C11"/>
    <mergeCell ref="D9:I11"/>
    <mergeCell ref="J9:J11"/>
    <mergeCell ref="K9:V9"/>
    <mergeCell ref="W9:AE9"/>
    <mergeCell ref="AF9:AH11"/>
    <mergeCell ref="K10:L11"/>
    <mergeCell ref="S16:T16"/>
    <mergeCell ref="U16:V16"/>
    <mergeCell ref="W16:Y16"/>
    <mergeCell ref="Z16:AB16"/>
    <mergeCell ref="D17:I17"/>
    <mergeCell ref="K17:L17"/>
    <mergeCell ref="M17:N17"/>
    <mergeCell ref="O17:P17"/>
    <mergeCell ref="Q17:R17"/>
    <mergeCell ref="S17:T17"/>
    <mergeCell ref="A16:C16"/>
    <mergeCell ref="D16:I16"/>
    <mergeCell ref="K16:L16"/>
    <mergeCell ref="M16:N16"/>
    <mergeCell ref="O16:P16"/>
    <mergeCell ref="Q16:R16"/>
    <mergeCell ref="Z10:AB11"/>
    <mergeCell ref="U17:V17"/>
    <mergeCell ref="W17:Y17"/>
    <mergeCell ref="Z17:AB17"/>
    <mergeCell ref="AC42:AE42"/>
    <mergeCell ref="D43:I43"/>
    <mergeCell ref="D44:I44"/>
    <mergeCell ref="AF42:AH42"/>
    <mergeCell ref="AC10:AE11"/>
    <mergeCell ref="A13:C13"/>
    <mergeCell ref="D13:AH13"/>
    <mergeCell ref="A15:C15"/>
    <mergeCell ref="D15:AB15"/>
    <mergeCell ref="AC15:AE15"/>
    <mergeCell ref="AF15:AH15"/>
    <mergeCell ref="M10:N11"/>
    <mergeCell ref="O10:P11"/>
    <mergeCell ref="Q10:R11"/>
    <mergeCell ref="S10:T11"/>
    <mergeCell ref="U10:V11"/>
    <mergeCell ref="W10:Y11"/>
    <mergeCell ref="W18:Y18"/>
    <mergeCell ref="Z18:AB18"/>
    <mergeCell ref="D19:I19"/>
    <mergeCell ref="K19:L19"/>
    <mergeCell ref="M19:N19"/>
    <mergeCell ref="O19:P19"/>
    <mergeCell ref="Q19:R19"/>
    <mergeCell ref="S19:T19"/>
    <mergeCell ref="U19:V19"/>
    <mergeCell ref="W19:Y19"/>
    <mergeCell ref="D18:I18"/>
    <mergeCell ref="K18:L18"/>
    <mergeCell ref="M18:N18"/>
    <mergeCell ref="O18:P18"/>
    <mergeCell ref="Q18:R18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rowBreaks count="1" manualBreakCount="1">
    <brk id="125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MEMORIA COBERTA</vt:lpstr>
      <vt:lpstr>MEDIÇÃO 04</vt:lpstr>
      <vt:lpstr>VERGAS E CONTRAVERGAS</vt:lpstr>
      <vt:lpstr>MEMORIA BM 04</vt:lpstr>
      <vt:lpstr>MEMORIA ATERRO</vt:lpstr>
      <vt:lpstr>MEMÓRIA ALVENARIA</vt:lpstr>
      <vt:lpstr>MEMÓRIA PILARES</vt:lpstr>
      <vt:lpstr>MEMÓRIA VIGAS</vt:lpstr>
      <vt:lpstr>'MEDIÇÃO 04'!Area_de_impressao</vt:lpstr>
      <vt:lpstr>'MEMORIA ATERRO'!Area_de_impressao</vt:lpstr>
      <vt:lpstr>'MEMORIA BM 04'!Area_de_impressao</vt:lpstr>
      <vt:lpstr>'MEMÓRIA PILARES'!Area_de_impressao</vt:lpstr>
      <vt:lpstr>'MEMÓRIA VIGAS'!Area_de_impressao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2023-10-24T14:27:29Z</dcterms:created>
  <dcterms:modified xsi:type="dcterms:W3CDTF">2024-02-22T17:18:52Z</dcterms:modified>
</cp:coreProperties>
</file>